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Segmento_Idade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<sst xmlns="http://schemas.openxmlformats.org/spreadsheetml/2006/main" count="1543" uniqueCount="1099">
  <si>
    <t>DIA</t>
  </si>
  <si>
    <t>SEMANA</t>
  </si>
  <si>
    <t>MÊS</t>
  </si>
  <si>
    <t>ANO</t>
  </si>
  <si>
    <t>12 MESES CORRIDOS</t>
  </si>
  <si>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</si>
  <si>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</si>
  <si>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</si>
  <si>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</si>
  <si>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</si>
  <si>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</si>
  <si>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</si>
  <si>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</si>
  <si>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</si>
  <si>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</si>
  <si>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</si>
  <si>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DIA (%)</t>
  </si>
  <si>
    <t>Valor Inicial DIA (R$)</t>
  </si>
  <si>
    <t>Variação DIA (R$)</t>
  </si>
  <si>
    <t>Resultado</t>
  </si>
  <si>
    <t>Variação SEMANA(%)</t>
  </si>
  <si>
    <t>Valor Inicial SEMANA (R$)</t>
  </si>
  <si>
    <t>Variação SEMANA (R$)</t>
  </si>
  <si>
    <t>Variação MÊS (%)</t>
  </si>
  <si>
    <t>Valor Inicial MÊS (R$)</t>
  </si>
  <si>
    <t>Variação MÊS (R$)</t>
  </si>
  <si>
    <t>Variação ANO(%)</t>
  </si>
  <si>
    <t>Valor Inicial ANO (R$)</t>
  </si>
  <si>
    <t>Variação ANO (R$)</t>
  </si>
  <si>
    <t>Variação 12 MESES(%)</t>
  </si>
  <si>
    <t>Valor Inicial 12 MESES(R$)</t>
  </si>
  <si>
    <t>Variação 12 MESES (R$)</t>
  </si>
  <si>
    <t>Quantidade de Ações</t>
  </si>
  <si>
    <t>Nome empresa</t>
  </si>
  <si>
    <t>Segmento</t>
  </si>
  <si>
    <t>Idade</t>
  </si>
  <si>
    <t>Faixa_Idade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</si>
  <si>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</si>
  <si>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</si>
  <si>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</si>
  <si>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</si>
  <si>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</si>
  <si>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</si>
  <si>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</si>
  <si>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</si>
  <si>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</si>
  <si>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</si>
  <si>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</si>
  <si>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</si>
  <si>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</si>
  <si>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</si>
  <si>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</si>
  <si>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</si>
  <si>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</si>
  <si>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</si>
  <si>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</si>
  <si>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</si>
  <si>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</si>
  <si>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</si>
  <si>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</si>
  <si>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</si>
  <si>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</si>
  <si>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</si>
  <si>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</si>
  <si>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</si>
  <si>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</si>
  <si>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</si>
  <si>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</si>
  <si>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</si>
  <si>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</si>
  <si>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</si>
  <si>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</si>
  <si>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</si>
  <si>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</si>
  <si>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</si>
  <si>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</si>
  <si>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</si>
  <si>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</si>
  <si>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</si>
  <si>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</si>
  <si>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</si>
  <si>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</si>
  <si>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</si>
  <si>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</si>
  <si>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</si>
  <si>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</si>
  <si>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</si>
  <si>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</si>
  <si>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</si>
  <si>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</si>
  <si>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</si>
  <si>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</si>
  <si>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</si>
  <si>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</si>
  <si>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</si>
  <si>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</si>
  <si>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</si>
  <si>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</si>
  <si>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</si>
  <si>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</si>
  <si>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</si>
  <si>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</si>
  <si>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</si>
  <si>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</si>
  <si>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</si>
  <si>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</si>
  <si>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</si>
  <si>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</si>
  <si>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</si>
  <si>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</si>
  <si>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</si>
  <si>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</si>
  <si>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</si>
  <si>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</si>
  <si>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</si>
  <si>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</si>
  <si>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</si>
  <si>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</si>
  <si>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</si>
  <si>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</si>
  <si>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</si>
  <si>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</si>
  <si>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</si>
  <si>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</si>
  <si>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</si>
  <si>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</si>
  <si>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</si>
  <si>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</si>
  <si>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</si>
  <si>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</si>
  <si>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</si>
  <si>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</si>
  <si>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</si>
  <si>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</si>
  <si>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</si>
  <si>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</si>
  <si>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</si>
  <si>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</si>
  <si>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</si>
  <si>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</si>
  <si>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</si>
  <si>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</si>
  <si>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</si>
  <si>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</si>
  <si>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</si>
  <si>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</si>
  <si>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</si>
  <si>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</si>
  <si>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</si>
  <si>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</si>
  <si>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</si>
  <si>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</si>
  <si>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</si>
  <si>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</si>
  <si>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</si>
  <si>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</si>
  <si>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</si>
  <si>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</si>
  <si>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</si>
  <si>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</si>
  <si>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</si>
  <si>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</si>
  <si>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</si>
  <si>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</si>
  <si>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</si>
  <si>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</si>
  <si>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</si>
  <si>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</si>
  <si>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</si>
  <si>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</si>
  <si>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</si>
  <si>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</si>
  <si>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</si>
  <si>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</si>
  <si>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</si>
  <si>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</si>
  <si>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</si>
  <si>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</si>
  <si>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</si>
  <si>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</si>
  <si>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</si>
  <si>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</si>
  <si>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</si>
  <si>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</si>
  <si>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</si>
  <si>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</si>
  <si>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</si>
  <si>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</si>
  <si>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</si>
  <si>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</si>
  <si>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</si>
  <si>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</si>
  <si>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</si>
  <si>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</si>
  <si>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</si>
  <si>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</si>
  <si>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</si>
  <si>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</si>
  <si>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</si>
  <si>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Variação</t>
  </si>
  <si>
    <t>Variação de quem subiu</t>
  </si>
  <si>
    <t>Menor</t>
  </si>
  <si>
    <t>Média</t>
  </si>
  <si>
    <t>Média (subiu)</t>
  </si>
  <si>
    <t>Média (desceu)</t>
  </si>
  <si>
    <t>Variação (R$)</t>
  </si>
  <si>
    <t>SALDO TOTAL</t>
  </si>
  <si>
    <t>Categoria_Idade</t>
  </si>
  <si>
    <t>Variação(R$)</t>
  </si>
  <si>
    <t>Quantidade Empresas</t>
  </si>
  <si>
    <t>Empresa</t>
  </si>
  <si>
    <t>Idade em anos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</si>
  <si>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</si>
  <si>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</si>
  <si>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</si>
  <si>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</si>
  <si>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</si>
  <si>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</si>
  <si>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</si>
  <si>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</si>
  <si>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</si>
  <si>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</si>
  <si>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</si>
  <si>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Vale</t>
  </si>
  <si>
    <t>Multiplan</t>
  </si>
  <si>
    <t>Imobiliário (Shoppings)</t>
  </si>
  <si>
    <t>Itaú Unibanco</t>
  </si>
  <si>
    <t>Bancário</t>
  </si>
  <si>
    <t>Rede D'Or</t>
  </si>
  <si>
    <t>Saúde (Hospitais)</t>
  </si>
  <si>
    <t>Braskem</t>
  </si>
  <si>
    <t>Petroquímica</t>
  </si>
  <si>
    <t>Azul</t>
  </si>
  <si>
    <t>Aéreo</t>
  </si>
  <si>
    <t>3R Petroleum</t>
  </si>
  <si>
    <t>Equatorial Energia</t>
  </si>
  <si>
    <t>Siderúrgica Nacional</t>
  </si>
  <si>
    <t>YDUQS</t>
  </si>
  <si>
    <t>Educação</t>
  </si>
  <si>
    <t>Ultrapar</t>
  </si>
  <si>
    <t>Distribuição de Combustíveis</t>
  </si>
  <si>
    <t>MRV</t>
  </si>
  <si>
    <t>Construção Civil</t>
  </si>
  <si>
    <t>Arezzo</t>
  </si>
  <si>
    <t>Calçados e Acessórios</t>
  </si>
  <si>
    <t>Banco Bradesco</t>
  </si>
  <si>
    <t>Minerva</t>
  </si>
  <si>
    <t>Alimentos (Carnes)</t>
  </si>
  <si>
    <t>Grupo Pão de Açúcar</t>
  </si>
  <si>
    <t>Varejo</t>
  </si>
  <si>
    <t>BRF</t>
  </si>
  <si>
    <t>Alimentos (Carnes e Processados)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</si>
  <si>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</si>
  <si>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</si>
  <si>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</si>
  <si>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</si>
  <si>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</si>
  <si>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</si>
  <si>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</si>
  <si>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Materiais de Construção</t>
  </si>
  <si>
    <t>TIM</t>
  </si>
  <si>
    <t>Bradespar</t>
  </si>
  <si>
    <t>Holding (Investimentos)</t>
  </si>
  <si>
    <t>Locaweb</t>
  </si>
  <si>
    <t>Tecnologia da Informação</t>
  </si>
  <si>
    <t>PetroRecôncavo</t>
  </si>
  <si>
    <t>Itaúsa</t>
  </si>
  <si>
    <t>Banco do Brasil</t>
  </si>
  <si>
    <t>RaiaDrogasil</t>
  </si>
  <si>
    <t>Varejo Farmacêutico</t>
  </si>
  <si>
    <t>Metalúrgica Gerdau</t>
  </si>
  <si>
    <t>Cosan</t>
  </si>
  <si>
    <t>Energia e Logística</t>
  </si>
  <si>
    <t>JBS</t>
  </si>
  <si>
    <t>Magazine Luiza</t>
  </si>
  <si>
    <t>Gerdau</t>
  </si>
  <si>
    <t>Raízen</t>
  </si>
  <si>
    <t>Energia (Biocombustíveis)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</si>
  <si>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</si>
  <si>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</si>
  <si>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</si>
  <si>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</si>
  <si>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</si>
  <si>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</si>
  <si>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</si>
  <si>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</si>
  <si>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</si>
  <si>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</si>
  <si>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Software</t>
  </si>
  <si>
    <t>CEMIG</t>
  </si>
  <si>
    <t>Eletrobras</t>
  </si>
  <si>
    <t>Eneva</t>
  </si>
  <si>
    <t>WEG</t>
  </si>
  <si>
    <t>Equipamentos Elétricos</t>
  </si>
  <si>
    <t>SLC Agrícola</t>
  </si>
  <si>
    <t>Agronegócio</t>
  </si>
  <si>
    <t>Grupo CCR</t>
  </si>
  <si>
    <t>Concessões Rodoviárias</t>
  </si>
  <si>
    <t>Cogna</t>
  </si>
  <si>
    <t>Transmissão Paulista</t>
  </si>
  <si>
    <t>Energia (Transmissão)</t>
  </si>
  <si>
    <t>Engie</t>
  </si>
  <si>
    <t>Vibra Energia</t>
  </si>
  <si>
    <t>Energia (Combustíveis)</t>
  </si>
  <si>
    <t>IRB Brasil RE</t>
  </si>
  <si>
    <t>Seguros e Resseguros</t>
  </si>
  <si>
    <t>Petz</t>
  </si>
  <si>
    <t>Varejo (Produtos Pet)</t>
  </si>
  <si>
    <t>EZTEC</t>
  </si>
  <si>
    <t>Fleury</t>
  </si>
  <si>
    <t>Saúde (Diagnósticos)</t>
  </si>
  <si>
    <t>Grupo Soma</t>
  </si>
  <si>
    <t>Varejo (Moda)</t>
  </si>
  <si>
    <t>Alpargatas</t>
  </si>
  <si>
    <t>Calçados e Vestuário</t>
  </si>
  <si>
    <t>Cyrela</t>
  </si>
  <si>
    <t>Embraer</t>
  </si>
  <si>
    <t>Aeronáutica</t>
  </si>
  <si>
    <t>Natura</t>
  </si>
  <si>
    <t>Cosméticos</t>
  </si>
  <si>
    <t>Assaí</t>
  </si>
  <si>
    <t>Varejo (Atacado)</t>
  </si>
  <si>
    <t>B3</t>
  </si>
  <si>
    <t>Serviços Financeiros (Bolsa)</t>
  </si>
  <si>
    <t>Hypera</t>
  </si>
  <si>
    <t>Farmacêutica</t>
  </si>
  <si>
    <t>São Martinho</t>
  </si>
  <si>
    <t>Agronegócio (Açúcar e Álcool)</t>
  </si>
  <si>
    <t>Hapvida</t>
  </si>
  <si>
    <t>Lojas Renner</t>
  </si>
  <si>
    <t>Carrefour Brasil</t>
  </si>
  <si>
    <t>Casas Bahia</t>
  </si>
  <si>
    <t>Localiza</t>
  </si>
  <si>
    <t>Locação de Veículos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</si>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</sst>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1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theme="1"/>
      <name val="Arial"/>
      <scheme val="minor"/>
    </font>
    <font>
      <b/>
      <sz val="11.0"/>
      <color rgb="FF1A1A1A"/>
      <name val="Arial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&quot;aptos narrow&quot;"/>
    </font>
    <font>
      <b/>
      <color theme="1"/>
      <name val="Arial"/>
      <scheme val="minor"/>
    </font>
    <font>
      <i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EA9999"/>
        <bgColor rgb="FFEA9999"/>
      </patternFill>
    </fill>
    <fill>
      <patternFill patternType="solid">
        <fgColor rgb="FFF1C232"/>
        <bgColor rgb="FFF1C232"/>
      </patternFill>
    </fill>
    <fill>
      <patternFill patternType="solid">
        <fgColor rgb="FFB4A7D6"/>
        <bgColor rgb="FFB4A7D6"/>
      </patternFill>
    </fill>
    <fill>
      <patternFill patternType="solid">
        <fgColor rgb="FFC1E4F5"/>
        <bgColor rgb="FFC1E4F5"/>
      </patternFill>
    </fill>
    <fill>
      <patternFill patternType="solid">
        <fgColor rgb="FFFFF2CC"/>
        <bgColor rgb="FFFFF2CC"/>
      </patternFill>
    </fill>
    <fill>
      <patternFill patternType="solid">
        <fgColor rgb="FFD9F2D0"/>
        <bgColor rgb="FFD9F2D0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11">
    <border/>
    <border>
      <right style="medium">
        <color rgb="FF000000"/>
      </right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readingOrder="0" vertical="center"/>
    </xf>
    <xf borderId="0" fillId="3" fontId="2" numFmtId="2" xfId="0" applyAlignment="1" applyFont="1" applyNumberFormat="1">
      <alignment horizontal="center" readingOrder="0" vertical="center"/>
    </xf>
    <xf borderId="0" fillId="3" fontId="2" numFmtId="164" xfId="0" applyAlignment="1" applyFont="1" applyNumberForma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4" fontId="2" numFmtId="2" xfId="0" applyAlignment="1" applyFont="1" applyNumberFormat="1">
      <alignment horizontal="center" readingOrder="0" vertical="center"/>
    </xf>
    <xf borderId="0" fillId="4" fontId="2" numFmtId="164" xfId="0" applyAlignment="1" applyFont="1" applyNumberFormat="1">
      <alignment horizontal="center" readingOrder="0" vertical="center"/>
    </xf>
    <xf borderId="1" fillId="4" fontId="2" numFmtId="0" xfId="0" applyAlignment="1" applyBorder="1" applyFont="1">
      <alignment horizontal="center" readingOrder="0" vertical="center"/>
    </xf>
    <xf borderId="0" fillId="5" fontId="2" numFmtId="0" xfId="0" applyAlignment="1" applyFill="1" applyFont="1">
      <alignment horizontal="center" readingOrder="0" vertical="center"/>
    </xf>
    <xf borderId="0" fillId="5" fontId="2" numFmtId="2" xfId="0" applyAlignment="1" applyFont="1" applyNumberFormat="1">
      <alignment horizontal="center" readingOrder="0" vertical="center"/>
    </xf>
    <xf borderId="0" fillId="5" fontId="2" numFmtId="164" xfId="0" applyAlignment="1" applyFont="1" applyNumberFormat="1">
      <alignment horizontal="center" readingOrder="0" vertical="center"/>
    </xf>
    <xf borderId="1" fillId="5" fontId="2" numFmtId="0" xfId="0" applyAlignment="1" applyBorder="1" applyFont="1">
      <alignment horizontal="center" readingOrder="0" vertical="center"/>
    </xf>
    <xf borderId="0" fillId="6" fontId="2" numFmtId="0" xfId="0" applyAlignment="1" applyFill="1" applyFont="1">
      <alignment horizontal="center" readingOrder="0" vertical="center"/>
    </xf>
    <xf borderId="0" fillId="6" fontId="2" numFmtId="2" xfId="0" applyAlignment="1" applyFont="1" applyNumberFormat="1">
      <alignment horizontal="center" readingOrder="0" vertical="center"/>
    </xf>
    <xf borderId="0" fillId="6" fontId="2" numFmtId="164" xfId="0" applyAlignment="1" applyFont="1" applyNumberFormat="1">
      <alignment horizontal="center" readingOrder="0" vertical="center"/>
    </xf>
    <xf borderId="1" fillId="6" fontId="2" numFmtId="0" xfId="0" applyAlignment="1" applyBorder="1" applyFont="1">
      <alignment horizontal="center" readingOrder="0" vertical="center"/>
    </xf>
    <xf borderId="0" fillId="7" fontId="3" numFmtId="0" xfId="0" applyAlignment="1" applyFill="1" applyFont="1">
      <alignment horizontal="center" readingOrder="0"/>
    </xf>
    <xf borderId="0" fillId="7" fontId="3" numFmtId="2" xfId="0" applyAlignment="1" applyFont="1" applyNumberFormat="1">
      <alignment horizontal="center" readingOrder="0"/>
    </xf>
    <xf borderId="0" fillId="7" fontId="3" numFmtId="164" xfId="0" applyAlignment="1" applyFont="1" applyNumberFormat="1">
      <alignment horizontal="center" readingOrder="0"/>
    </xf>
    <xf borderId="1" fillId="7" fontId="3" numFmtId="0" xfId="0" applyAlignment="1" applyBorder="1" applyFont="1">
      <alignment horizontal="center"/>
    </xf>
    <xf borderId="2" fillId="7" fontId="3" numFmtId="0" xfId="0" applyAlignment="1" applyBorder="1" applyFont="1">
      <alignment horizontal="center" readingOrder="0"/>
    </xf>
    <xf borderId="0" fillId="3" fontId="2" numFmtId="0" xfId="0" applyAlignment="1" applyFon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0" fillId="8" fontId="4" numFmtId="0" xfId="0" applyAlignment="1" applyFill="1" applyFont="1">
      <alignment vertical="bottom"/>
    </xf>
    <xf borderId="0" fillId="8" fontId="4" numFmtId="14" xfId="0" applyAlignment="1" applyFont="1" applyNumberFormat="1">
      <alignment horizontal="right" vertical="bottom"/>
    </xf>
    <xf borderId="0" fillId="8" fontId="4" numFmtId="0" xfId="0" applyAlignment="1" applyFont="1">
      <alignment horizontal="right" vertical="bottom"/>
    </xf>
    <xf borderId="1" fillId="8" fontId="4" numFmtId="0" xfId="0" applyAlignment="1" applyBorder="1" applyFont="1">
      <alignment vertical="bottom"/>
    </xf>
    <xf borderId="0" fillId="9" fontId="5" numFmtId="0" xfId="0" applyFill="1" applyFont="1"/>
    <xf borderId="0" fillId="9" fontId="5" numFmtId="2" xfId="0" applyFont="1" applyNumberFormat="1"/>
    <xf borderId="0" fillId="9" fontId="5" numFmtId="164" xfId="0" applyFont="1" applyNumberFormat="1"/>
    <xf borderId="1" fillId="9" fontId="5" numFmtId="0" xfId="0" applyBorder="1" applyFont="1"/>
    <xf borderId="0" fillId="0" fontId="5" numFmtId="2" xfId="0" applyFont="1" applyNumberFormat="1"/>
    <xf borderId="0" fillId="0" fontId="5" numFmtId="164" xfId="0" applyFont="1" applyNumberFormat="1"/>
    <xf borderId="1" fillId="0" fontId="5" numFmtId="0" xfId="0" applyBorder="1" applyFont="1"/>
    <xf borderId="0" fillId="0" fontId="5" numFmtId="0" xfId="0" applyFont="1"/>
    <xf borderId="0" fillId="9" fontId="5" numFmtId="3" xfId="0" applyFont="1" applyNumberFormat="1"/>
    <xf borderId="0" fillId="9" fontId="5" numFmtId="0" xfId="0" applyAlignment="1" applyFont="1">
      <alignment horizontal="center"/>
    </xf>
    <xf borderId="0" fillId="6" fontId="4" numFmtId="0" xfId="0" applyAlignment="1" applyFont="1">
      <alignment vertical="bottom"/>
    </xf>
    <xf borderId="0" fillId="6" fontId="4" numFmtId="14" xfId="0" applyAlignment="1" applyFont="1" applyNumberFormat="1">
      <alignment horizontal="right" vertical="bottom"/>
    </xf>
    <xf borderId="0" fillId="6" fontId="4" numFmtId="0" xfId="0" applyAlignment="1" applyFont="1">
      <alignment horizontal="right" vertical="bottom"/>
    </xf>
    <xf borderId="1" fillId="6" fontId="4" numFmtId="0" xfId="0" applyAlignment="1" applyBorder="1" applyFont="1">
      <alignment vertical="bottom"/>
    </xf>
    <xf borderId="0" fillId="10" fontId="5" numFmtId="0" xfId="0" applyFill="1" applyFont="1"/>
    <xf borderId="0" fillId="9" fontId="5" numFmtId="164" xfId="0" applyFont="1" applyNumberFormat="1"/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vertical="bottom"/>
    </xf>
    <xf borderId="1" fillId="0" fontId="5" numFmtId="0" xfId="0" applyBorder="1" applyFont="1"/>
    <xf borderId="0" fillId="0" fontId="5" numFmtId="2" xfId="0" applyFont="1" applyNumberFormat="1"/>
    <xf borderId="0" fillId="0" fontId="5" numFmtId="164" xfId="0" applyFont="1" applyNumberFormat="1"/>
    <xf borderId="0" fillId="0" fontId="6" numFmtId="0" xfId="0" applyAlignment="1" applyFont="1">
      <alignment vertical="bottom"/>
    </xf>
    <xf borderId="3" fillId="7" fontId="7" numFmtId="0" xfId="0" applyAlignment="1" applyBorder="1" applyFont="1">
      <alignment readingOrder="0"/>
    </xf>
    <xf borderId="4" fillId="0" fontId="5" numFmtId="164" xfId="0" applyBorder="1" applyFont="1" applyNumberFormat="1"/>
    <xf borderId="5" fillId="0" fontId="5" numFmtId="0" xfId="0" applyBorder="1" applyFont="1"/>
    <xf borderId="3" fillId="11" fontId="7" numFmtId="0" xfId="0" applyAlignment="1" applyBorder="1" applyFill="1" applyFont="1">
      <alignment readingOrder="0"/>
    </xf>
    <xf borderId="3" fillId="11" fontId="7" numFmtId="164" xfId="0" applyAlignment="1" applyBorder="1" applyFont="1" applyNumberFormat="1">
      <alignment readingOrder="0"/>
    </xf>
    <xf borderId="0" fillId="0" fontId="5" numFmtId="164" xfId="0" applyFont="1" applyNumberFormat="1"/>
    <xf borderId="6" fillId="0" fontId="5" numFmtId="0" xfId="0" applyBorder="1" applyFont="1"/>
    <xf borderId="7" fillId="0" fontId="5" numFmtId="0" xfId="0" applyBorder="1" applyFont="1"/>
    <xf borderId="6" fillId="0" fontId="5" numFmtId="164" xfId="0" applyBorder="1" applyFont="1" applyNumberFormat="1"/>
    <xf borderId="8" fillId="0" fontId="5" numFmtId="164" xfId="0" applyBorder="1" applyFont="1" applyNumberFormat="1"/>
    <xf borderId="9" fillId="0" fontId="5" numFmtId="0" xfId="0" applyBorder="1" applyFont="1"/>
    <xf borderId="3" fillId="12" fontId="7" numFmtId="0" xfId="0" applyAlignment="1" applyBorder="1" applyFill="1" applyFont="1">
      <alignment readingOrder="0"/>
    </xf>
    <xf borderId="3" fillId="12" fontId="7" numFmtId="164" xfId="0" applyAlignment="1" applyBorder="1" applyFont="1" applyNumberFormat="1">
      <alignment readingOrder="0"/>
    </xf>
    <xf borderId="6" fillId="0" fontId="5" numFmtId="164" xfId="0" applyBorder="1" applyFont="1" applyNumberFormat="1"/>
    <xf borderId="10" fillId="0" fontId="8" numFmtId="0" xfId="0" applyAlignment="1" applyBorder="1" applyFont="1">
      <alignment readingOrder="0"/>
    </xf>
    <xf borderId="9" fillId="0" fontId="8" numFmtId="164" xfId="0" applyBorder="1" applyFont="1" applyNumberFormat="1"/>
    <xf borderId="3" fillId="10" fontId="7" numFmtId="0" xfId="0" applyAlignment="1" applyBorder="1" applyFont="1">
      <alignment readingOrder="0"/>
    </xf>
    <xf borderId="3" fillId="10" fontId="7" numFmtId="164" xfId="0" applyAlignment="1" applyBorder="1" applyFont="1" applyNumberFormat="1">
      <alignment readingOrder="0"/>
    </xf>
    <xf borderId="10" fillId="0" fontId="5" numFmtId="0" xfId="0" applyBorder="1" applyFont="1"/>
    <xf borderId="9" fillId="0" fontId="5" numFmtId="164" xfId="0" applyBorder="1" applyFont="1" applyNumberFormat="1"/>
    <xf borderId="0" fillId="0" fontId="7" numFmtId="0" xfId="0" applyAlignment="1" applyFont="1">
      <alignment readingOrder="0"/>
    </xf>
    <xf borderId="0" fillId="0" fontId="7" numFmtId="0" xfId="0" applyFont="1"/>
    <xf borderId="0" fillId="0" fontId="5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3" xfId="0" applyAlignment="1" applyFont="1" applyNumberFormat="1">
      <alignment horizontal="right" vertical="bottom"/>
    </xf>
    <xf borderId="0" fillId="0" fontId="10" numFmtId="4" xfId="0" applyAlignment="1" applyFont="1" applyNumberFormat="1">
      <alignment horizontal="right" vertical="bottom"/>
    </xf>
    <xf borderId="0" fillId="2" fontId="10" numFmtId="0" xfId="0" applyAlignment="1" applyFont="1">
      <alignment vertical="bottom"/>
    </xf>
    <xf borderId="0" fillId="0" fontId="10" numFmtId="0" xfId="0" applyFont="1"/>
    <xf borderId="0" fillId="8" fontId="10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8" fontId="10" numFmtId="0" xfId="0" applyAlignment="1" applyFont="1">
      <alignment shrinkToFit="0" vertical="bottom" wrapText="0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Principal-style">
      <tableStyleElement dxfId="1" type="headerRow"/>
      <tableStyleElement dxfId="2" type="firstRowStripe"/>
      <tableStyleElement dxfId="3" type="secondRowStripe"/>
    </tableStyle>
    <tableStyle count="2" pivot="0" name="Principal-style 2">
      <tableStyleElement dxfId="4" type="firstRowStripe"/>
      <tableStyleElement dxfId="5" type="secondRowStripe"/>
    </tableStyle>
    <tableStyle count="2" pivot="0" name="Principal-style 3"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'Análises'!$G$1</c:f>
            </c:strRef>
          </c:tx>
          <c:dPt>
            <c:idx val="0"/>
            <c:spPr>
              <a:solidFill>
                <a:srgbClr val="E6B8AF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5B0F00"/>
              </a:solidFill>
            </c:spPr>
          </c:dPt>
          <c:dPt>
            <c:idx val="3"/>
            <c:spPr>
              <a:solidFill>
                <a:srgbClr val="EB5600"/>
              </a:solidFill>
            </c:spPr>
          </c:dPt>
          <c:dPt>
            <c:idx val="4"/>
            <c:spPr>
              <a:solidFill>
                <a:srgbClr val="FF99AC"/>
              </a:solidFill>
            </c:spPr>
          </c:dPt>
          <c:dPt>
            <c:idx val="5"/>
            <c:spPr>
              <a:solidFill>
                <a:srgbClr val="B4A7D6"/>
              </a:solidFill>
            </c:spPr>
          </c:dPt>
          <c:dPt>
            <c:idx val="6"/>
            <c:spPr>
              <a:solidFill>
                <a:srgbClr val="5FB8AC"/>
              </a:solidFill>
            </c:spPr>
          </c:dPt>
          <c:dPt>
            <c:idx val="7"/>
            <c:spPr>
              <a:solidFill>
                <a:srgbClr val="6C9CBA"/>
              </a:solidFill>
            </c:spPr>
          </c:dPt>
          <c:dPt>
            <c:idx val="8"/>
            <c:spPr>
              <a:solidFill>
                <a:srgbClr val="6278A1"/>
              </a:solidFill>
            </c:spPr>
          </c:dPt>
          <c:dPt>
            <c:idx val="9"/>
            <c:spPr>
              <a:solidFill>
                <a:srgbClr val="F1894D"/>
              </a:solidFill>
            </c:spPr>
          </c:dPt>
          <c:dPt>
            <c:idx val="10"/>
            <c:spPr>
              <a:solidFill>
                <a:srgbClr val="FFB8C5"/>
              </a:solidFill>
            </c:spPr>
          </c:dPt>
          <c:dPt>
            <c:idx val="11"/>
            <c:spPr>
              <a:solidFill>
                <a:srgbClr val="FFE1CD"/>
              </a:solidFill>
            </c:spPr>
          </c:dPt>
          <c:dPt>
            <c:idx val="12"/>
            <c:spPr>
              <a:solidFill>
                <a:srgbClr val="A3D6CF"/>
              </a:solidFill>
            </c:spPr>
          </c:dPt>
          <c:dPt>
            <c:idx val="13"/>
            <c:spPr>
              <a:solidFill>
                <a:srgbClr val="ABC7D8"/>
              </a:solidFill>
            </c:spPr>
          </c:dPt>
          <c:dPt>
            <c:idx val="14"/>
            <c:spPr>
              <a:solidFill>
                <a:srgbClr val="A5B2C9"/>
              </a:solidFill>
            </c:spPr>
          </c:dPt>
          <c:dPt>
            <c:idx val="15"/>
            <c:spPr>
              <a:solidFill>
                <a:srgbClr val="F7BB99"/>
              </a:solidFill>
            </c:spPr>
          </c:dPt>
          <c:dPt>
            <c:idx val="16"/>
            <c:spPr>
              <a:solidFill>
                <a:srgbClr val="FFD6DE"/>
              </a:solidFill>
            </c:spPr>
          </c:dPt>
          <c:dPt>
            <c:idx val="17"/>
            <c:spPr>
              <a:solidFill>
                <a:srgbClr val="FFEEE3"/>
              </a:solidFill>
            </c:spPr>
          </c:dPt>
          <c:dPt>
            <c:idx val="18"/>
            <c:spPr>
              <a:solidFill>
                <a:srgbClr val="E8F5F3"/>
              </a:solidFill>
            </c:spPr>
          </c:dPt>
          <c:dPt>
            <c:idx val="19"/>
            <c:spPr>
              <a:solidFill>
                <a:srgbClr val="EAF1F5"/>
              </a:solidFill>
            </c:spPr>
          </c:dPt>
          <c:dPt>
            <c:idx val="20"/>
            <c:spPr>
              <a:solidFill>
                <a:srgbClr val="E9ECF2"/>
              </a:solidFill>
            </c:spPr>
          </c:dPt>
          <c:dPt>
            <c:idx val="21"/>
            <c:spPr>
              <a:solidFill>
                <a:srgbClr val="FDEEE6"/>
              </a:solidFill>
            </c:spPr>
          </c:dPt>
          <c:dPt>
            <c:idx val="22"/>
            <c:spPr>
              <a:solidFill>
                <a:srgbClr val="FFF5F7"/>
              </a:solidFill>
            </c:spPr>
          </c:dPt>
          <c:dPt>
            <c:idx val="23"/>
            <c:spPr>
              <a:solidFill>
                <a:srgbClr val="FFFBF8"/>
              </a:solidFill>
            </c:spPr>
          </c:dPt>
          <c:dPt>
            <c:idx val="24"/>
            <c:spPr>
              <a:solidFill>
                <a:srgbClr val="2D1317"/>
              </a:solidFill>
            </c:spPr>
          </c:dPt>
          <c:dPt>
            <c:idx val="25"/>
            <c:spPr>
              <a:solidFill>
                <a:srgbClr val="291B13"/>
              </a:solidFill>
            </c:spPr>
          </c:dPt>
          <c:dPt>
            <c:idx val="26"/>
            <c:spPr>
              <a:solidFill>
                <a:srgbClr val="2C261A"/>
              </a:solidFill>
            </c:spPr>
          </c:dPt>
          <c:dPt>
            <c:idx val="27"/>
            <c:spPr>
              <a:solidFill>
                <a:srgbClr val="032132"/>
              </a:solidFill>
            </c:spPr>
          </c:dPt>
          <c:dPt>
            <c:idx val="28"/>
            <c:spPr>
              <a:solidFill>
                <a:srgbClr val="FF1310"/>
              </a:solidFill>
            </c:spPr>
          </c:dPt>
          <c:dPt>
            <c:idx val="29"/>
            <c:spPr>
              <a:solidFill>
                <a:srgbClr val="FF080D"/>
              </a:solidFill>
            </c:spPr>
          </c:dPt>
          <c:dPt>
            <c:idx val="30"/>
            <c:spPr>
              <a:solidFill>
                <a:srgbClr val="72323B"/>
              </a:solidFill>
            </c:spPr>
          </c:dPt>
          <c:dPt>
            <c:idx val="31"/>
            <c:spPr>
              <a:solidFill>
                <a:srgbClr val="684630"/>
              </a:solidFill>
            </c:spPr>
          </c:dPt>
          <c:dPt>
            <c:idx val="32"/>
            <c:spPr>
              <a:solidFill>
                <a:srgbClr val="6F6043"/>
              </a:solidFill>
            </c:spPr>
          </c:dPt>
          <c:dPt>
            <c:idx val="33"/>
            <c:spPr>
              <a:solidFill>
                <a:srgbClr val="09547F"/>
              </a:solidFill>
            </c:spPr>
          </c:dPt>
          <c:dPt>
            <c:idx val="34"/>
            <c:spPr>
              <a:solidFill>
                <a:srgbClr val="FF3229"/>
              </a:solidFill>
            </c:spPr>
          </c:dPt>
          <c:dPt>
            <c:idx val="35"/>
            <c:spPr>
              <a:solidFill>
                <a:srgbClr val="FF1523"/>
              </a:solidFill>
            </c:spPr>
          </c:dPt>
          <c:dPt>
            <c:idx val="36"/>
            <c:spPr>
              <a:solidFill>
                <a:srgbClr val="B6515E"/>
              </a:solidFill>
            </c:spPr>
          </c:dPt>
          <c:dPt>
            <c:idx val="37"/>
            <c:spPr>
              <a:solidFill>
                <a:srgbClr val="A7704D"/>
              </a:solidFill>
            </c:spPr>
          </c:dPt>
          <c:dPt>
            <c:idx val="38"/>
            <c:spPr>
              <a:solidFill>
                <a:srgbClr val="B2996B"/>
              </a:solidFill>
            </c:spPr>
          </c:dPt>
          <c:dPt>
            <c:idx val="39"/>
            <c:spPr>
              <a:solidFill>
                <a:srgbClr val="0F86CB"/>
              </a:solidFill>
            </c:spPr>
          </c:dPt>
          <c:dPt>
            <c:idx val="40"/>
            <c:spPr>
              <a:solidFill>
                <a:srgbClr val="FF5141"/>
              </a:solidFill>
            </c:spPr>
          </c:dPt>
          <c:dPt>
            <c:idx val="41"/>
            <c:spPr>
              <a:solidFill>
                <a:srgbClr val="FF2138"/>
              </a:solidFill>
            </c:spPr>
          </c:dPt>
          <c:dPt>
            <c:idx val="42"/>
            <c:spPr>
              <a:solidFill>
                <a:srgbClr val="FB6F82"/>
              </a:solidFill>
            </c:spPr>
          </c:dPt>
          <c:dPt>
            <c:idx val="43"/>
            <c:spPr>
              <a:solidFill>
                <a:srgbClr val="E69A6B"/>
              </a:solidFill>
            </c:spPr>
          </c:dPt>
          <c:dPt>
            <c:idx val="44"/>
            <c:spPr>
              <a:solidFill>
                <a:srgbClr val="F5D394"/>
              </a:solidFill>
            </c:spPr>
          </c:dPt>
          <c:dPt>
            <c:idx val="45"/>
            <c:spPr>
              <a:solidFill>
                <a:srgbClr val="15B918"/>
              </a:solidFill>
            </c:spPr>
          </c:dPt>
          <c:dPt>
            <c:idx val="46"/>
            <c:spPr>
              <a:solidFill>
                <a:srgbClr val="FF6F5A"/>
              </a:solidFill>
            </c:spPr>
          </c:dPt>
          <c:dPt>
            <c:idx val="47"/>
            <c:spPr>
              <a:solidFill>
                <a:srgbClr val="FF2E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'Análises'!$E$2:$E$49</c:f>
            </c:strRef>
          </c:cat>
          <c:val>
            <c:numRef>
              <c:f>'Análises'!$G$2:$G$49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Variação (R$)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'Análises'!$A$11:$A$13</c:f>
            </c:strRef>
          </c:cat>
          <c:val>
            <c:numRef>
              <c:f>'Análises'!$B$11:$B$13</c:f>
              <c:numCache/>
            </c:numRef>
          </c:val>
        </c:ser>
        <c:axId val="991895864"/>
        <c:axId val="2012222758"/>
      </c:barChart>
      <c:catAx>
        <c:axId val="9918958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2012222758"/>
      </c:catAx>
      <c:valAx>
        <c:axId val="20122227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9918958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Variação(R$) versus Categoria_Idade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'Análises'!$A$20:$A$22</c:f>
            </c:strRef>
          </c:cat>
          <c:val>
            <c:numRef>
              <c:f>'Análises'!$B$20:$B$22</c:f>
              <c:numCache/>
            </c:numRef>
          </c:val>
        </c:ser>
        <c:axId val="1572434392"/>
        <c:axId val="584692989"/>
      </c:barChart>
      <c:catAx>
        <c:axId val="15724343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Categoria_Idade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584692989"/>
      </c:catAx>
      <c:valAx>
        <c:axId val="5846929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Variação(R$)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57243439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Quantidade Empresas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'Análises'!$C$19</c:f>
            </c:strRef>
          </c:tx>
          <c:dPt>
            <c:idx val="0"/>
            <c:spPr>
              <a:solidFill>
                <a:srgbClr val="FF9900"/>
              </a:solidFill>
            </c:spPr>
          </c:dPt>
          <c:dPt>
            <c:idx val="1"/>
            <c:spPr>
              <a:solidFill>
                <a:srgbClr val="C27BA0"/>
              </a:solidFill>
            </c:spPr>
          </c:dPt>
          <c:dPt>
            <c:idx val="2"/>
            <c:spPr>
              <a:solidFill>
                <a:srgbClr val="A4C2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'Análises'!$A$20:$A$22</c:f>
            </c:strRef>
          </c:cat>
          <c:val>
            <c:numRef>
              <c:f>'Análises'!$C$20:$C$22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962025</xdr:colOff>
      <xdr:row>0</xdr:row>
      <xdr:rowOff>0</xdr:rowOff>
    </xdr:from>
    <xdr:ext cx="7029450" cy="4371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962025</xdr:colOff>
      <xdr:row>23</xdr:row>
      <xdr:rowOff>19050</xdr:rowOff>
    </xdr:from>
    <xdr:ext cx="7029450" cy="27622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962025</xdr:colOff>
      <xdr:row>37</xdr:row>
      <xdr:rowOff>180975</xdr:rowOff>
    </xdr:from>
    <xdr:ext cx="8439150" cy="32385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962025</xdr:colOff>
      <xdr:row>55</xdr:row>
      <xdr:rowOff>19050</xdr:rowOff>
    </xdr:from>
    <xdr:ext cx="4733925" cy="29146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F2:AJ83" displayName="Table_1" name="Table_1" id="1">
  <tableColumns count="5">
    <tableColumn name="Quantidade de Ações" id="1"/>
    <tableColumn name="Nome empresa" id="2"/>
    <tableColumn name="Segmento" id="3"/>
    <tableColumn name="Idade" id="4"/>
    <tableColumn name="Faixa_Idade" id="5"/>
  </tableColumns>
  <tableStyleInfo name="Principal-style" showColumnStripes="0" showFirstColumn="1" showLastColumn="1" showRowStripes="1"/>
</table>
</file>

<file path=xl/tables/table2.xml><?xml version="1.0" encoding="utf-8"?>
<table xmlns="http://schemas.openxmlformats.org/spreadsheetml/2006/main" headerRowCount="0" ref="L3:AE83" displayName="Table_2" name="Table_2" id="2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Principal-style 2" showColumnStripes="0" showFirstColumn="1" showLastColumn="1" showRowStripes="1"/>
</table>
</file>

<file path=xl/tables/table3.xml><?xml version="1.0" encoding="utf-8"?>
<table xmlns="http://schemas.openxmlformats.org/spreadsheetml/2006/main" headerRowCount="0" ref="H85" displayName="Table_3" name="Table_3" id="3">
  <tableColumns count="1">
    <tableColumn name="Column1" id="1"/>
  </tableColumns>
  <tableStyleInfo name="Principal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F4CCCC"/>
      </a:lt1>
      <a:dk2>
        <a:srgbClr val="1A1A1A"/>
      </a:dk2>
      <a:lt2>
        <a:srgbClr val="F4CCCC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25"/>
    <col customWidth="1" min="12" max="12" width="15.63"/>
    <col customWidth="1" min="13" max="13" width="18.88"/>
    <col customWidth="1" min="14" max="14" width="17.5"/>
    <col customWidth="1" min="15" max="15" width="10.0"/>
    <col customWidth="1" min="16" max="16" width="19.88"/>
    <col customWidth="1" min="17" max="17" width="23.75"/>
    <col customWidth="1" min="18" max="18" width="21.0"/>
    <col customWidth="1" min="19" max="19" width="10.0"/>
    <col customWidth="1" min="20" max="20" width="16.38"/>
    <col customWidth="1" min="21" max="21" width="19.75"/>
    <col customWidth="1" min="22" max="22" width="18.0"/>
    <col customWidth="1" min="23" max="23" width="10.0"/>
    <col customWidth="1" min="24" max="24" width="16.0"/>
    <col customWidth="1" min="25" max="25" width="19.88"/>
    <col customWidth="1" min="26" max="26" width="18.0"/>
    <col customWidth="1" min="27" max="27" width="9.88"/>
    <col customWidth="1" min="28" max="28" width="20.88"/>
    <col customWidth="1" min="29" max="29" width="24.25"/>
    <col customWidth="1" min="30" max="30" width="22.13"/>
    <col customWidth="1" min="31" max="31" width="9.88"/>
    <col customWidth="1" min="32" max="32" width="19.75"/>
    <col customWidth="1" min="33" max="33" width="17.0"/>
    <col customWidth="1" min="34" max="34" width="26.75"/>
    <col customWidth="1" min="35" max="35" width="5.75"/>
    <col customWidth="1" min="36" max="36" width="16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3" t="s">
        <v>0</v>
      </c>
      <c r="M1" s="4"/>
      <c r="N1" s="5"/>
      <c r="O1" s="6"/>
      <c r="P1" s="7" t="s">
        <v>1</v>
      </c>
      <c r="Q1" s="8"/>
      <c r="R1" s="9"/>
      <c r="S1" s="10"/>
      <c r="T1" s="11" t="s">
        <v>2</v>
      </c>
      <c r="U1" s="12"/>
      <c r="V1" s="13"/>
      <c r="W1" s="14"/>
      <c r="X1" s="15" t="s">
        <v>3</v>
      </c>
      <c r="Y1" s="16"/>
      <c r="Z1" s="17"/>
      <c r="AA1" s="18"/>
      <c r="AB1" s="19" t="s">
        <v>4</v>
      </c>
      <c r="AC1" s="20"/>
      <c r="AD1" s="21"/>
      <c r="AE1" s="22"/>
      <c r="AF1" s="7"/>
      <c r="AG1" s="7"/>
      <c r="AH1" s="7"/>
      <c r="AI1" s="7"/>
      <c r="AJ1" s="7"/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2" t="s">
        <v>15</v>
      </c>
      <c r="L2" s="3" t="s">
        <v>16</v>
      </c>
      <c r="M2" s="4" t="s">
        <v>17</v>
      </c>
      <c r="N2" s="5" t="s">
        <v>18</v>
      </c>
      <c r="O2" s="6" t="s">
        <v>19</v>
      </c>
      <c r="P2" s="7" t="s">
        <v>20</v>
      </c>
      <c r="Q2" s="8" t="s">
        <v>21</v>
      </c>
      <c r="R2" s="9" t="s">
        <v>22</v>
      </c>
      <c r="S2" s="10" t="s">
        <v>19</v>
      </c>
      <c r="T2" s="11" t="s">
        <v>23</v>
      </c>
      <c r="U2" s="12" t="s">
        <v>24</v>
      </c>
      <c r="V2" s="13" t="s">
        <v>25</v>
      </c>
      <c r="W2" s="14" t="s">
        <v>19</v>
      </c>
      <c r="X2" s="15" t="s">
        <v>26</v>
      </c>
      <c r="Y2" s="16" t="s">
        <v>27</v>
      </c>
      <c r="Z2" s="17" t="s">
        <v>28</v>
      </c>
      <c r="AA2" s="18" t="s">
        <v>19</v>
      </c>
      <c r="AB2" s="23" t="s">
        <v>29</v>
      </c>
      <c r="AC2" s="20" t="s">
        <v>30</v>
      </c>
      <c r="AD2" s="21" t="s">
        <v>31</v>
      </c>
      <c r="AE2" s="22" t="s">
        <v>19</v>
      </c>
      <c r="AF2" s="7" t="s">
        <v>32</v>
      </c>
      <c r="AG2" s="24" t="s">
        <v>33</v>
      </c>
      <c r="AH2" s="24" t="s">
        <v>34</v>
      </c>
      <c r="AI2" s="24" t="s">
        <v>35</v>
      </c>
      <c r="AJ2" s="25" t="s">
        <v>36</v>
      </c>
    </row>
    <row r="3">
      <c r="A3" s="26" t="s">
        <v>37</v>
      </c>
      <c r="B3" s="27">
        <v>45317.0</v>
      </c>
      <c r="C3" s="28">
        <v>9.5</v>
      </c>
      <c r="D3" s="28">
        <v>5.2</v>
      </c>
      <c r="E3" s="28">
        <v>11.76</v>
      </c>
      <c r="F3" s="28">
        <v>2.26</v>
      </c>
      <c r="G3" s="28">
        <v>2.26</v>
      </c>
      <c r="H3" s="28">
        <v>15.97</v>
      </c>
      <c r="I3" s="28">
        <v>9.18</v>
      </c>
      <c r="J3" s="28">
        <v>9.56</v>
      </c>
      <c r="K3" s="29" t="s">
        <v>38</v>
      </c>
      <c r="L3" s="30">
        <f t="shared" ref="L3:L83" si="1">D3/100</f>
        <v>0.052</v>
      </c>
      <c r="M3" s="31">
        <f t="shared" ref="M3:M83" si="2">C3/(L3+1)</f>
        <v>9.030418251</v>
      </c>
      <c r="N3" s="32">
        <f t="shared" ref="N3:N83" si="3">(C3-M3)*AF3</f>
        <v>241889725.4</v>
      </c>
      <c r="O3" s="33" t="str">
        <f t="shared" ref="O3:O83" si="4">IF(N3&gt;0,"Subiu",IF(N3&lt;0,"Desceu","Estável"))</f>
        <v>Subiu</v>
      </c>
      <c r="P3" s="30">
        <f t="shared" ref="P3:P83" si="5">E3/100</f>
        <v>0.1176</v>
      </c>
      <c r="Q3" s="34">
        <f t="shared" ref="Q3:Q83" si="6">C3/(P3+1)</f>
        <v>8.50035791</v>
      </c>
      <c r="R3" s="35">
        <f t="shared" ref="R3:R83" si="7">(C3-Q3)*AF3</f>
        <v>514933025.4</v>
      </c>
      <c r="S3" s="36" t="str">
        <f t="shared" ref="S3:S83" si="8">IF(R3&gt;0,"Subiu",IF(R3&lt;0,"Desceu","Estável"))</f>
        <v>Subiu</v>
      </c>
      <c r="T3" s="37">
        <f t="shared" ref="T3:T83" si="9">F3/100</f>
        <v>0.0226</v>
      </c>
      <c r="U3" s="34">
        <f t="shared" ref="U3:U83" si="10">C3/(1+T3)</f>
        <v>9.290044983</v>
      </c>
      <c r="V3" s="35">
        <f t="shared" ref="V3:V83" si="11">(C3-U3)*AF3</f>
        <v>108151480.4</v>
      </c>
      <c r="W3" s="36" t="str">
        <f t="shared" ref="W3:W83" si="12">IF(V3&gt;0,"Subiu",IF(V3&lt;0,"Desceu","Estável"))</f>
        <v>Subiu</v>
      </c>
      <c r="X3" s="37">
        <f t="shared" ref="X3:X83" si="13">G3/100</f>
        <v>0.0226</v>
      </c>
      <c r="Y3" s="34">
        <f t="shared" ref="Y3:Y83" si="14">C3/(1+X3)</f>
        <v>9.290044983</v>
      </c>
      <c r="Z3" s="35">
        <f t="shared" ref="Z3:Z83" si="15">(C3-Y3)*AF3</f>
        <v>108151480.4</v>
      </c>
      <c r="AA3" s="36" t="str">
        <f t="shared" ref="AA3:AA83" si="16">IF(Z3&gt;0,"Subiu",IF(Z3&lt;0,"Desceu","Estável"))</f>
        <v>Subiu</v>
      </c>
      <c r="AB3" s="37">
        <f t="shared" ref="AB3:AB83" si="17">H3/100</f>
        <v>0.1597</v>
      </c>
      <c r="AC3" s="34">
        <f t="shared" ref="AC3:AC83" si="18">C3/(1+AB3)</f>
        <v>8.191773735</v>
      </c>
      <c r="AD3" s="35">
        <f t="shared" ref="AD3:AD83" si="19">(C3-AC3)*AF3</f>
        <v>673890100.7</v>
      </c>
      <c r="AE3" s="36" t="str">
        <f t="shared" ref="AE3:AE83" si="20">IF(AD3&gt;0,"Subiu",IF(AD3&lt;0,"Desceu","Estável"))</f>
        <v>Subiu</v>
      </c>
      <c r="AF3" s="38">
        <f>VLOOKUP(A3,Total_de_acoes!A:B,2,0)</f>
        <v>515117391</v>
      </c>
      <c r="AG3" s="30" t="str">
        <f>VLOOKUP(A3,Ticker!A:B,2,0)</f>
        <v>Usiminas</v>
      </c>
      <c r="AH3" s="30" t="str">
        <f>VLOOKUP(AG3,Segmento_Idade!A:C,2,0)</f>
        <v>Siderurgia</v>
      </c>
      <c r="AI3" s="39">
        <f>VLOOKUP(AG3,Segmento_Idade!A:C,3,0)</f>
        <v>67</v>
      </c>
      <c r="AJ3" s="33" t="str">
        <f t="shared" ref="AJ3:AJ83" si="21">IF(AI3&gt;100,"Mais de 100 anos",IF(AI3&lt;50,"Menos de 50 anos","Entre 50 e 100 anos"))</f>
        <v>Entre 50 e 100 anos</v>
      </c>
    </row>
    <row r="4">
      <c r="A4" s="40" t="s">
        <v>39</v>
      </c>
      <c r="B4" s="41">
        <v>45317.0</v>
      </c>
      <c r="C4" s="42">
        <v>6.82</v>
      </c>
      <c r="D4" s="42">
        <v>2.4</v>
      </c>
      <c r="E4" s="42">
        <v>2.4</v>
      </c>
      <c r="F4" s="42">
        <v>-12.11</v>
      </c>
      <c r="G4" s="42">
        <v>-12.11</v>
      </c>
      <c r="H4" s="42">
        <v>50.56</v>
      </c>
      <c r="I4" s="42">
        <v>6.66</v>
      </c>
      <c r="J4" s="42">
        <v>6.86</v>
      </c>
      <c r="K4" s="43" t="s">
        <v>40</v>
      </c>
      <c r="L4" s="44">
        <f t="shared" si="1"/>
        <v>0.024</v>
      </c>
      <c r="M4" s="31">
        <f t="shared" si="2"/>
        <v>6.66015625</v>
      </c>
      <c r="N4" s="32">
        <f t="shared" si="3"/>
        <v>177515970.3</v>
      </c>
      <c r="O4" s="33" t="str">
        <f t="shared" si="4"/>
        <v>Subiu</v>
      </c>
      <c r="P4" s="30">
        <f t="shared" si="5"/>
        <v>0.024</v>
      </c>
      <c r="Q4" s="34">
        <f t="shared" si="6"/>
        <v>6.66015625</v>
      </c>
      <c r="R4" s="35">
        <f t="shared" si="7"/>
        <v>177515970.3</v>
      </c>
      <c r="S4" s="36" t="str">
        <f t="shared" si="8"/>
        <v>Subiu</v>
      </c>
      <c r="T4" s="37">
        <f t="shared" si="9"/>
        <v>-0.1211</v>
      </c>
      <c r="U4" s="34">
        <f t="shared" si="10"/>
        <v>7.759699625</v>
      </c>
      <c r="V4" s="35">
        <f t="shared" si="11"/>
        <v>-1043592200</v>
      </c>
      <c r="W4" s="36" t="str">
        <f t="shared" si="12"/>
        <v>Desceu</v>
      </c>
      <c r="X4" s="37">
        <f t="shared" si="13"/>
        <v>-0.1211</v>
      </c>
      <c r="Y4" s="34">
        <f t="shared" si="14"/>
        <v>7.759699625</v>
      </c>
      <c r="Z4" s="35">
        <f t="shared" si="15"/>
        <v>-1043592200</v>
      </c>
      <c r="AA4" s="36" t="str">
        <f t="shared" si="16"/>
        <v>Desceu</v>
      </c>
      <c r="AB4" s="37">
        <f t="shared" si="17"/>
        <v>0.5056</v>
      </c>
      <c r="AC4" s="34">
        <f t="shared" si="18"/>
        <v>4.529755579</v>
      </c>
      <c r="AD4" s="35">
        <f t="shared" si="19"/>
        <v>2543452344</v>
      </c>
      <c r="AE4" s="36" t="str">
        <f t="shared" si="20"/>
        <v>Subiu</v>
      </c>
      <c r="AF4" s="38">
        <f>VLOOKUP(A4,Total_de_acoes!A:B,2,0)</f>
        <v>1110559345</v>
      </c>
      <c r="AG4" s="30" t="str">
        <f>VLOOKUP(A4,Ticker!A:B,2,0)</f>
        <v>CSN Mineração</v>
      </c>
      <c r="AH4" s="30" t="str">
        <f>VLOOKUP(AG4,Segmento_Idade!A:C,2,0)</f>
        <v>Mineração</v>
      </c>
      <c r="AI4" s="39">
        <f>VLOOKUP(AG4,Segmento_Idade!A:C,3,0)</f>
        <v>82</v>
      </c>
      <c r="AJ4" s="33" t="str">
        <f t="shared" si="21"/>
        <v>Entre 50 e 100 anos</v>
      </c>
    </row>
    <row r="5">
      <c r="A5" s="26" t="s">
        <v>41</v>
      </c>
      <c r="B5" s="27">
        <v>45317.0</v>
      </c>
      <c r="C5" s="28">
        <v>41.96</v>
      </c>
      <c r="D5" s="28">
        <v>2.19</v>
      </c>
      <c r="E5" s="28">
        <v>7.73</v>
      </c>
      <c r="F5" s="28">
        <v>7.64</v>
      </c>
      <c r="G5" s="28">
        <v>7.64</v>
      </c>
      <c r="H5" s="28">
        <v>77.55</v>
      </c>
      <c r="I5" s="28">
        <v>40.81</v>
      </c>
      <c r="J5" s="28">
        <v>42.34</v>
      </c>
      <c r="K5" s="29" t="s">
        <v>42</v>
      </c>
      <c r="L5" s="30">
        <f t="shared" si="1"/>
        <v>0.0219</v>
      </c>
      <c r="M5" s="31">
        <f t="shared" si="2"/>
        <v>41.06076916</v>
      </c>
      <c r="N5" s="32">
        <f t="shared" si="3"/>
        <v>2140059394</v>
      </c>
      <c r="O5" s="33" t="str">
        <f t="shared" si="4"/>
        <v>Subiu</v>
      </c>
      <c r="P5" s="30">
        <f t="shared" si="5"/>
        <v>0.0773</v>
      </c>
      <c r="Q5" s="34">
        <f t="shared" si="6"/>
        <v>38.94922491</v>
      </c>
      <c r="R5" s="35">
        <f t="shared" si="7"/>
        <v>7165276351</v>
      </c>
      <c r="S5" s="36" t="str">
        <f t="shared" si="8"/>
        <v>Subiu</v>
      </c>
      <c r="T5" s="37">
        <f t="shared" si="9"/>
        <v>0.0764</v>
      </c>
      <c r="U5" s="34">
        <f t="shared" si="10"/>
        <v>38.98179116</v>
      </c>
      <c r="V5" s="35">
        <f t="shared" si="11"/>
        <v>7087772680</v>
      </c>
      <c r="W5" s="36" t="str">
        <f t="shared" si="12"/>
        <v>Subiu</v>
      </c>
      <c r="X5" s="37">
        <f t="shared" si="13"/>
        <v>0.0764</v>
      </c>
      <c r="Y5" s="34">
        <f t="shared" si="14"/>
        <v>38.98179116</v>
      </c>
      <c r="Z5" s="35">
        <f t="shared" si="15"/>
        <v>7087772680</v>
      </c>
      <c r="AA5" s="36" t="str">
        <f t="shared" si="16"/>
        <v>Subiu</v>
      </c>
      <c r="AB5" s="37">
        <f t="shared" si="17"/>
        <v>0.7755</v>
      </c>
      <c r="AC5" s="34">
        <f t="shared" si="18"/>
        <v>23.6327795</v>
      </c>
      <c r="AD5" s="35">
        <f t="shared" si="19"/>
        <v>43616542549</v>
      </c>
      <c r="AE5" s="36" t="str">
        <f t="shared" si="20"/>
        <v>Subiu</v>
      </c>
      <c r="AF5" s="38">
        <f>VLOOKUP(A5,Total_de_acoes!A:B,2,0)</f>
        <v>2379877655</v>
      </c>
      <c r="AG5" s="30" t="str">
        <f>VLOOKUP(A5,Ticker!A:B,2,0)</f>
        <v>Petrobras</v>
      </c>
      <c r="AH5" s="30" t="str">
        <f>VLOOKUP(AG5,Segmento_Idade!A:C,2,0)</f>
        <v>Petróleo e Gás</v>
      </c>
      <c r="AI5" s="39">
        <f>VLOOKUP(AG5,Segmento_Idade!A:C,3,0)</f>
        <v>70</v>
      </c>
      <c r="AJ5" s="33" t="str">
        <f t="shared" si="21"/>
        <v>Entre 50 e 100 anos</v>
      </c>
    </row>
    <row r="6">
      <c r="A6" s="40" t="s">
        <v>43</v>
      </c>
      <c r="B6" s="41">
        <v>45317.0</v>
      </c>
      <c r="C6" s="42">
        <v>52.91</v>
      </c>
      <c r="D6" s="42">
        <v>2.04</v>
      </c>
      <c r="E6" s="42">
        <v>2.14</v>
      </c>
      <c r="F6" s="42">
        <v>-4.89</v>
      </c>
      <c r="G6" s="42">
        <v>-4.89</v>
      </c>
      <c r="H6" s="42">
        <v>18.85</v>
      </c>
      <c r="I6" s="42">
        <v>51.89</v>
      </c>
      <c r="J6" s="42">
        <v>53.17</v>
      </c>
      <c r="K6" s="43" t="s">
        <v>44</v>
      </c>
      <c r="L6" s="37">
        <f t="shared" si="1"/>
        <v>0.0204</v>
      </c>
      <c r="M6" s="31">
        <f t="shared" si="2"/>
        <v>51.85221482</v>
      </c>
      <c r="N6" s="32">
        <f t="shared" si="3"/>
        <v>722946282.7</v>
      </c>
      <c r="O6" s="33" t="str">
        <f t="shared" si="4"/>
        <v>Subiu</v>
      </c>
      <c r="P6" s="30">
        <f t="shared" si="5"/>
        <v>0.0214</v>
      </c>
      <c r="Q6" s="34">
        <f t="shared" si="6"/>
        <v>51.80144899</v>
      </c>
      <c r="R6" s="35">
        <f t="shared" si="7"/>
        <v>757642330.6</v>
      </c>
      <c r="S6" s="36" t="str">
        <f t="shared" si="8"/>
        <v>Subiu</v>
      </c>
      <c r="T6" s="37">
        <f t="shared" si="9"/>
        <v>-0.0489</v>
      </c>
      <c r="U6" s="34">
        <f t="shared" si="10"/>
        <v>55.63032278</v>
      </c>
      <c r="V6" s="35">
        <f t="shared" si="11"/>
        <v>-1859212322</v>
      </c>
      <c r="W6" s="36" t="str">
        <f t="shared" si="12"/>
        <v>Desceu</v>
      </c>
      <c r="X6" s="37">
        <f t="shared" si="13"/>
        <v>-0.0489</v>
      </c>
      <c r="Y6" s="34">
        <f t="shared" si="14"/>
        <v>55.63032278</v>
      </c>
      <c r="Z6" s="35">
        <f t="shared" si="15"/>
        <v>-1859212322</v>
      </c>
      <c r="AA6" s="36" t="str">
        <f t="shared" si="16"/>
        <v>Desceu</v>
      </c>
      <c r="AB6" s="37">
        <f t="shared" si="17"/>
        <v>0.1885</v>
      </c>
      <c r="AC6" s="34">
        <f t="shared" si="18"/>
        <v>44.51830038</v>
      </c>
      <c r="AD6" s="35">
        <f t="shared" si="19"/>
        <v>5735330905</v>
      </c>
      <c r="AE6" s="36" t="str">
        <f t="shared" si="20"/>
        <v>Subiu</v>
      </c>
      <c r="AF6" s="38">
        <f>VLOOKUP(A6,Total_de_acoes!A:B,2,0)</f>
        <v>683452836</v>
      </c>
      <c r="AG6" s="30" t="str">
        <f>VLOOKUP(A6,Ticker!A:B,2,0)</f>
        <v>Suzano</v>
      </c>
      <c r="AH6" s="30" t="str">
        <f>VLOOKUP(AG6,Segmento_Idade!A:C,2,0)</f>
        <v>Papel e Celulose</v>
      </c>
      <c r="AI6" s="39">
        <f>VLOOKUP(AG6,Segmento_Idade!A:C,3,0)</f>
        <v>99</v>
      </c>
      <c r="AJ6" s="33" t="str">
        <f t="shared" si="21"/>
        <v>Entre 50 e 100 anos</v>
      </c>
    </row>
    <row r="7">
      <c r="A7" s="26" t="s">
        <v>45</v>
      </c>
      <c r="B7" s="27">
        <v>45317.0</v>
      </c>
      <c r="C7" s="28">
        <v>37.1</v>
      </c>
      <c r="D7" s="28">
        <v>2.03</v>
      </c>
      <c r="E7" s="28">
        <v>2.49</v>
      </c>
      <c r="F7" s="28">
        <v>-3.66</v>
      </c>
      <c r="G7" s="28">
        <v>-3.66</v>
      </c>
      <c r="H7" s="28">
        <v>20.7</v>
      </c>
      <c r="I7" s="28">
        <v>36.37</v>
      </c>
      <c r="J7" s="28">
        <v>37.32</v>
      </c>
      <c r="K7" s="29" t="s">
        <v>46</v>
      </c>
      <c r="L7" s="37">
        <f t="shared" si="1"/>
        <v>0.0203</v>
      </c>
      <c r="M7" s="31">
        <f t="shared" si="2"/>
        <v>36.36185436</v>
      </c>
      <c r="N7" s="32">
        <f t="shared" si="3"/>
        <v>138573955.1</v>
      </c>
      <c r="O7" s="33" t="str">
        <f t="shared" si="4"/>
        <v>Subiu</v>
      </c>
      <c r="P7" s="30">
        <f t="shared" si="5"/>
        <v>0.0249</v>
      </c>
      <c r="Q7" s="34">
        <f t="shared" si="6"/>
        <v>36.19865353</v>
      </c>
      <c r="R7" s="35">
        <f t="shared" si="7"/>
        <v>169212061</v>
      </c>
      <c r="S7" s="36" t="str">
        <f t="shared" si="8"/>
        <v>Subiu</v>
      </c>
      <c r="T7" s="37">
        <f t="shared" si="9"/>
        <v>-0.0366</v>
      </c>
      <c r="U7" s="34">
        <f t="shared" si="10"/>
        <v>38.50944571</v>
      </c>
      <c r="V7" s="35">
        <f t="shared" si="11"/>
        <v>-264598820.9</v>
      </c>
      <c r="W7" s="36" t="str">
        <f t="shared" si="12"/>
        <v>Desceu</v>
      </c>
      <c r="X7" s="37">
        <f t="shared" si="13"/>
        <v>-0.0366</v>
      </c>
      <c r="Y7" s="34">
        <f t="shared" si="14"/>
        <v>38.50944571</v>
      </c>
      <c r="Z7" s="35">
        <f t="shared" si="15"/>
        <v>-264598820.9</v>
      </c>
      <c r="AA7" s="36" t="str">
        <f t="shared" si="16"/>
        <v>Desceu</v>
      </c>
      <c r="AB7" s="37">
        <f t="shared" si="17"/>
        <v>0.207</v>
      </c>
      <c r="AC7" s="34">
        <f t="shared" si="18"/>
        <v>30.73736537</v>
      </c>
      <c r="AD7" s="35">
        <f t="shared" si="19"/>
        <v>1194473548</v>
      </c>
      <c r="AE7" s="36" t="str">
        <f t="shared" si="20"/>
        <v>Subiu</v>
      </c>
      <c r="AF7" s="38">
        <f>VLOOKUP(A7,Total_de_acoes!A:B,2,0)</f>
        <v>187732538</v>
      </c>
      <c r="AG7" s="30" t="str">
        <f>VLOOKUP(A7,Ticker!A:B,2,0)</f>
        <v>CPFL Energia</v>
      </c>
      <c r="AH7" s="30" t="str">
        <f>VLOOKUP(AG7,Segmento_Idade!A:C,2,0)</f>
        <v>Energia</v>
      </c>
      <c r="AI7" s="39">
        <f>VLOOKUP(AG7,Segmento_Idade!A:C,3,0)</f>
        <v>111</v>
      </c>
      <c r="AJ7" s="33" t="str">
        <f t="shared" si="21"/>
        <v>Mais de 100 anos</v>
      </c>
    </row>
    <row r="8">
      <c r="A8" s="40" t="s">
        <v>47</v>
      </c>
      <c r="B8" s="41">
        <v>45317.0</v>
      </c>
      <c r="C8" s="42">
        <v>45.69</v>
      </c>
      <c r="D8" s="42">
        <v>1.98</v>
      </c>
      <c r="E8" s="42">
        <v>2.42</v>
      </c>
      <c r="F8" s="42">
        <v>-0.78</v>
      </c>
      <c r="G8" s="42">
        <v>-0.78</v>
      </c>
      <c r="H8" s="42">
        <v>8.08</v>
      </c>
      <c r="I8" s="42">
        <v>44.25</v>
      </c>
      <c r="J8" s="42">
        <v>45.69</v>
      </c>
      <c r="K8" s="43" t="s">
        <v>48</v>
      </c>
      <c r="L8" s="37">
        <f t="shared" si="1"/>
        <v>0.0198</v>
      </c>
      <c r="M8" s="31">
        <f t="shared" si="2"/>
        <v>44.80290253</v>
      </c>
      <c r="N8" s="32">
        <f t="shared" si="3"/>
        <v>709687498.2</v>
      </c>
      <c r="O8" s="33" t="str">
        <f t="shared" si="4"/>
        <v>Subiu</v>
      </c>
      <c r="P8" s="30">
        <f t="shared" si="5"/>
        <v>0.0242</v>
      </c>
      <c r="Q8" s="34">
        <f t="shared" si="6"/>
        <v>44.61042765</v>
      </c>
      <c r="R8" s="35">
        <f t="shared" si="7"/>
        <v>863669467.5</v>
      </c>
      <c r="S8" s="36" t="str">
        <f t="shared" si="8"/>
        <v>Subiu</v>
      </c>
      <c r="T8" s="37">
        <f t="shared" si="9"/>
        <v>-0.0078</v>
      </c>
      <c r="U8" s="34">
        <f t="shared" si="10"/>
        <v>46.04918363</v>
      </c>
      <c r="V8" s="35">
        <f t="shared" si="11"/>
        <v>-287350761.3</v>
      </c>
      <c r="W8" s="36" t="str">
        <f t="shared" si="12"/>
        <v>Desceu</v>
      </c>
      <c r="X8" s="37">
        <f t="shared" si="13"/>
        <v>-0.0078</v>
      </c>
      <c r="Y8" s="34">
        <f t="shared" si="14"/>
        <v>46.04918363</v>
      </c>
      <c r="Z8" s="35">
        <f t="shared" si="15"/>
        <v>-287350761.3</v>
      </c>
      <c r="AA8" s="36" t="str">
        <f t="shared" si="16"/>
        <v>Desceu</v>
      </c>
      <c r="AB8" s="37">
        <f t="shared" si="17"/>
        <v>0.0808</v>
      </c>
      <c r="AC8" s="34">
        <f t="shared" si="18"/>
        <v>42.2742413</v>
      </c>
      <c r="AD8" s="35">
        <f t="shared" si="19"/>
        <v>2732643623</v>
      </c>
      <c r="AE8" s="36" t="str">
        <f t="shared" si="20"/>
        <v>Subiu</v>
      </c>
      <c r="AF8" s="38">
        <f>VLOOKUP(A8,Total_de_acoes!A:B,2,0)</f>
        <v>800010734</v>
      </c>
      <c r="AG8" s="30" t="str">
        <f>VLOOKUP(A8,Ticker!A:B,2,0)</f>
        <v>PetroRio</v>
      </c>
      <c r="AH8" s="30" t="str">
        <f>VLOOKUP(AG8,Segmento_Idade!A:C,2,0)</f>
        <v>Petróleo e Gás</v>
      </c>
      <c r="AI8" s="39">
        <f>VLOOKUP(AG8,Segmento_Idade!A:C,3,0)</f>
        <v>14</v>
      </c>
      <c r="AJ8" s="33" t="str">
        <f t="shared" si="21"/>
        <v>Menos de 50 anos</v>
      </c>
    </row>
    <row r="9">
      <c r="A9" s="26" t="s">
        <v>49</v>
      </c>
      <c r="B9" s="27">
        <v>45317.0</v>
      </c>
      <c r="C9" s="28">
        <v>39.96</v>
      </c>
      <c r="D9" s="28">
        <v>1.73</v>
      </c>
      <c r="E9" s="28">
        <v>6.47</v>
      </c>
      <c r="F9" s="28">
        <v>7.3</v>
      </c>
      <c r="G9" s="28">
        <v>7.3</v>
      </c>
      <c r="H9" s="28">
        <v>95.01</v>
      </c>
      <c r="I9" s="28">
        <v>38.91</v>
      </c>
      <c r="J9" s="28">
        <v>40.09</v>
      </c>
      <c r="K9" s="29" t="s">
        <v>50</v>
      </c>
      <c r="L9" s="37">
        <f t="shared" si="1"/>
        <v>0.0173</v>
      </c>
      <c r="M9" s="31">
        <f t="shared" si="2"/>
        <v>39.28044825</v>
      </c>
      <c r="N9" s="32">
        <f t="shared" si="3"/>
        <v>3103136291</v>
      </c>
      <c r="O9" s="33" t="str">
        <f t="shared" si="4"/>
        <v>Subiu</v>
      </c>
      <c r="P9" s="30">
        <f t="shared" si="5"/>
        <v>0.0647</v>
      </c>
      <c r="Q9" s="34">
        <f t="shared" si="6"/>
        <v>37.53169907</v>
      </c>
      <c r="R9" s="35">
        <f t="shared" si="7"/>
        <v>11088704708</v>
      </c>
      <c r="S9" s="36" t="str">
        <f t="shared" si="8"/>
        <v>Subiu</v>
      </c>
      <c r="T9" s="37">
        <f t="shared" si="9"/>
        <v>0.073</v>
      </c>
      <c r="U9" s="34">
        <f t="shared" si="10"/>
        <v>37.24137931</v>
      </c>
      <c r="V9" s="35">
        <f t="shared" si="11"/>
        <v>12414434171</v>
      </c>
      <c r="W9" s="36" t="str">
        <f t="shared" si="12"/>
        <v>Subiu</v>
      </c>
      <c r="X9" s="37">
        <f t="shared" si="13"/>
        <v>0.073</v>
      </c>
      <c r="Y9" s="34">
        <f t="shared" si="14"/>
        <v>37.24137931</v>
      </c>
      <c r="Z9" s="35">
        <f t="shared" si="15"/>
        <v>12414434171</v>
      </c>
      <c r="AA9" s="36" t="str">
        <f t="shared" si="16"/>
        <v>Subiu</v>
      </c>
      <c r="AB9" s="37">
        <f t="shared" si="17"/>
        <v>0.9501</v>
      </c>
      <c r="AC9" s="34">
        <f t="shared" si="18"/>
        <v>20.49125686</v>
      </c>
      <c r="AD9" s="35">
        <f t="shared" si="19"/>
        <v>88902961362</v>
      </c>
      <c r="AE9" s="36" t="str">
        <f t="shared" si="20"/>
        <v>Subiu</v>
      </c>
      <c r="AF9" s="38">
        <f>VLOOKUP(A9,Total_de_acoes!A:B,2,0)</f>
        <v>4566445852</v>
      </c>
      <c r="AG9" s="30" t="str">
        <f>VLOOKUP(A9,Ticker!A:B,2,0)</f>
        <v>Petrobras</v>
      </c>
      <c r="AH9" s="30" t="str">
        <f>VLOOKUP(AG9,Segmento_Idade!A:C,2,0)</f>
        <v>Petróleo e Gás</v>
      </c>
      <c r="AI9" s="39">
        <f>VLOOKUP(AG9,Segmento_Idade!A:C,3,0)</f>
        <v>70</v>
      </c>
      <c r="AJ9" s="33" t="str">
        <f t="shared" si="21"/>
        <v>Entre 50 e 100 anos</v>
      </c>
    </row>
    <row r="10">
      <c r="A10" s="40" t="s">
        <v>51</v>
      </c>
      <c r="B10" s="41">
        <v>45317.0</v>
      </c>
      <c r="C10" s="42">
        <v>69.5</v>
      </c>
      <c r="D10" s="42">
        <v>1.66</v>
      </c>
      <c r="E10" s="42">
        <v>2.06</v>
      </c>
      <c r="F10" s="42">
        <v>-9.97</v>
      </c>
      <c r="G10" s="42">
        <v>-9.97</v>
      </c>
      <c r="H10" s="42">
        <v>-23.49</v>
      </c>
      <c r="I10" s="42">
        <v>67.5</v>
      </c>
      <c r="J10" s="42">
        <v>69.81</v>
      </c>
      <c r="K10" s="43" t="s">
        <v>52</v>
      </c>
      <c r="L10" s="37">
        <f t="shared" si="1"/>
        <v>0.0166</v>
      </c>
      <c r="M10" s="31">
        <f t="shared" si="2"/>
        <v>68.3651387</v>
      </c>
      <c r="N10" s="45">
        <f t="shared" si="3"/>
        <v>4762926995</v>
      </c>
      <c r="O10" s="33" t="str">
        <f t="shared" si="4"/>
        <v>Subiu</v>
      </c>
      <c r="P10" s="30">
        <f t="shared" si="5"/>
        <v>0.0206</v>
      </c>
      <c r="Q10" s="34">
        <f t="shared" si="6"/>
        <v>68.09719773</v>
      </c>
      <c r="R10" s="35">
        <f t="shared" si="7"/>
        <v>5887454971</v>
      </c>
      <c r="S10" s="36" t="str">
        <f t="shared" si="8"/>
        <v>Subiu</v>
      </c>
      <c r="T10" s="37">
        <f t="shared" si="9"/>
        <v>-0.0997</v>
      </c>
      <c r="U10" s="34">
        <f t="shared" si="10"/>
        <v>77.19649006</v>
      </c>
      <c r="V10" s="35">
        <f t="shared" si="11"/>
        <v>-32301586276</v>
      </c>
      <c r="W10" s="36" t="str">
        <f t="shared" si="12"/>
        <v>Desceu</v>
      </c>
      <c r="X10" s="37">
        <f t="shared" si="13"/>
        <v>-0.0997</v>
      </c>
      <c r="Y10" s="34">
        <f t="shared" si="14"/>
        <v>77.19649006</v>
      </c>
      <c r="Z10" s="35">
        <f t="shared" si="15"/>
        <v>-32301586276</v>
      </c>
      <c r="AA10" s="36" t="str">
        <f t="shared" si="16"/>
        <v>Desceu</v>
      </c>
      <c r="AB10" s="37">
        <f t="shared" si="17"/>
        <v>-0.2349</v>
      </c>
      <c r="AC10" s="34">
        <f t="shared" si="18"/>
        <v>90.83779898</v>
      </c>
      <c r="AD10" s="35">
        <f t="shared" si="19"/>
        <v>-89553127391</v>
      </c>
      <c r="AE10" s="36" t="str">
        <f t="shared" si="20"/>
        <v>Desceu</v>
      </c>
      <c r="AF10" s="38">
        <f>VLOOKUP(A10,Total_de_acoes!A:B,2,0)</f>
        <v>4196924316</v>
      </c>
      <c r="AG10" s="30" t="str">
        <f>VLOOKUP(A10,Ticker!A:B,2,0)</f>
        <v>Vale</v>
      </c>
      <c r="AH10" s="30" t="str">
        <f>VLOOKUP(AG10,Segmento_Idade!A:C,2,0)</f>
        <v>Mineração</v>
      </c>
      <c r="AI10" s="39">
        <f>VLOOKUP(AG10,Segmento_Idade!A:C,3,0)</f>
        <v>80</v>
      </c>
      <c r="AJ10" s="33" t="str">
        <f t="shared" si="21"/>
        <v>Entre 50 e 100 anos</v>
      </c>
    </row>
    <row r="11">
      <c r="A11" s="26" t="s">
        <v>53</v>
      </c>
      <c r="B11" s="27">
        <v>45317.0</v>
      </c>
      <c r="C11" s="28">
        <v>28.19</v>
      </c>
      <c r="D11" s="28">
        <v>1.58</v>
      </c>
      <c r="E11" s="28">
        <v>2.03</v>
      </c>
      <c r="F11" s="28">
        <v>-0.81</v>
      </c>
      <c r="G11" s="28">
        <v>-0.81</v>
      </c>
      <c r="H11" s="28">
        <v>24.02</v>
      </c>
      <c r="I11" s="28">
        <v>27.71</v>
      </c>
      <c r="J11" s="28">
        <v>28.36</v>
      </c>
      <c r="K11" s="29" t="s">
        <v>54</v>
      </c>
      <c r="L11" s="37">
        <f t="shared" si="1"/>
        <v>0.0158</v>
      </c>
      <c r="M11" s="31">
        <f t="shared" si="2"/>
        <v>27.75152589</v>
      </c>
      <c r="N11" s="32">
        <f t="shared" si="3"/>
        <v>117732680.1</v>
      </c>
      <c r="O11" s="33" t="str">
        <f t="shared" si="4"/>
        <v>Subiu</v>
      </c>
      <c r="P11" s="30">
        <f t="shared" si="5"/>
        <v>0.0203</v>
      </c>
      <c r="Q11" s="34">
        <f t="shared" si="6"/>
        <v>27.62912869</v>
      </c>
      <c r="R11" s="35">
        <f t="shared" si="7"/>
        <v>150596994</v>
      </c>
      <c r="S11" s="36" t="str">
        <f t="shared" si="8"/>
        <v>Subiu</v>
      </c>
      <c r="T11" s="37">
        <f t="shared" si="9"/>
        <v>-0.0081</v>
      </c>
      <c r="U11" s="34">
        <f t="shared" si="10"/>
        <v>28.42020365</v>
      </c>
      <c r="V11" s="35">
        <f t="shared" si="11"/>
        <v>-61810930.37</v>
      </c>
      <c r="W11" s="36" t="str">
        <f t="shared" si="12"/>
        <v>Desceu</v>
      </c>
      <c r="X11" s="37">
        <f t="shared" si="13"/>
        <v>-0.0081</v>
      </c>
      <c r="Y11" s="34">
        <f t="shared" si="14"/>
        <v>28.42020365</v>
      </c>
      <c r="Z11" s="35">
        <f t="shared" si="15"/>
        <v>-61810930.37</v>
      </c>
      <c r="AA11" s="36" t="str">
        <f t="shared" si="16"/>
        <v>Desceu</v>
      </c>
      <c r="AB11" s="37">
        <f t="shared" si="17"/>
        <v>0.2402</v>
      </c>
      <c r="AC11" s="34">
        <f t="shared" si="18"/>
        <v>22.73020481</v>
      </c>
      <c r="AD11" s="35">
        <f t="shared" si="19"/>
        <v>1465984667</v>
      </c>
      <c r="AE11" s="36" t="str">
        <f t="shared" si="20"/>
        <v>Subiu</v>
      </c>
      <c r="AF11" s="38">
        <f>VLOOKUP(A11,Total_de_acoes!A:B,2,0)</f>
        <v>268505432</v>
      </c>
      <c r="AG11" s="30" t="str">
        <f>VLOOKUP(A11,Ticker!A:B,2,0)</f>
        <v>Multiplan</v>
      </c>
      <c r="AH11" s="30" t="str">
        <f>VLOOKUP(AG11,Segmento_Idade!A:C,2,0)</f>
        <v>Imobiliário (Shoppings)</v>
      </c>
      <c r="AI11" s="39">
        <f>VLOOKUP(AG11,Segmento_Idade!A:C,3,0)</f>
        <v>46</v>
      </c>
      <c r="AJ11" s="33" t="str">
        <f t="shared" si="21"/>
        <v>Menos de 50 anos</v>
      </c>
    </row>
    <row r="12">
      <c r="A12" s="40" t="s">
        <v>55</v>
      </c>
      <c r="B12" s="41">
        <v>45317.0</v>
      </c>
      <c r="C12" s="42">
        <v>32.81</v>
      </c>
      <c r="D12" s="42">
        <v>1.48</v>
      </c>
      <c r="E12" s="42">
        <v>-0.39</v>
      </c>
      <c r="F12" s="42">
        <v>-3.36</v>
      </c>
      <c r="G12" s="42">
        <v>-3.36</v>
      </c>
      <c r="H12" s="42">
        <v>34.25</v>
      </c>
      <c r="I12" s="42">
        <v>32.35</v>
      </c>
      <c r="J12" s="42">
        <v>32.91</v>
      </c>
      <c r="K12" s="43" t="s">
        <v>56</v>
      </c>
      <c r="L12" s="37">
        <f t="shared" si="1"/>
        <v>0.0148</v>
      </c>
      <c r="M12" s="31">
        <f t="shared" si="2"/>
        <v>32.33149389</v>
      </c>
      <c r="N12" s="32">
        <f t="shared" si="3"/>
        <v>2297591984</v>
      </c>
      <c r="O12" s="33" t="str">
        <f t="shared" si="4"/>
        <v>Subiu</v>
      </c>
      <c r="P12" s="30">
        <f t="shared" si="5"/>
        <v>-0.0039</v>
      </c>
      <c r="Q12" s="34">
        <f t="shared" si="6"/>
        <v>32.93845999</v>
      </c>
      <c r="R12" s="35">
        <f t="shared" si="7"/>
        <v>-616812714.7</v>
      </c>
      <c r="S12" s="36" t="str">
        <f t="shared" si="8"/>
        <v>Desceu</v>
      </c>
      <c r="T12" s="37">
        <f t="shared" si="9"/>
        <v>-0.0336</v>
      </c>
      <c r="U12" s="34">
        <f t="shared" si="10"/>
        <v>33.95074503</v>
      </c>
      <c r="V12" s="35">
        <f t="shared" si="11"/>
        <v>-5477394315</v>
      </c>
      <c r="W12" s="36" t="str">
        <f t="shared" si="12"/>
        <v>Desceu</v>
      </c>
      <c r="X12" s="37">
        <f t="shared" si="13"/>
        <v>-0.0336</v>
      </c>
      <c r="Y12" s="34">
        <f t="shared" si="14"/>
        <v>33.95074503</v>
      </c>
      <c r="Z12" s="35">
        <f t="shared" si="15"/>
        <v>-5477394315</v>
      </c>
      <c r="AA12" s="36" t="str">
        <f t="shared" si="16"/>
        <v>Desceu</v>
      </c>
      <c r="AB12" s="37">
        <f t="shared" si="17"/>
        <v>0.3425</v>
      </c>
      <c r="AC12" s="34">
        <f t="shared" si="18"/>
        <v>24.43947858</v>
      </c>
      <c r="AD12" s="35">
        <f t="shared" si="19"/>
        <v>40191843998</v>
      </c>
      <c r="AE12" s="36" t="str">
        <f t="shared" si="20"/>
        <v>Subiu</v>
      </c>
      <c r="AF12" s="38">
        <f>VLOOKUP(A12,Total_de_acoes!A:B,2,0)</f>
        <v>4801593832</v>
      </c>
      <c r="AG12" s="30" t="str">
        <f>VLOOKUP(A12,Ticker!A:B,2,0)</f>
        <v>Itaú Unibanco</v>
      </c>
      <c r="AH12" s="30" t="str">
        <f>VLOOKUP(AG12,Segmento_Idade!A:C,2,0)</f>
        <v>Bancário</v>
      </c>
      <c r="AI12" s="39">
        <f>VLOOKUP(AG12,Segmento_Idade!A:C,3,0)</f>
        <v>98</v>
      </c>
      <c r="AJ12" s="33" t="str">
        <f t="shared" si="21"/>
        <v>Entre 50 e 100 anos</v>
      </c>
    </row>
    <row r="13">
      <c r="A13" s="26" t="s">
        <v>57</v>
      </c>
      <c r="B13" s="27">
        <v>45317.0</v>
      </c>
      <c r="C13" s="28">
        <v>27.56</v>
      </c>
      <c r="D13" s="28">
        <v>1.43</v>
      </c>
      <c r="E13" s="28">
        <v>3.41</v>
      </c>
      <c r="F13" s="28">
        <v>-4.17</v>
      </c>
      <c r="G13" s="28">
        <v>-4.17</v>
      </c>
      <c r="H13" s="28">
        <v>-6.01</v>
      </c>
      <c r="I13" s="28">
        <v>26.9</v>
      </c>
      <c r="J13" s="28">
        <v>27.91</v>
      </c>
      <c r="K13" s="29" t="s">
        <v>58</v>
      </c>
      <c r="L13" s="37">
        <f t="shared" si="1"/>
        <v>0.0143</v>
      </c>
      <c r="M13" s="31">
        <f t="shared" si="2"/>
        <v>27.17144829</v>
      </c>
      <c r="N13" s="32">
        <f t="shared" si="3"/>
        <v>453917907</v>
      </c>
      <c r="O13" s="33" t="str">
        <f t="shared" si="4"/>
        <v>Subiu</v>
      </c>
      <c r="P13" s="30">
        <f t="shared" si="5"/>
        <v>0.0341</v>
      </c>
      <c r="Q13" s="34">
        <f t="shared" si="6"/>
        <v>26.65119428</v>
      </c>
      <c r="R13" s="35">
        <f t="shared" si="7"/>
        <v>1061694444</v>
      </c>
      <c r="S13" s="36" t="str">
        <f t="shared" si="8"/>
        <v>Subiu</v>
      </c>
      <c r="T13" s="37">
        <f t="shared" si="9"/>
        <v>-0.0417</v>
      </c>
      <c r="U13" s="34">
        <f t="shared" si="10"/>
        <v>28.75926119</v>
      </c>
      <c r="V13" s="35">
        <f t="shared" si="11"/>
        <v>-1401013341</v>
      </c>
      <c r="W13" s="36" t="str">
        <f t="shared" si="12"/>
        <v>Desceu</v>
      </c>
      <c r="X13" s="37">
        <f t="shared" si="13"/>
        <v>-0.0417</v>
      </c>
      <c r="Y13" s="34">
        <f t="shared" si="14"/>
        <v>28.75926119</v>
      </c>
      <c r="Z13" s="35">
        <f t="shared" si="15"/>
        <v>-1401013341</v>
      </c>
      <c r="AA13" s="36" t="str">
        <f t="shared" si="16"/>
        <v>Desceu</v>
      </c>
      <c r="AB13" s="37">
        <f t="shared" si="17"/>
        <v>-0.0601</v>
      </c>
      <c r="AC13" s="34">
        <f t="shared" si="18"/>
        <v>29.32226833</v>
      </c>
      <c r="AD13" s="35">
        <f t="shared" si="19"/>
        <v>-2058735372</v>
      </c>
      <c r="AE13" s="36" t="str">
        <f t="shared" si="20"/>
        <v>Desceu</v>
      </c>
      <c r="AF13" s="38">
        <f>VLOOKUP(A13,Total_de_acoes!A:B,2,0)</f>
        <v>1168230366</v>
      </c>
      <c r="AG13" s="30" t="str">
        <f>VLOOKUP(A13,Ticker!A:B,2,0)</f>
        <v>Rede D'Or</v>
      </c>
      <c r="AH13" s="30" t="str">
        <f>VLOOKUP(AG13,Segmento_Idade!A:C,2,0)</f>
        <v>Saúde (Hospitais)</v>
      </c>
      <c r="AI13" s="39">
        <f>VLOOKUP(AG13,Segmento_Idade!A:C,3,0)</f>
        <v>44</v>
      </c>
      <c r="AJ13" s="33" t="str">
        <f t="shared" si="21"/>
        <v>Menos de 50 anos</v>
      </c>
    </row>
    <row r="14">
      <c r="A14" s="40" t="s">
        <v>59</v>
      </c>
      <c r="B14" s="41">
        <v>45317.0</v>
      </c>
      <c r="C14" s="42">
        <v>18.55</v>
      </c>
      <c r="D14" s="42">
        <v>1.42</v>
      </c>
      <c r="E14" s="42">
        <v>5.1</v>
      </c>
      <c r="F14" s="42">
        <v>-15.14</v>
      </c>
      <c r="G14" s="42">
        <v>-15.14</v>
      </c>
      <c r="H14" s="42">
        <v>-18.39</v>
      </c>
      <c r="I14" s="42">
        <v>18.29</v>
      </c>
      <c r="J14" s="42">
        <v>18.73</v>
      </c>
      <c r="K14" s="43" t="s">
        <v>60</v>
      </c>
      <c r="L14" s="37">
        <f t="shared" si="1"/>
        <v>0.0142</v>
      </c>
      <c r="M14" s="31">
        <f t="shared" si="2"/>
        <v>18.29027805</v>
      </c>
      <c r="N14" s="32">
        <f t="shared" si="3"/>
        <v>69054317.64</v>
      </c>
      <c r="O14" s="33" t="str">
        <f t="shared" si="4"/>
        <v>Subiu</v>
      </c>
      <c r="P14" s="30">
        <f t="shared" si="5"/>
        <v>0.051</v>
      </c>
      <c r="Q14" s="34">
        <f t="shared" si="6"/>
        <v>17.64985728</v>
      </c>
      <c r="R14" s="35">
        <f t="shared" si="7"/>
        <v>239328026.7</v>
      </c>
      <c r="S14" s="36" t="str">
        <f t="shared" si="8"/>
        <v>Subiu</v>
      </c>
      <c r="T14" s="37">
        <f t="shared" si="9"/>
        <v>-0.1514</v>
      </c>
      <c r="U14" s="34">
        <f t="shared" si="10"/>
        <v>21.85953335</v>
      </c>
      <c r="V14" s="35">
        <f t="shared" si="11"/>
        <v>-879931667.6</v>
      </c>
      <c r="W14" s="36" t="str">
        <f t="shared" si="12"/>
        <v>Desceu</v>
      </c>
      <c r="X14" s="37">
        <f t="shared" si="13"/>
        <v>-0.1514</v>
      </c>
      <c r="Y14" s="34">
        <f t="shared" si="14"/>
        <v>21.85953335</v>
      </c>
      <c r="Z14" s="35">
        <f t="shared" si="15"/>
        <v>-879931667.6</v>
      </c>
      <c r="AA14" s="36" t="str">
        <f t="shared" si="16"/>
        <v>Desceu</v>
      </c>
      <c r="AB14" s="37">
        <f t="shared" si="17"/>
        <v>-0.1839</v>
      </c>
      <c r="AC14" s="34">
        <f t="shared" si="18"/>
        <v>22.73005759</v>
      </c>
      <c r="AD14" s="35">
        <f t="shared" si="19"/>
        <v>-1111384796</v>
      </c>
      <c r="AE14" s="36" t="str">
        <f t="shared" si="20"/>
        <v>Desceu</v>
      </c>
      <c r="AF14" s="38">
        <f>VLOOKUP(A14,Total_de_acoes!A:B,2,0)</f>
        <v>265877867</v>
      </c>
      <c r="AG14" s="30" t="str">
        <f>VLOOKUP(A14,Ticker!A:B,2,0)</f>
        <v>Braskem</v>
      </c>
      <c r="AH14" s="30" t="str">
        <f>VLOOKUP(AG14,Segmento_Idade!A:C,2,0)</f>
        <v>Petroquímica</v>
      </c>
      <c r="AI14" s="39">
        <f>VLOOKUP(AG14,Segmento_Idade!A:C,3,0)</f>
        <v>22</v>
      </c>
      <c r="AJ14" s="33" t="str">
        <f t="shared" si="21"/>
        <v>Menos de 50 anos</v>
      </c>
    </row>
    <row r="15">
      <c r="A15" s="26" t="s">
        <v>61</v>
      </c>
      <c r="B15" s="27">
        <v>45317.0</v>
      </c>
      <c r="C15" s="28">
        <v>14.27</v>
      </c>
      <c r="D15" s="28">
        <v>1.42</v>
      </c>
      <c r="E15" s="28">
        <v>8.85</v>
      </c>
      <c r="F15" s="28">
        <v>-10.87</v>
      </c>
      <c r="G15" s="28">
        <v>-10.87</v>
      </c>
      <c r="H15" s="28">
        <v>18.52</v>
      </c>
      <c r="I15" s="28">
        <v>13.8</v>
      </c>
      <c r="J15" s="28">
        <v>14.36</v>
      </c>
      <c r="K15" s="29" t="s">
        <v>62</v>
      </c>
      <c r="L15" s="37">
        <f t="shared" si="1"/>
        <v>0.0142</v>
      </c>
      <c r="M15" s="31">
        <f t="shared" si="2"/>
        <v>14.07020312</v>
      </c>
      <c r="N15" s="32">
        <f t="shared" si="3"/>
        <v>65452205.55</v>
      </c>
      <c r="O15" s="33" t="str">
        <f t="shared" si="4"/>
        <v>Subiu</v>
      </c>
      <c r="P15" s="30">
        <f t="shared" si="5"/>
        <v>0.0885</v>
      </c>
      <c r="Q15" s="34">
        <f t="shared" si="6"/>
        <v>13.10978411</v>
      </c>
      <c r="R15" s="35">
        <f t="shared" si="7"/>
        <v>380079446.3</v>
      </c>
      <c r="S15" s="36" t="str">
        <f t="shared" si="8"/>
        <v>Subiu</v>
      </c>
      <c r="T15" s="37">
        <f t="shared" si="9"/>
        <v>-0.1087</v>
      </c>
      <c r="U15" s="34">
        <f t="shared" si="10"/>
        <v>16.010322</v>
      </c>
      <c r="V15" s="35">
        <f t="shared" si="11"/>
        <v>-570118567.2</v>
      </c>
      <c r="W15" s="36" t="str">
        <f t="shared" si="12"/>
        <v>Desceu</v>
      </c>
      <c r="X15" s="37">
        <f t="shared" si="13"/>
        <v>-0.1087</v>
      </c>
      <c r="Y15" s="34">
        <f t="shared" si="14"/>
        <v>16.010322</v>
      </c>
      <c r="Z15" s="35">
        <f t="shared" si="15"/>
        <v>-570118567.2</v>
      </c>
      <c r="AA15" s="36" t="str">
        <f t="shared" si="16"/>
        <v>Desceu</v>
      </c>
      <c r="AB15" s="37">
        <f t="shared" si="17"/>
        <v>0.1852</v>
      </c>
      <c r="AC15" s="34">
        <f t="shared" si="18"/>
        <v>12.040162</v>
      </c>
      <c r="AD15" s="35">
        <f t="shared" si="19"/>
        <v>730480937.2</v>
      </c>
      <c r="AE15" s="36" t="str">
        <f t="shared" si="20"/>
        <v>Subiu</v>
      </c>
      <c r="AF15" s="38">
        <f>VLOOKUP(A15,Total_de_acoes!A:B,2,0)</f>
        <v>327593725</v>
      </c>
      <c r="AG15" s="30" t="str">
        <f>VLOOKUP(A15,Ticker!A:B,2,0)</f>
        <v>Azul</v>
      </c>
      <c r="AH15" s="30" t="str">
        <f>VLOOKUP(AG15,Segmento_Idade!A:C,2,0)</f>
        <v>Aéreo</v>
      </c>
      <c r="AI15" s="39">
        <f>VLOOKUP(AG15,Segmento_Idade!A:C,3,0)</f>
        <v>15</v>
      </c>
      <c r="AJ15" s="33" t="str">
        <f t="shared" si="21"/>
        <v>Menos de 50 anos</v>
      </c>
    </row>
    <row r="16">
      <c r="A16" s="40" t="s">
        <v>63</v>
      </c>
      <c r="B16" s="41">
        <v>45317.0</v>
      </c>
      <c r="C16" s="42">
        <v>28.75</v>
      </c>
      <c r="D16" s="42">
        <v>1.41</v>
      </c>
      <c r="E16" s="42">
        <v>-2.71</v>
      </c>
      <c r="F16" s="42">
        <v>9.4</v>
      </c>
      <c r="G16" s="42">
        <v>9.4</v>
      </c>
      <c r="H16" s="42">
        <v>-37.7</v>
      </c>
      <c r="I16" s="42">
        <v>28.0</v>
      </c>
      <c r="J16" s="42">
        <v>28.75</v>
      </c>
      <c r="K16" s="43" t="s">
        <v>64</v>
      </c>
      <c r="L16" s="37">
        <f t="shared" si="1"/>
        <v>0.0141</v>
      </c>
      <c r="M16" s="31">
        <f t="shared" si="2"/>
        <v>28.35026132</v>
      </c>
      <c r="N16" s="32">
        <f t="shared" si="3"/>
        <v>94204643.35</v>
      </c>
      <c r="O16" s="33" t="str">
        <f t="shared" si="4"/>
        <v>Subiu</v>
      </c>
      <c r="P16" s="30">
        <f t="shared" si="5"/>
        <v>-0.0271</v>
      </c>
      <c r="Q16" s="34">
        <f t="shared" si="6"/>
        <v>29.55082742</v>
      </c>
      <c r="R16" s="35">
        <f t="shared" si="7"/>
        <v>-188727447.9</v>
      </c>
      <c r="S16" s="36" t="str">
        <f t="shared" si="8"/>
        <v>Desceu</v>
      </c>
      <c r="T16" s="37">
        <f t="shared" si="9"/>
        <v>0.094</v>
      </c>
      <c r="U16" s="34">
        <f t="shared" si="10"/>
        <v>26.2797075</v>
      </c>
      <c r="V16" s="35">
        <f t="shared" si="11"/>
        <v>582162881.3</v>
      </c>
      <c r="W16" s="36" t="str">
        <f t="shared" si="12"/>
        <v>Subiu</v>
      </c>
      <c r="X16" s="37">
        <f t="shared" si="13"/>
        <v>0.094</v>
      </c>
      <c r="Y16" s="34">
        <f t="shared" si="14"/>
        <v>26.2797075</v>
      </c>
      <c r="Z16" s="35">
        <f t="shared" si="15"/>
        <v>582162881.3</v>
      </c>
      <c r="AA16" s="36" t="str">
        <f t="shared" si="16"/>
        <v>Subiu</v>
      </c>
      <c r="AB16" s="37">
        <f t="shared" si="17"/>
        <v>-0.377</v>
      </c>
      <c r="AC16" s="34">
        <f t="shared" si="18"/>
        <v>46.14767255</v>
      </c>
      <c r="AD16" s="35">
        <f t="shared" si="19"/>
        <v>-4100032349</v>
      </c>
      <c r="AE16" s="36" t="str">
        <f t="shared" si="20"/>
        <v>Desceu</v>
      </c>
      <c r="AF16" s="38">
        <f>VLOOKUP(A16,Total_de_acoes!A:B,2,0)</f>
        <v>235665566</v>
      </c>
      <c r="AG16" s="30" t="str">
        <f>VLOOKUP(A16,Ticker!A:B,2,0)</f>
        <v>3R Petroleum</v>
      </c>
      <c r="AH16" s="30" t="str">
        <f>VLOOKUP(AG16,Segmento_Idade!A:C,2,0)</f>
        <v>Petróleo e Gás</v>
      </c>
      <c r="AI16" s="39">
        <f>VLOOKUP(AG16,Segmento_Idade!A:C,3,0)</f>
        <v>4</v>
      </c>
      <c r="AJ16" s="33" t="str">
        <f t="shared" si="21"/>
        <v>Menos de 50 anos</v>
      </c>
    </row>
    <row r="17">
      <c r="A17" s="26" t="s">
        <v>65</v>
      </c>
      <c r="B17" s="27">
        <v>45317.0</v>
      </c>
      <c r="C17" s="28">
        <v>35.32</v>
      </c>
      <c r="D17" s="28">
        <v>1.34</v>
      </c>
      <c r="E17" s="28">
        <v>2.76</v>
      </c>
      <c r="F17" s="28">
        <v>-1.12</v>
      </c>
      <c r="G17" s="28">
        <v>-1.12</v>
      </c>
      <c r="H17" s="28">
        <v>28.01</v>
      </c>
      <c r="I17" s="28">
        <v>34.85</v>
      </c>
      <c r="J17" s="28">
        <v>35.76</v>
      </c>
      <c r="K17" s="29" t="s">
        <v>66</v>
      </c>
      <c r="L17" s="37">
        <f t="shared" si="1"/>
        <v>0.0134</v>
      </c>
      <c r="M17" s="31">
        <f t="shared" si="2"/>
        <v>34.8529702</v>
      </c>
      <c r="N17" s="32">
        <f t="shared" si="3"/>
        <v>511671895.5</v>
      </c>
      <c r="O17" s="33" t="str">
        <f t="shared" si="4"/>
        <v>Subiu</v>
      </c>
      <c r="P17" s="30">
        <f t="shared" si="5"/>
        <v>0.0276</v>
      </c>
      <c r="Q17" s="34">
        <f t="shared" si="6"/>
        <v>34.37135072</v>
      </c>
      <c r="R17" s="35">
        <f t="shared" si="7"/>
        <v>1039328057</v>
      </c>
      <c r="S17" s="36" t="str">
        <f t="shared" si="8"/>
        <v>Subiu</v>
      </c>
      <c r="T17" s="37">
        <f t="shared" si="9"/>
        <v>-0.0112</v>
      </c>
      <c r="U17" s="34">
        <f t="shared" si="10"/>
        <v>35.72006472</v>
      </c>
      <c r="V17" s="35">
        <f t="shared" si="11"/>
        <v>-438305812.2</v>
      </c>
      <c r="W17" s="36" t="str">
        <f t="shared" si="12"/>
        <v>Desceu</v>
      </c>
      <c r="X17" s="37">
        <f t="shared" si="13"/>
        <v>-0.0112</v>
      </c>
      <c r="Y17" s="34">
        <f t="shared" si="14"/>
        <v>35.72006472</v>
      </c>
      <c r="Z17" s="35">
        <f t="shared" si="15"/>
        <v>-438305812.2</v>
      </c>
      <c r="AA17" s="36" t="str">
        <f t="shared" si="16"/>
        <v>Desceu</v>
      </c>
      <c r="AB17" s="37">
        <f t="shared" si="17"/>
        <v>0.2801</v>
      </c>
      <c r="AC17" s="34">
        <f t="shared" si="18"/>
        <v>27.59159441</v>
      </c>
      <c r="AD17" s="35">
        <f t="shared" si="19"/>
        <v>8467142639</v>
      </c>
      <c r="AE17" s="36" t="str">
        <f t="shared" si="20"/>
        <v>Subiu</v>
      </c>
      <c r="AF17" s="38">
        <f>VLOOKUP(A17,Total_de_acoes!A:B,2,0)</f>
        <v>1095587251</v>
      </c>
      <c r="AG17" s="30" t="str">
        <f>VLOOKUP(A17,Ticker!A:B,2,0)</f>
        <v>Equatorial Energia</v>
      </c>
      <c r="AH17" s="30" t="str">
        <f>VLOOKUP(AG17,Segmento_Idade!A:C,2,0)</f>
        <v>Energia</v>
      </c>
      <c r="AI17" s="39">
        <f>VLOOKUP(AG17,Segmento_Idade!A:C,3,0)</f>
        <v>23</v>
      </c>
      <c r="AJ17" s="33" t="str">
        <f t="shared" si="21"/>
        <v>Menos de 50 anos</v>
      </c>
    </row>
    <row r="18">
      <c r="A18" s="40" t="s">
        <v>67</v>
      </c>
      <c r="B18" s="41">
        <v>45317.0</v>
      </c>
      <c r="C18" s="42">
        <v>18.16</v>
      </c>
      <c r="D18" s="42">
        <v>1.33</v>
      </c>
      <c r="E18" s="42">
        <v>4.79</v>
      </c>
      <c r="F18" s="42">
        <v>-7.63</v>
      </c>
      <c r="G18" s="42">
        <v>-7.63</v>
      </c>
      <c r="H18" s="42">
        <v>12.45</v>
      </c>
      <c r="I18" s="42">
        <v>18.0</v>
      </c>
      <c r="J18" s="42">
        <v>18.49</v>
      </c>
      <c r="K18" s="43" t="s">
        <v>68</v>
      </c>
      <c r="L18" s="37">
        <f t="shared" si="1"/>
        <v>0.0133</v>
      </c>
      <c r="M18" s="31">
        <f t="shared" si="2"/>
        <v>17.92164216</v>
      </c>
      <c r="N18" s="32">
        <f t="shared" si="3"/>
        <v>143220991.5</v>
      </c>
      <c r="O18" s="33" t="str">
        <f t="shared" si="4"/>
        <v>Subiu</v>
      </c>
      <c r="P18" s="30">
        <f t="shared" si="5"/>
        <v>0.0479</v>
      </c>
      <c r="Q18" s="34">
        <f t="shared" si="6"/>
        <v>17.32989789</v>
      </c>
      <c r="R18" s="35">
        <f t="shared" si="7"/>
        <v>498779678.1</v>
      </c>
      <c r="S18" s="36" t="str">
        <f t="shared" si="8"/>
        <v>Subiu</v>
      </c>
      <c r="T18" s="37">
        <f t="shared" si="9"/>
        <v>-0.0763</v>
      </c>
      <c r="U18" s="34">
        <f t="shared" si="10"/>
        <v>19.66006279</v>
      </c>
      <c r="V18" s="35">
        <f t="shared" si="11"/>
        <v>-901335905.4</v>
      </c>
      <c r="W18" s="36" t="str">
        <f t="shared" si="12"/>
        <v>Desceu</v>
      </c>
      <c r="X18" s="37">
        <f t="shared" si="13"/>
        <v>-0.0763</v>
      </c>
      <c r="Y18" s="34">
        <f t="shared" si="14"/>
        <v>19.66006279</v>
      </c>
      <c r="Z18" s="35">
        <f t="shared" si="15"/>
        <v>-901335905.4</v>
      </c>
      <c r="AA18" s="36" t="str">
        <f t="shared" si="16"/>
        <v>Desceu</v>
      </c>
      <c r="AB18" s="37">
        <f t="shared" si="17"/>
        <v>0.1245</v>
      </c>
      <c r="AC18" s="34">
        <f t="shared" si="18"/>
        <v>16.14939973</v>
      </c>
      <c r="AD18" s="35">
        <f t="shared" si="19"/>
        <v>1208100236</v>
      </c>
      <c r="AE18" s="36" t="str">
        <f t="shared" si="20"/>
        <v>Subiu</v>
      </c>
      <c r="AF18" s="38">
        <f>VLOOKUP(A18,Total_de_acoes!A:B,2,0)</f>
        <v>600865451</v>
      </c>
      <c r="AG18" s="30" t="str">
        <f>VLOOKUP(A18,Ticker!A:B,2,0)</f>
        <v>Siderúrgica Nacional</v>
      </c>
      <c r="AH18" s="30" t="str">
        <f>VLOOKUP(AG18,Segmento_Idade!A:C,2,0)</f>
        <v>Siderurgia</v>
      </c>
      <c r="AI18" s="39">
        <f>VLOOKUP(AG18,Segmento_Idade!A:C,3,0)</f>
        <v>80</v>
      </c>
      <c r="AJ18" s="33" t="str">
        <f t="shared" si="21"/>
        <v>Entre 50 e 100 anos</v>
      </c>
    </row>
    <row r="19">
      <c r="A19" s="26" t="s">
        <v>69</v>
      </c>
      <c r="B19" s="27">
        <v>45317.0</v>
      </c>
      <c r="C19" s="28">
        <v>19.77</v>
      </c>
      <c r="D19" s="28">
        <v>1.28</v>
      </c>
      <c r="E19" s="28">
        <v>-5.9</v>
      </c>
      <c r="F19" s="28">
        <v>-11.82</v>
      </c>
      <c r="G19" s="28">
        <v>-11.82</v>
      </c>
      <c r="H19" s="28">
        <v>108.45</v>
      </c>
      <c r="I19" s="28">
        <v>18.99</v>
      </c>
      <c r="J19" s="28">
        <v>19.78</v>
      </c>
      <c r="K19" s="29" t="s">
        <v>70</v>
      </c>
      <c r="L19" s="37">
        <f t="shared" si="1"/>
        <v>0.0128</v>
      </c>
      <c r="M19" s="31">
        <f t="shared" si="2"/>
        <v>19.52014218</v>
      </c>
      <c r="N19" s="32">
        <f t="shared" si="3"/>
        <v>72295838.99</v>
      </c>
      <c r="O19" s="33" t="str">
        <f t="shared" si="4"/>
        <v>Subiu</v>
      </c>
      <c r="P19" s="30">
        <f t="shared" si="5"/>
        <v>-0.059</v>
      </c>
      <c r="Q19" s="34">
        <f t="shared" si="6"/>
        <v>21.00956429</v>
      </c>
      <c r="R19" s="35">
        <f t="shared" si="7"/>
        <v>-358665342.5</v>
      </c>
      <c r="S19" s="36" t="str">
        <f t="shared" si="8"/>
        <v>Desceu</v>
      </c>
      <c r="T19" s="37">
        <f t="shared" si="9"/>
        <v>-0.1182</v>
      </c>
      <c r="U19" s="34">
        <f t="shared" si="10"/>
        <v>22.4200499</v>
      </c>
      <c r="V19" s="35">
        <f t="shared" si="11"/>
        <v>-766786410</v>
      </c>
      <c r="W19" s="36" t="str">
        <f t="shared" si="12"/>
        <v>Desceu</v>
      </c>
      <c r="X19" s="37">
        <f t="shared" si="13"/>
        <v>-0.1182</v>
      </c>
      <c r="Y19" s="34">
        <f t="shared" si="14"/>
        <v>22.4200499</v>
      </c>
      <c r="Z19" s="35">
        <f t="shared" si="15"/>
        <v>-766786410</v>
      </c>
      <c r="AA19" s="36" t="str">
        <f t="shared" si="16"/>
        <v>Desceu</v>
      </c>
      <c r="AB19" s="37">
        <f t="shared" si="17"/>
        <v>1.0845</v>
      </c>
      <c r="AC19" s="34">
        <f t="shared" si="18"/>
        <v>9.484288798</v>
      </c>
      <c r="AD19" s="35">
        <f t="shared" si="19"/>
        <v>2976149080</v>
      </c>
      <c r="AE19" s="36" t="str">
        <f t="shared" si="20"/>
        <v>Subiu</v>
      </c>
      <c r="AF19" s="38">
        <f>VLOOKUP(A19,Total_de_acoes!A:B,2,0)</f>
        <v>289347914</v>
      </c>
      <c r="AG19" s="30" t="str">
        <f>VLOOKUP(A19,Ticker!A:B,2,0)</f>
        <v>YDUQS</v>
      </c>
      <c r="AH19" s="30" t="str">
        <f>VLOOKUP(AG19,Segmento_Idade!A:C,2,0)</f>
        <v>Educação</v>
      </c>
      <c r="AI19" s="39">
        <f>VLOOKUP(AG19,Segmento_Idade!A:C,3,0)</f>
        <v>51</v>
      </c>
      <c r="AJ19" s="33" t="str">
        <f t="shared" si="21"/>
        <v>Entre 50 e 100 anos</v>
      </c>
    </row>
    <row r="20">
      <c r="A20" s="40" t="s">
        <v>71</v>
      </c>
      <c r="B20" s="41">
        <v>45317.0</v>
      </c>
      <c r="C20" s="42">
        <v>28.31</v>
      </c>
      <c r="D20" s="42">
        <v>1.28</v>
      </c>
      <c r="E20" s="42">
        <v>2.35</v>
      </c>
      <c r="F20" s="42">
        <v>6.79</v>
      </c>
      <c r="G20" s="42">
        <v>6.79</v>
      </c>
      <c r="H20" s="42">
        <v>119.82</v>
      </c>
      <c r="I20" s="42">
        <v>27.84</v>
      </c>
      <c r="J20" s="42">
        <v>28.39</v>
      </c>
      <c r="K20" s="43" t="s">
        <v>72</v>
      </c>
      <c r="L20" s="37">
        <f t="shared" si="1"/>
        <v>0.0128</v>
      </c>
      <c r="M20" s="31">
        <f t="shared" si="2"/>
        <v>27.95221169</v>
      </c>
      <c r="N20" s="32">
        <f t="shared" si="3"/>
        <v>388705224</v>
      </c>
      <c r="O20" s="33" t="str">
        <f t="shared" si="4"/>
        <v>Subiu</v>
      </c>
      <c r="P20" s="30">
        <f t="shared" si="5"/>
        <v>0.0235</v>
      </c>
      <c r="Q20" s="34">
        <f t="shared" si="6"/>
        <v>27.65999023</v>
      </c>
      <c r="R20" s="35">
        <f t="shared" si="7"/>
        <v>706177889.5</v>
      </c>
      <c r="S20" s="36" t="str">
        <f t="shared" si="8"/>
        <v>Subiu</v>
      </c>
      <c r="T20" s="37">
        <f t="shared" si="9"/>
        <v>0.0679</v>
      </c>
      <c r="U20" s="34">
        <f t="shared" si="10"/>
        <v>26.50997284</v>
      </c>
      <c r="V20" s="35">
        <f t="shared" si="11"/>
        <v>1955569648</v>
      </c>
      <c r="W20" s="36" t="str">
        <f t="shared" si="12"/>
        <v>Subiu</v>
      </c>
      <c r="X20" s="37">
        <f t="shared" si="13"/>
        <v>0.0679</v>
      </c>
      <c r="Y20" s="34">
        <f t="shared" si="14"/>
        <v>26.50997284</v>
      </c>
      <c r="Z20" s="35">
        <f t="shared" si="15"/>
        <v>1955569648</v>
      </c>
      <c r="AA20" s="36" t="str">
        <f t="shared" si="16"/>
        <v>Subiu</v>
      </c>
      <c r="AB20" s="37">
        <f t="shared" si="17"/>
        <v>1.1982</v>
      </c>
      <c r="AC20" s="34">
        <f t="shared" si="18"/>
        <v>12.87871895</v>
      </c>
      <c r="AD20" s="35">
        <f t="shared" si="19"/>
        <v>16764716438</v>
      </c>
      <c r="AE20" s="36" t="str">
        <f t="shared" si="20"/>
        <v>Subiu</v>
      </c>
      <c r="AF20" s="38">
        <f>VLOOKUP(A20,Total_de_acoes!A:B,2,0)</f>
        <v>1086411192</v>
      </c>
      <c r="AG20" s="30" t="str">
        <f>VLOOKUP(A20,Ticker!A:B,2,0)</f>
        <v>Ultrapar</v>
      </c>
      <c r="AH20" s="30" t="str">
        <f>VLOOKUP(AG20,Segmento_Idade!A:C,2,0)</f>
        <v>Distribuição de Combustíveis</v>
      </c>
      <c r="AI20" s="39">
        <f>VLOOKUP(AG20,Segmento_Idade!A:C,3,0)</f>
        <v>84</v>
      </c>
      <c r="AJ20" s="33" t="str">
        <f t="shared" si="21"/>
        <v>Entre 50 e 100 anos</v>
      </c>
    </row>
    <row r="21">
      <c r="A21" s="26" t="s">
        <v>73</v>
      </c>
      <c r="B21" s="27">
        <v>45317.0</v>
      </c>
      <c r="C21" s="28">
        <v>8.08</v>
      </c>
      <c r="D21" s="28">
        <v>1.25</v>
      </c>
      <c r="E21" s="28">
        <v>1.38</v>
      </c>
      <c r="F21" s="28">
        <v>-28.05</v>
      </c>
      <c r="G21" s="28">
        <v>-28.05</v>
      </c>
      <c r="H21" s="28">
        <v>14.12</v>
      </c>
      <c r="I21" s="28">
        <v>7.93</v>
      </c>
      <c r="J21" s="28">
        <v>8.23</v>
      </c>
      <c r="K21" s="29" t="s">
        <v>74</v>
      </c>
      <c r="L21" s="37">
        <f t="shared" si="1"/>
        <v>0.0125</v>
      </c>
      <c r="M21" s="31">
        <f t="shared" si="2"/>
        <v>7.980246914</v>
      </c>
      <c r="N21" s="32">
        <f t="shared" si="3"/>
        <v>37525872.38</v>
      </c>
      <c r="O21" s="33" t="str">
        <f t="shared" si="4"/>
        <v>Subiu</v>
      </c>
      <c r="P21" s="30">
        <f t="shared" si="5"/>
        <v>0.0138</v>
      </c>
      <c r="Q21" s="34">
        <f t="shared" si="6"/>
        <v>7.970013809</v>
      </c>
      <c r="R21" s="35">
        <f t="shared" si="7"/>
        <v>41375439.08</v>
      </c>
      <c r="S21" s="36" t="str">
        <f t="shared" si="8"/>
        <v>Subiu</v>
      </c>
      <c r="T21" s="37">
        <f t="shared" si="9"/>
        <v>-0.2805</v>
      </c>
      <c r="U21" s="34">
        <f t="shared" si="10"/>
        <v>11.23002085</v>
      </c>
      <c r="V21" s="35">
        <f t="shared" si="11"/>
        <v>-1184998726</v>
      </c>
      <c r="W21" s="36" t="str">
        <f t="shared" si="12"/>
        <v>Desceu</v>
      </c>
      <c r="X21" s="37">
        <f t="shared" si="13"/>
        <v>-0.2805</v>
      </c>
      <c r="Y21" s="34">
        <f t="shared" si="14"/>
        <v>11.23002085</v>
      </c>
      <c r="Z21" s="35">
        <f t="shared" si="15"/>
        <v>-1184998726</v>
      </c>
      <c r="AA21" s="36" t="str">
        <f t="shared" si="16"/>
        <v>Desceu</v>
      </c>
      <c r="AB21" s="37">
        <f t="shared" si="17"/>
        <v>0.1412</v>
      </c>
      <c r="AC21" s="34">
        <f t="shared" si="18"/>
        <v>7.080266386</v>
      </c>
      <c r="AD21" s="35">
        <f t="shared" si="19"/>
        <v>376087370.8</v>
      </c>
      <c r="AE21" s="36" t="str">
        <f t="shared" si="20"/>
        <v>Subiu</v>
      </c>
      <c r="AF21" s="38">
        <f>VLOOKUP(A21,Total_de_acoes!A:B,2,0)</f>
        <v>376187582</v>
      </c>
      <c r="AG21" s="30" t="str">
        <f>VLOOKUP(A21,Ticker!A:B,2,0)</f>
        <v>MRV</v>
      </c>
      <c r="AH21" s="30" t="str">
        <f>VLOOKUP(AG21,Segmento_Idade!A:C,2,0)</f>
        <v>Construção Civil</v>
      </c>
      <c r="AI21" s="39">
        <f>VLOOKUP(AG21,Segmento_Idade!A:C,3,0)</f>
        <v>43</v>
      </c>
      <c r="AJ21" s="33" t="str">
        <f t="shared" si="21"/>
        <v>Menos de 50 anos</v>
      </c>
    </row>
    <row r="22">
      <c r="A22" s="40" t="s">
        <v>75</v>
      </c>
      <c r="B22" s="41">
        <v>45317.0</v>
      </c>
      <c r="C22" s="42">
        <v>57.91</v>
      </c>
      <c r="D22" s="42">
        <v>1.15</v>
      </c>
      <c r="E22" s="42">
        <v>-1.03</v>
      </c>
      <c r="F22" s="42">
        <v>-10.26</v>
      </c>
      <c r="G22" s="42">
        <v>-10.26</v>
      </c>
      <c r="H22" s="42">
        <v>-28.97</v>
      </c>
      <c r="I22" s="42">
        <v>56.22</v>
      </c>
      <c r="J22" s="42">
        <v>59.29</v>
      </c>
      <c r="K22" s="43" t="s">
        <v>76</v>
      </c>
      <c r="L22" s="37">
        <f t="shared" si="1"/>
        <v>0.0115</v>
      </c>
      <c r="M22" s="31">
        <f t="shared" si="2"/>
        <v>57.25160652</v>
      </c>
      <c r="N22" s="32">
        <f t="shared" si="3"/>
        <v>41021792.09</v>
      </c>
      <c r="O22" s="33" t="str">
        <f t="shared" si="4"/>
        <v>Subiu</v>
      </c>
      <c r="P22" s="30">
        <f t="shared" si="5"/>
        <v>-0.0103</v>
      </c>
      <c r="Q22" s="34">
        <f t="shared" si="6"/>
        <v>58.51268061</v>
      </c>
      <c r="R22" s="35">
        <f t="shared" si="7"/>
        <v>-37550552.41</v>
      </c>
      <c r="S22" s="36" t="str">
        <f t="shared" si="8"/>
        <v>Desceu</v>
      </c>
      <c r="T22" s="37">
        <f t="shared" si="9"/>
        <v>-0.1026</v>
      </c>
      <c r="U22" s="34">
        <f t="shared" si="10"/>
        <v>64.53086695</v>
      </c>
      <c r="V22" s="35">
        <f t="shared" si="11"/>
        <v>-412519014.4</v>
      </c>
      <c r="W22" s="36" t="str">
        <f t="shared" si="12"/>
        <v>Desceu</v>
      </c>
      <c r="X22" s="37">
        <f t="shared" si="13"/>
        <v>-0.1026</v>
      </c>
      <c r="Y22" s="34">
        <f t="shared" si="14"/>
        <v>64.53086695</v>
      </c>
      <c r="Z22" s="35">
        <f t="shared" si="15"/>
        <v>-412519014.4</v>
      </c>
      <c r="AA22" s="36" t="str">
        <f t="shared" si="16"/>
        <v>Desceu</v>
      </c>
      <c r="AB22" s="37">
        <f t="shared" si="17"/>
        <v>-0.2897</v>
      </c>
      <c r="AC22" s="34">
        <f t="shared" si="18"/>
        <v>81.52893144</v>
      </c>
      <c r="AD22" s="35">
        <f t="shared" si="19"/>
        <v>-1471598568</v>
      </c>
      <c r="AE22" s="36" t="str">
        <f t="shared" si="20"/>
        <v>Desceu</v>
      </c>
      <c r="AF22" s="38">
        <f>VLOOKUP(A22,Total_de_acoes!A:B,2,0)</f>
        <v>62305891</v>
      </c>
      <c r="AG22" s="30" t="str">
        <f>VLOOKUP(A22,Ticker!A:B,2,0)</f>
        <v>Arezzo</v>
      </c>
      <c r="AH22" s="30" t="str">
        <f>VLOOKUP(AG22,Segmento_Idade!A:C,2,0)</f>
        <v>Calçados e Acessórios</v>
      </c>
      <c r="AI22" s="39">
        <f>VLOOKUP(AG22,Segmento_Idade!A:C,3,0)</f>
        <v>50</v>
      </c>
      <c r="AJ22" s="33" t="str">
        <f t="shared" si="21"/>
        <v>Entre 50 e 100 anos</v>
      </c>
    </row>
    <row r="23">
      <c r="A23" s="26" t="s">
        <v>77</v>
      </c>
      <c r="B23" s="27">
        <v>45317.0</v>
      </c>
      <c r="C23" s="28">
        <v>15.52</v>
      </c>
      <c r="D23" s="28">
        <v>1.04</v>
      </c>
      <c r="E23" s="28">
        <v>-0.77</v>
      </c>
      <c r="F23" s="28">
        <v>-9.08</v>
      </c>
      <c r="G23" s="28">
        <v>-9.08</v>
      </c>
      <c r="H23" s="28">
        <v>16.11</v>
      </c>
      <c r="I23" s="28">
        <v>15.35</v>
      </c>
      <c r="J23" s="28">
        <v>15.62</v>
      </c>
      <c r="K23" s="29" t="s">
        <v>78</v>
      </c>
      <c r="L23" s="37">
        <f t="shared" si="1"/>
        <v>0.0104</v>
      </c>
      <c r="M23" s="31">
        <f t="shared" si="2"/>
        <v>15.36025337</v>
      </c>
      <c r="N23" s="32">
        <f t="shared" si="3"/>
        <v>822148336.4</v>
      </c>
      <c r="O23" s="33" t="str">
        <f t="shared" si="4"/>
        <v>Subiu</v>
      </c>
      <c r="P23" s="30">
        <f t="shared" si="5"/>
        <v>-0.0077</v>
      </c>
      <c r="Q23" s="34">
        <f t="shared" si="6"/>
        <v>15.64043132</v>
      </c>
      <c r="R23" s="35">
        <f t="shared" si="7"/>
        <v>-619809051.7</v>
      </c>
      <c r="S23" s="36" t="str">
        <f t="shared" si="8"/>
        <v>Desceu</v>
      </c>
      <c r="T23" s="37">
        <f t="shared" si="9"/>
        <v>-0.0908</v>
      </c>
      <c r="U23" s="34">
        <f t="shared" si="10"/>
        <v>17.06995161</v>
      </c>
      <c r="V23" s="35">
        <f t="shared" si="11"/>
        <v>-7976945081</v>
      </c>
      <c r="W23" s="36" t="str">
        <f t="shared" si="12"/>
        <v>Desceu</v>
      </c>
      <c r="X23" s="37">
        <f t="shared" si="13"/>
        <v>-0.0908</v>
      </c>
      <c r="Y23" s="34">
        <f t="shared" si="14"/>
        <v>17.06995161</v>
      </c>
      <c r="Z23" s="35">
        <f t="shared" si="15"/>
        <v>-7976945081</v>
      </c>
      <c r="AA23" s="36" t="str">
        <f t="shared" si="16"/>
        <v>Desceu</v>
      </c>
      <c r="AB23" s="37">
        <f t="shared" si="17"/>
        <v>0.1611</v>
      </c>
      <c r="AC23" s="34">
        <f t="shared" si="18"/>
        <v>13.36663509</v>
      </c>
      <c r="AD23" s="35">
        <f t="shared" si="19"/>
        <v>11082458047</v>
      </c>
      <c r="AE23" s="36" t="str">
        <f t="shared" si="20"/>
        <v>Subiu</v>
      </c>
      <c r="AF23" s="38">
        <f>VLOOKUP(A23,Total_de_acoes!A:B,2,0)</f>
        <v>5146576868</v>
      </c>
      <c r="AG23" s="30" t="str">
        <f>VLOOKUP(A23,Ticker!A:B,2,0)</f>
        <v>Banco Bradesco</v>
      </c>
      <c r="AH23" s="30" t="str">
        <f>VLOOKUP(AG23,Segmento_Idade!A:C,2,0)</f>
        <v>Bancário</v>
      </c>
      <c r="AI23" s="39">
        <f>VLOOKUP(AG23,Segmento_Idade!A:C,3,0)</f>
        <v>80</v>
      </c>
      <c r="AJ23" s="33" t="str">
        <f t="shared" si="21"/>
        <v>Entre 50 e 100 anos</v>
      </c>
    </row>
    <row r="24">
      <c r="A24" s="40" t="s">
        <v>79</v>
      </c>
      <c r="B24" s="41">
        <v>45317.0</v>
      </c>
      <c r="C24" s="42">
        <v>7.19</v>
      </c>
      <c r="D24" s="42">
        <v>0.98</v>
      </c>
      <c r="E24" s="42">
        <v>6.05</v>
      </c>
      <c r="F24" s="42">
        <v>-3.75</v>
      </c>
      <c r="G24" s="42">
        <v>-3.75</v>
      </c>
      <c r="H24" s="42">
        <v>-48.31</v>
      </c>
      <c r="I24" s="42">
        <v>7.11</v>
      </c>
      <c r="J24" s="42">
        <v>7.24</v>
      </c>
      <c r="K24" s="43" t="s">
        <v>80</v>
      </c>
      <c r="L24" s="37">
        <f t="shared" si="1"/>
        <v>0.0098</v>
      </c>
      <c r="M24" s="31">
        <f t="shared" si="2"/>
        <v>7.120221826</v>
      </c>
      <c r="N24" s="32">
        <f t="shared" si="3"/>
        <v>18214628.1</v>
      </c>
      <c r="O24" s="33" t="str">
        <f t="shared" si="4"/>
        <v>Subiu</v>
      </c>
      <c r="P24" s="30">
        <f t="shared" si="5"/>
        <v>0.0605</v>
      </c>
      <c r="Q24" s="34">
        <f t="shared" si="6"/>
        <v>6.779820839</v>
      </c>
      <c r="R24" s="35">
        <f t="shared" si="7"/>
        <v>107071602.1</v>
      </c>
      <c r="S24" s="36" t="str">
        <f t="shared" si="8"/>
        <v>Subiu</v>
      </c>
      <c r="T24" s="37">
        <f t="shared" si="9"/>
        <v>-0.0375</v>
      </c>
      <c r="U24" s="34">
        <f t="shared" si="10"/>
        <v>7.47012987</v>
      </c>
      <c r="V24" s="35">
        <f t="shared" si="11"/>
        <v>-73124031.76</v>
      </c>
      <c r="W24" s="36" t="str">
        <f t="shared" si="12"/>
        <v>Desceu</v>
      </c>
      <c r="X24" s="37">
        <f t="shared" si="13"/>
        <v>-0.0375</v>
      </c>
      <c r="Y24" s="34">
        <f t="shared" si="14"/>
        <v>7.47012987</v>
      </c>
      <c r="Z24" s="35">
        <f t="shared" si="15"/>
        <v>-73124031.76</v>
      </c>
      <c r="AA24" s="36" t="str">
        <f t="shared" si="16"/>
        <v>Desceu</v>
      </c>
      <c r="AB24" s="37">
        <f t="shared" si="17"/>
        <v>-0.4831</v>
      </c>
      <c r="AC24" s="34">
        <f t="shared" si="18"/>
        <v>13.90984717</v>
      </c>
      <c r="AD24" s="35">
        <f t="shared" si="19"/>
        <v>-1754123248</v>
      </c>
      <c r="AE24" s="36" t="str">
        <f t="shared" si="20"/>
        <v>Desceu</v>
      </c>
      <c r="AF24" s="38">
        <f>VLOOKUP(A24,Total_de_acoes!A:B,2,0)</f>
        <v>261036182</v>
      </c>
      <c r="AG24" s="30" t="str">
        <f>VLOOKUP(A24,Ticker!A:B,2,0)</f>
        <v>Minerva</v>
      </c>
      <c r="AH24" s="30" t="str">
        <f>VLOOKUP(AG24,Segmento_Idade!A:C,2,0)</f>
        <v>Alimentos (Carnes)</v>
      </c>
      <c r="AI24" s="39">
        <f>VLOOKUP(AG24,Segmento_Idade!A:C,3,0)</f>
        <v>30</v>
      </c>
      <c r="AJ24" s="33" t="str">
        <f t="shared" si="21"/>
        <v>Menos de 50 anos</v>
      </c>
    </row>
    <row r="25">
      <c r="A25" s="26" t="s">
        <v>81</v>
      </c>
      <c r="B25" s="27">
        <v>45317.0</v>
      </c>
      <c r="C25" s="28">
        <v>4.14</v>
      </c>
      <c r="D25" s="28">
        <v>0.97</v>
      </c>
      <c r="E25" s="28">
        <v>-6.33</v>
      </c>
      <c r="F25" s="28">
        <v>1.97</v>
      </c>
      <c r="G25" s="28">
        <v>1.97</v>
      </c>
      <c r="H25" s="28">
        <v>-51.18</v>
      </c>
      <c r="I25" s="28">
        <v>4.08</v>
      </c>
      <c r="J25" s="28">
        <v>4.2</v>
      </c>
      <c r="K25" s="29" t="s">
        <v>82</v>
      </c>
      <c r="L25" s="37">
        <f t="shared" si="1"/>
        <v>0.0097</v>
      </c>
      <c r="M25" s="31">
        <f t="shared" si="2"/>
        <v>4.10022779</v>
      </c>
      <c r="N25" s="32">
        <f t="shared" si="3"/>
        <v>6340916.223</v>
      </c>
      <c r="O25" s="33" t="str">
        <f t="shared" si="4"/>
        <v>Subiu</v>
      </c>
      <c r="P25" s="30">
        <f t="shared" si="5"/>
        <v>-0.0633</v>
      </c>
      <c r="Q25" s="34">
        <f t="shared" si="6"/>
        <v>4.419771538</v>
      </c>
      <c r="R25" s="35">
        <f t="shared" si="7"/>
        <v>-44604207.46</v>
      </c>
      <c r="S25" s="36" t="str">
        <f t="shared" si="8"/>
        <v>Desceu</v>
      </c>
      <c r="T25" s="37">
        <f t="shared" si="9"/>
        <v>0.0197</v>
      </c>
      <c r="U25" s="34">
        <f t="shared" si="10"/>
        <v>4.060017652</v>
      </c>
      <c r="V25" s="35">
        <f t="shared" si="11"/>
        <v>12751651.77</v>
      </c>
      <c r="W25" s="36" t="str">
        <f t="shared" si="12"/>
        <v>Subiu</v>
      </c>
      <c r="X25" s="37">
        <f t="shared" si="13"/>
        <v>0.0197</v>
      </c>
      <c r="Y25" s="34">
        <f t="shared" si="14"/>
        <v>4.060017652</v>
      </c>
      <c r="Z25" s="35">
        <f t="shared" si="15"/>
        <v>12751651.77</v>
      </c>
      <c r="AA25" s="36" t="str">
        <f t="shared" si="16"/>
        <v>Subiu</v>
      </c>
      <c r="AB25" s="37">
        <f t="shared" si="17"/>
        <v>-0.5118</v>
      </c>
      <c r="AC25" s="34">
        <f t="shared" si="18"/>
        <v>8.480131094</v>
      </c>
      <c r="AD25" s="35">
        <f t="shared" si="19"/>
        <v>-691950685.2</v>
      </c>
      <c r="AE25" s="36" t="str">
        <f t="shared" si="20"/>
        <v>Desceu</v>
      </c>
      <c r="AF25" s="38">
        <f>VLOOKUP(A25,Total_de_acoes!A:B,2,0)</f>
        <v>159430826</v>
      </c>
      <c r="AG25" s="30" t="str">
        <f>VLOOKUP(A25,Ticker!A:B,2,0)</f>
        <v>Grupo Pão de Açúcar</v>
      </c>
      <c r="AH25" s="30" t="str">
        <f>VLOOKUP(AG25,Segmento_Idade!A:C,2,0)</f>
        <v>Varejo</v>
      </c>
      <c r="AI25" s="39">
        <f>VLOOKUP(AG25,Segmento_Idade!A:C,3,0)</f>
        <v>74</v>
      </c>
      <c r="AJ25" s="33" t="str">
        <f t="shared" si="21"/>
        <v>Entre 50 e 100 anos</v>
      </c>
    </row>
    <row r="26">
      <c r="A26" s="40" t="s">
        <v>83</v>
      </c>
      <c r="B26" s="41">
        <v>45317.0</v>
      </c>
      <c r="C26" s="42">
        <v>14.61</v>
      </c>
      <c r="D26" s="42">
        <v>0.96</v>
      </c>
      <c r="E26" s="42">
        <v>12.38</v>
      </c>
      <c r="F26" s="42">
        <v>5.79</v>
      </c>
      <c r="G26" s="42">
        <v>5.79</v>
      </c>
      <c r="H26" s="42">
        <v>78.17</v>
      </c>
      <c r="I26" s="42">
        <v>14.46</v>
      </c>
      <c r="J26" s="42">
        <v>14.93</v>
      </c>
      <c r="K26" s="43" t="s">
        <v>84</v>
      </c>
      <c r="L26" s="37">
        <f t="shared" si="1"/>
        <v>0.0096</v>
      </c>
      <c r="M26" s="31">
        <f t="shared" si="2"/>
        <v>14.47107765</v>
      </c>
      <c r="N26" s="32">
        <f t="shared" si="3"/>
        <v>233045769.6</v>
      </c>
      <c r="O26" s="33" t="str">
        <f t="shared" si="4"/>
        <v>Subiu</v>
      </c>
      <c r="P26" s="30">
        <f t="shared" si="5"/>
        <v>0.1238</v>
      </c>
      <c r="Q26" s="34">
        <f t="shared" si="6"/>
        <v>13.0005339</v>
      </c>
      <c r="R26" s="35">
        <f t="shared" si="7"/>
        <v>2699920332</v>
      </c>
      <c r="S26" s="36" t="str">
        <f t="shared" si="8"/>
        <v>Subiu</v>
      </c>
      <c r="T26" s="37">
        <f t="shared" si="9"/>
        <v>0.0579</v>
      </c>
      <c r="U26" s="34">
        <f t="shared" si="10"/>
        <v>13.81037905</v>
      </c>
      <c r="V26" s="35">
        <f t="shared" si="11"/>
        <v>1341384486</v>
      </c>
      <c r="W26" s="36" t="str">
        <f t="shared" si="12"/>
        <v>Subiu</v>
      </c>
      <c r="X26" s="37">
        <f t="shared" si="13"/>
        <v>0.0579</v>
      </c>
      <c r="Y26" s="34">
        <f t="shared" si="14"/>
        <v>13.81037905</v>
      </c>
      <c r="Z26" s="35">
        <f t="shared" si="15"/>
        <v>1341384486</v>
      </c>
      <c r="AA26" s="36" t="str">
        <f t="shared" si="16"/>
        <v>Subiu</v>
      </c>
      <c r="AB26" s="37">
        <f t="shared" si="17"/>
        <v>0.7817</v>
      </c>
      <c r="AC26" s="34">
        <f t="shared" si="18"/>
        <v>8.200033676</v>
      </c>
      <c r="AD26" s="35">
        <f t="shared" si="19"/>
        <v>10752881617</v>
      </c>
      <c r="AE26" s="36" t="str">
        <f t="shared" si="20"/>
        <v>Subiu</v>
      </c>
      <c r="AF26" s="38">
        <f>VLOOKUP(A26,Total_de_acoes!A:B,2,0)</f>
        <v>1677525446</v>
      </c>
      <c r="AG26" s="30" t="str">
        <f>VLOOKUP(A26,Ticker!A:B,2,0)</f>
        <v>BRF</v>
      </c>
      <c r="AH26" s="30" t="str">
        <f>VLOOKUP(AG26,Segmento_Idade!A:C,2,0)</f>
        <v>Alimentos (Carnes e Processados)</v>
      </c>
      <c r="AI26" s="39">
        <f>VLOOKUP(AG26,Segmento_Idade!A:C,3,0)</f>
        <v>89</v>
      </c>
      <c r="AJ26" s="33" t="str">
        <f t="shared" si="21"/>
        <v>Entre 50 e 100 anos</v>
      </c>
    </row>
    <row r="27">
      <c r="A27" s="26" t="s">
        <v>85</v>
      </c>
      <c r="B27" s="27">
        <v>45317.0</v>
      </c>
      <c r="C27" s="28">
        <v>51.2</v>
      </c>
      <c r="D27" s="28">
        <v>0.88</v>
      </c>
      <c r="E27" s="28">
        <v>1.09</v>
      </c>
      <c r="F27" s="28">
        <v>-4.19</v>
      </c>
      <c r="G27" s="28">
        <v>-4.19</v>
      </c>
      <c r="H27" s="28">
        <v>32.78</v>
      </c>
      <c r="I27" s="28">
        <v>50.62</v>
      </c>
      <c r="J27" s="28">
        <v>51.26</v>
      </c>
      <c r="K27" s="29" t="s">
        <v>86</v>
      </c>
      <c r="L27" s="37">
        <f t="shared" si="1"/>
        <v>0.0088</v>
      </c>
      <c r="M27" s="31">
        <f t="shared" si="2"/>
        <v>50.75337034</v>
      </c>
      <c r="N27" s="32">
        <f t="shared" si="3"/>
        <v>188965307.1</v>
      </c>
      <c r="O27" s="33" t="str">
        <f t="shared" si="4"/>
        <v>Subiu</v>
      </c>
      <c r="P27" s="30">
        <f t="shared" si="5"/>
        <v>0.0109</v>
      </c>
      <c r="Q27" s="34">
        <f t="shared" si="6"/>
        <v>50.64793748</v>
      </c>
      <c r="R27" s="35">
        <f t="shared" si="7"/>
        <v>233573076.1</v>
      </c>
      <c r="S27" s="36" t="str">
        <f t="shared" si="8"/>
        <v>Subiu</v>
      </c>
      <c r="T27" s="37">
        <f t="shared" si="9"/>
        <v>-0.0419</v>
      </c>
      <c r="U27" s="34">
        <f t="shared" si="10"/>
        <v>53.43909822</v>
      </c>
      <c r="V27" s="35">
        <f t="shared" si="11"/>
        <v>-947343897.2</v>
      </c>
      <c r="W27" s="36" t="str">
        <f t="shared" si="12"/>
        <v>Desceu</v>
      </c>
      <c r="X27" s="37">
        <f t="shared" si="13"/>
        <v>-0.0419</v>
      </c>
      <c r="Y27" s="34">
        <f t="shared" si="14"/>
        <v>53.43909822</v>
      </c>
      <c r="Z27" s="35">
        <f t="shared" si="15"/>
        <v>-947343897.2</v>
      </c>
      <c r="AA27" s="36" t="str">
        <f t="shared" si="16"/>
        <v>Desceu</v>
      </c>
      <c r="AB27" s="37">
        <f t="shared" si="17"/>
        <v>0.3278</v>
      </c>
      <c r="AC27" s="34">
        <f t="shared" si="18"/>
        <v>38.5600241</v>
      </c>
      <c r="AD27" s="35">
        <f t="shared" si="19"/>
        <v>5347869043</v>
      </c>
      <c r="AE27" s="36" t="str">
        <f t="shared" si="20"/>
        <v>Subiu</v>
      </c>
      <c r="AF27" s="38">
        <f>VLOOKUP(A27,Total_de_acoes!A:B,2,0)</f>
        <v>423091712</v>
      </c>
      <c r="AG27" s="30" t="str">
        <f>VLOOKUP(A27,Ticker!A:B,2,0)</f>
        <v>Vivo</v>
      </c>
      <c r="AH27" s="30" t="str">
        <f>VLOOKUP(AG27,Segmento_Idade!A:C,2,0)</f>
        <v>Telecomunicações</v>
      </c>
      <c r="AI27" s="39">
        <f>VLOOKUP(AG27,Segmento_Idade!A:C,3,0)</f>
        <v>29</v>
      </c>
      <c r="AJ27" s="33" t="str">
        <f t="shared" si="21"/>
        <v>Menos de 50 anos</v>
      </c>
    </row>
    <row r="28">
      <c r="A28" s="40" t="s">
        <v>87</v>
      </c>
      <c r="B28" s="41">
        <v>45317.0</v>
      </c>
      <c r="C28" s="42">
        <v>22.64</v>
      </c>
      <c r="D28" s="42">
        <v>0.84</v>
      </c>
      <c r="E28" s="42">
        <v>1.07</v>
      </c>
      <c r="F28" s="42">
        <v>-1.35</v>
      </c>
      <c r="G28" s="42">
        <v>-1.35</v>
      </c>
      <c r="H28" s="42">
        <v>20.93</v>
      </c>
      <c r="I28" s="42">
        <v>22.32</v>
      </c>
      <c r="J28" s="42">
        <v>22.83</v>
      </c>
      <c r="K28" s="43" t="s">
        <v>88</v>
      </c>
      <c r="L28" s="37">
        <f t="shared" si="1"/>
        <v>0.0084</v>
      </c>
      <c r="M28" s="31">
        <f t="shared" si="2"/>
        <v>22.45140817</v>
      </c>
      <c r="N28" s="32">
        <f t="shared" si="3"/>
        <v>229771333.6</v>
      </c>
      <c r="O28" s="33" t="str">
        <f t="shared" si="4"/>
        <v>Subiu</v>
      </c>
      <c r="P28" s="30">
        <f t="shared" si="5"/>
        <v>0.0107</v>
      </c>
      <c r="Q28" s="34">
        <f t="shared" si="6"/>
        <v>22.40031661</v>
      </c>
      <c r="R28" s="35">
        <f t="shared" si="7"/>
        <v>292018864.5</v>
      </c>
      <c r="S28" s="36" t="str">
        <f t="shared" si="8"/>
        <v>Subiu</v>
      </c>
      <c r="T28" s="37">
        <f t="shared" si="9"/>
        <v>-0.0135</v>
      </c>
      <c r="U28" s="34">
        <f t="shared" si="10"/>
        <v>22.94982261</v>
      </c>
      <c r="V28" s="35">
        <f t="shared" si="11"/>
        <v>-377473158.3</v>
      </c>
      <c r="W28" s="36" t="str">
        <f t="shared" si="12"/>
        <v>Desceu</v>
      </c>
      <c r="X28" s="37">
        <f t="shared" si="13"/>
        <v>-0.0135</v>
      </c>
      <c r="Y28" s="34">
        <f t="shared" si="14"/>
        <v>22.94982261</v>
      </c>
      <c r="Z28" s="35">
        <f t="shared" si="15"/>
        <v>-377473158.3</v>
      </c>
      <c r="AA28" s="36" t="str">
        <f t="shared" si="16"/>
        <v>Desceu</v>
      </c>
      <c r="AB28" s="37">
        <f t="shared" si="17"/>
        <v>0.2093</v>
      </c>
      <c r="AC28" s="34">
        <f t="shared" si="18"/>
        <v>18.72157446</v>
      </c>
      <c r="AD28" s="35">
        <f t="shared" si="19"/>
        <v>4774023708</v>
      </c>
      <c r="AE28" s="36" t="str">
        <f t="shared" si="20"/>
        <v>Subiu</v>
      </c>
      <c r="AF28" s="38">
        <f>VLOOKUP(A28,Total_de_acoes!A:B,2,0)</f>
        <v>1218352541</v>
      </c>
      <c r="AG28" s="30" t="str">
        <f>VLOOKUP(A28,Ticker!A:B,2,0)</f>
        <v>Rumo</v>
      </c>
      <c r="AH28" s="30" t="str">
        <f>VLOOKUP(AG28,Segmento_Idade!A:C,2,0)</f>
        <v>Logística</v>
      </c>
      <c r="AI28" s="39">
        <f>VLOOKUP(AG28,Segmento_Idade!A:C,3,0)</f>
        <v>15</v>
      </c>
      <c r="AJ28" s="33" t="str">
        <f t="shared" si="21"/>
        <v>Menos de 50 anos</v>
      </c>
    </row>
    <row r="29">
      <c r="A29" s="26" t="s">
        <v>89</v>
      </c>
      <c r="B29" s="27">
        <v>45317.0</v>
      </c>
      <c r="C29" s="28">
        <v>4.9</v>
      </c>
      <c r="D29" s="28">
        <v>0.82</v>
      </c>
      <c r="E29" s="28">
        <v>9.38</v>
      </c>
      <c r="F29" s="28">
        <v>5.83</v>
      </c>
      <c r="G29" s="28">
        <v>5.83</v>
      </c>
      <c r="H29" s="28">
        <v>-2.19</v>
      </c>
      <c r="I29" s="28">
        <v>4.82</v>
      </c>
      <c r="J29" s="28">
        <v>4.97</v>
      </c>
      <c r="K29" s="29" t="s">
        <v>90</v>
      </c>
      <c r="L29" s="37">
        <f t="shared" si="1"/>
        <v>0.0082</v>
      </c>
      <c r="M29" s="31">
        <f t="shared" si="2"/>
        <v>4.860146796</v>
      </c>
      <c r="N29" s="32">
        <f t="shared" si="3"/>
        <v>43657683.38</v>
      </c>
      <c r="O29" s="33" t="str">
        <f t="shared" si="4"/>
        <v>Subiu</v>
      </c>
      <c r="P29" s="30">
        <f t="shared" si="5"/>
        <v>0.0938</v>
      </c>
      <c r="Q29" s="34">
        <f t="shared" si="6"/>
        <v>4.479795209</v>
      </c>
      <c r="R29" s="35">
        <f t="shared" si="7"/>
        <v>460318518.6</v>
      </c>
      <c r="S29" s="36" t="str">
        <f t="shared" si="8"/>
        <v>Subiu</v>
      </c>
      <c r="T29" s="37">
        <f t="shared" si="9"/>
        <v>0.0583</v>
      </c>
      <c r="U29" s="34">
        <f t="shared" si="10"/>
        <v>4.630067089</v>
      </c>
      <c r="V29" s="35">
        <f t="shared" si="11"/>
        <v>295701335.7</v>
      </c>
      <c r="W29" s="36" t="str">
        <f t="shared" si="12"/>
        <v>Subiu</v>
      </c>
      <c r="X29" s="37">
        <f t="shared" si="13"/>
        <v>0.0583</v>
      </c>
      <c r="Y29" s="34">
        <f t="shared" si="14"/>
        <v>4.630067089</v>
      </c>
      <c r="Z29" s="35">
        <f t="shared" si="15"/>
        <v>295701335.7</v>
      </c>
      <c r="AA29" s="36" t="str">
        <f t="shared" si="16"/>
        <v>Subiu</v>
      </c>
      <c r="AB29" s="37">
        <f t="shared" si="17"/>
        <v>-0.0219</v>
      </c>
      <c r="AC29" s="34">
        <f t="shared" si="18"/>
        <v>5.009712708</v>
      </c>
      <c r="AD29" s="35">
        <f t="shared" si="19"/>
        <v>-120186139</v>
      </c>
      <c r="AE29" s="36" t="str">
        <f t="shared" si="20"/>
        <v>Desceu</v>
      </c>
      <c r="AF29" s="38">
        <f>VLOOKUP(A29,Total_de_acoes!A:B,2,0)</f>
        <v>1095462329</v>
      </c>
      <c r="AG29" s="30" t="str">
        <f>VLOOKUP(A29,Ticker!A:B,2,0)</f>
        <v>Cielo</v>
      </c>
      <c r="AH29" s="30" t="str">
        <f>VLOOKUP(AG29,Segmento_Idade!A:C,2,0)</f>
        <v>Meios de Pagamento</v>
      </c>
      <c r="AI29" s="39">
        <f>VLOOKUP(AG29,Segmento_Idade!A:C,3,0)</f>
        <v>28</v>
      </c>
      <c r="AJ29" s="33" t="str">
        <f t="shared" si="21"/>
        <v>Menos de 50 anos</v>
      </c>
    </row>
    <row r="30">
      <c r="A30" s="40" t="s">
        <v>91</v>
      </c>
      <c r="B30" s="41">
        <v>45317.0</v>
      </c>
      <c r="C30" s="42">
        <v>7.81</v>
      </c>
      <c r="D30" s="42">
        <v>0.77</v>
      </c>
      <c r="E30" s="42">
        <v>3.17</v>
      </c>
      <c r="F30" s="42">
        <v>-3.22</v>
      </c>
      <c r="G30" s="42">
        <v>-3.22</v>
      </c>
      <c r="H30" s="42">
        <v>9.94</v>
      </c>
      <c r="I30" s="42">
        <v>7.7</v>
      </c>
      <c r="J30" s="42">
        <v>7.85</v>
      </c>
      <c r="K30" s="43" t="s">
        <v>92</v>
      </c>
      <c r="L30" s="37">
        <f t="shared" si="1"/>
        <v>0.0077</v>
      </c>
      <c r="M30" s="31">
        <f t="shared" si="2"/>
        <v>7.750322517</v>
      </c>
      <c r="N30" s="32">
        <f t="shared" si="3"/>
        <v>18068446.61</v>
      </c>
      <c r="O30" s="33" t="str">
        <f t="shared" si="4"/>
        <v>Subiu</v>
      </c>
      <c r="P30" s="30">
        <f t="shared" si="5"/>
        <v>0.0317</v>
      </c>
      <c r="Q30" s="34">
        <f t="shared" si="6"/>
        <v>7.570030047</v>
      </c>
      <c r="R30" s="35">
        <f t="shared" si="7"/>
        <v>72655280.17</v>
      </c>
      <c r="S30" s="36" t="str">
        <f t="shared" si="8"/>
        <v>Subiu</v>
      </c>
      <c r="T30" s="37">
        <f t="shared" si="9"/>
        <v>-0.0322</v>
      </c>
      <c r="U30" s="34">
        <f t="shared" si="10"/>
        <v>8.069849142</v>
      </c>
      <c r="V30" s="35">
        <f t="shared" si="11"/>
        <v>-78674067.51</v>
      </c>
      <c r="W30" s="36" t="str">
        <f t="shared" si="12"/>
        <v>Desceu</v>
      </c>
      <c r="X30" s="37">
        <f t="shared" si="13"/>
        <v>-0.0322</v>
      </c>
      <c r="Y30" s="34">
        <f t="shared" si="14"/>
        <v>8.069849142</v>
      </c>
      <c r="Z30" s="35">
        <f t="shared" si="15"/>
        <v>-78674067.51</v>
      </c>
      <c r="AA30" s="36" t="str">
        <f t="shared" si="16"/>
        <v>Desceu</v>
      </c>
      <c r="AB30" s="37">
        <f t="shared" si="17"/>
        <v>0.0994</v>
      </c>
      <c r="AC30" s="34">
        <f t="shared" si="18"/>
        <v>7.103874841</v>
      </c>
      <c r="AD30" s="35">
        <f t="shared" si="19"/>
        <v>213792271.7</v>
      </c>
      <c r="AE30" s="36" t="str">
        <f t="shared" si="20"/>
        <v>Subiu</v>
      </c>
      <c r="AF30" s="38">
        <f>VLOOKUP(A30,Total_de_acoes!A:B,2,0)</f>
        <v>302768240</v>
      </c>
      <c r="AG30" s="30" t="str">
        <f>VLOOKUP(A30,Ticker!A:B,2,0)</f>
        <v>Dexco</v>
      </c>
      <c r="AH30" s="30" t="str">
        <f>VLOOKUP(AG30,Segmento_Idade!A:C,2,0)</f>
        <v>Materiais de Construção</v>
      </c>
      <c r="AI30" s="39">
        <f>VLOOKUP(AG30,Segmento_Idade!A:C,3,0)</f>
        <v>70</v>
      </c>
      <c r="AJ30" s="33" t="str">
        <f t="shared" si="21"/>
        <v>Entre 50 e 100 anos</v>
      </c>
    </row>
    <row r="31">
      <c r="A31" s="26" t="s">
        <v>93</v>
      </c>
      <c r="B31" s="27">
        <v>45317.0</v>
      </c>
      <c r="C31" s="28">
        <v>17.52</v>
      </c>
      <c r="D31" s="28">
        <v>0.74</v>
      </c>
      <c r="E31" s="28">
        <v>-0.57</v>
      </c>
      <c r="F31" s="28">
        <v>-2.29</v>
      </c>
      <c r="G31" s="28">
        <v>-2.29</v>
      </c>
      <c r="H31" s="28">
        <v>56.87</v>
      </c>
      <c r="I31" s="28">
        <v>17.36</v>
      </c>
      <c r="J31" s="28">
        <v>17.58</v>
      </c>
      <c r="K31" s="29" t="s">
        <v>94</v>
      </c>
      <c r="L31" s="37">
        <f t="shared" si="1"/>
        <v>0.0074</v>
      </c>
      <c r="M31" s="31">
        <f t="shared" si="2"/>
        <v>17.39130435</v>
      </c>
      <c r="N31" s="32">
        <f t="shared" si="3"/>
        <v>103972807.4</v>
      </c>
      <c r="O31" s="33" t="str">
        <f t="shared" si="4"/>
        <v>Subiu</v>
      </c>
      <c r="P31" s="30">
        <f t="shared" si="5"/>
        <v>-0.0057</v>
      </c>
      <c r="Q31" s="34">
        <f t="shared" si="6"/>
        <v>17.62043649</v>
      </c>
      <c r="R31" s="35">
        <f t="shared" si="7"/>
        <v>-81142318.65</v>
      </c>
      <c r="S31" s="36" t="str">
        <f t="shared" si="8"/>
        <v>Desceu</v>
      </c>
      <c r="T31" s="37">
        <f t="shared" si="9"/>
        <v>-0.0229</v>
      </c>
      <c r="U31" s="34">
        <f t="shared" si="10"/>
        <v>17.93061099</v>
      </c>
      <c r="V31" s="35">
        <f t="shared" si="11"/>
        <v>-331731312</v>
      </c>
      <c r="W31" s="36" t="str">
        <f t="shared" si="12"/>
        <v>Desceu</v>
      </c>
      <c r="X31" s="37">
        <f t="shared" si="13"/>
        <v>-0.0229</v>
      </c>
      <c r="Y31" s="34">
        <f t="shared" si="14"/>
        <v>17.93061099</v>
      </c>
      <c r="Z31" s="35">
        <f t="shared" si="15"/>
        <v>-331731312</v>
      </c>
      <c r="AA31" s="36" t="str">
        <f t="shared" si="16"/>
        <v>Desceu</v>
      </c>
      <c r="AB31" s="37">
        <f t="shared" si="17"/>
        <v>0.5687</v>
      </c>
      <c r="AC31" s="34">
        <f t="shared" si="18"/>
        <v>11.16848346</v>
      </c>
      <c r="AD31" s="35">
        <f t="shared" si="19"/>
        <v>5131369979</v>
      </c>
      <c r="AE31" s="36" t="str">
        <f t="shared" si="20"/>
        <v>Subiu</v>
      </c>
      <c r="AF31" s="38">
        <f>VLOOKUP(A31,Total_de_acoes!A:B,2,0)</f>
        <v>807896814</v>
      </c>
      <c r="AG31" s="30" t="str">
        <f>VLOOKUP(A31,Ticker!A:B,2,0)</f>
        <v>TIM</v>
      </c>
      <c r="AH31" s="30" t="str">
        <f>VLOOKUP(AG31,Segmento_Idade!A:C,2,0)</f>
        <v>Telecomunicações</v>
      </c>
      <c r="AI31" s="39">
        <f>VLOOKUP(AG31,Segmento_Idade!A:C,3,0)</f>
        <v>23</v>
      </c>
      <c r="AJ31" s="33" t="str">
        <f t="shared" si="21"/>
        <v>Menos de 50 anos</v>
      </c>
    </row>
    <row r="32">
      <c r="A32" s="40" t="s">
        <v>95</v>
      </c>
      <c r="B32" s="41">
        <v>45317.0</v>
      </c>
      <c r="C32" s="42">
        <v>23.22</v>
      </c>
      <c r="D32" s="42">
        <v>0.73</v>
      </c>
      <c r="E32" s="42">
        <v>1.93</v>
      </c>
      <c r="F32" s="42">
        <v>-9.51</v>
      </c>
      <c r="G32" s="42">
        <v>-9.51</v>
      </c>
      <c r="H32" s="42">
        <v>-20.4</v>
      </c>
      <c r="I32" s="42">
        <v>22.69</v>
      </c>
      <c r="J32" s="42">
        <v>23.28</v>
      </c>
      <c r="K32" s="43" t="s">
        <v>96</v>
      </c>
      <c r="L32" s="37">
        <f t="shared" si="1"/>
        <v>0.0073</v>
      </c>
      <c r="M32" s="31">
        <f t="shared" si="2"/>
        <v>23.05172243</v>
      </c>
      <c r="N32" s="32">
        <f t="shared" si="3"/>
        <v>42238249.54</v>
      </c>
      <c r="O32" s="33" t="str">
        <f t="shared" si="4"/>
        <v>Subiu</v>
      </c>
      <c r="P32" s="30">
        <f t="shared" si="5"/>
        <v>0.0193</v>
      </c>
      <c r="Q32" s="34">
        <f t="shared" si="6"/>
        <v>22.78033945</v>
      </c>
      <c r="R32" s="35">
        <f t="shared" si="7"/>
        <v>110356309.9</v>
      </c>
      <c r="S32" s="36" t="str">
        <f t="shared" si="8"/>
        <v>Subiu</v>
      </c>
      <c r="T32" s="37">
        <f t="shared" si="9"/>
        <v>-0.0951</v>
      </c>
      <c r="U32" s="34">
        <f t="shared" si="10"/>
        <v>25.66029396</v>
      </c>
      <c r="V32" s="35">
        <f t="shared" si="11"/>
        <v>-612522172.5</v>
      </c>
      <c r="W32" s="36" t="str">
        <f t="shared" si="12"/>
        <v>Desceu</v>
      </c>
      <c r="X32" s="37">
        <f t="shared" si="13"/>
        <v>-0.0951</v>
      </c>
      <c r="Y32" s="34">
        <f t="shared" si="14"/>
        <v>25.66029396</v>
      </c>
      <c r="Z32" s="35">
        <f t="shared" si="15"/>
        <v>-612522172.5</v>
      </c>
      <c r="AA32" s="36" t="str">
        <f t="shared" si="16"/>
        <v>Desceu</v>
      </c>
      <c r="AB32" s="37">
        <f t="shared" si="17"/>
        <v>-0.204</v>
      </c>
      <c r="AC32" s="34">
        <f t="shared" si="18"/>
        <v>29.17085427</v>
      </c>
      <c r="AD32" s="35">
        <f t="shared" si="19"/>
        <v>-1493684881</v>
      </c>
      <c r="AE32" s="36" t="str">
        <f t="shared" si="20"/>
        <v>Desceu</v>
      </c>
      <c r="AF32" s="38">
        <f>VLOOKUP(A32,Total_de_acoes!A:B,2,0)</f>
        <v>251003438</v>
      </c>
      <c r="AG32" s="30" t="str">
        <f>VLOOKUP(A32,Ticker!A:B,2,0)</f>
        <v>Bradespar</v>
      </c>
      <c r="AH32" s="30" t="str">
        <f>VLOOKUP(AG32,Segmento_Idade!A:C,2,0)</f>
        <v>Holding (Investimentos)</v>
      </c>
      <c r="AI32" s="39">
        <f>VLOOKUP(AG32,Segmento_Idade!A:C,3,0)</f>
        <v>22</v>
      </c>
      <c r="AJ32" s="33" t="str">
        <f t="shared" si="21"/>
        <v>Menos de 50 anos</v>
      </c>
    </row>
    <row r="33">
      <c r="A33" s="26" t="s">
        <v>97</v>
      </c>
      <c r="B33" s="27">
        <v>45317.0</v>
      </c>
      <c r="C33" s="28">
        <v>5.55</v>
      </c>
      <c r="D33" s="28">
        <v>0.72</v>
      </c>
      <c r="E33" s="28">
        <v>-3.65</v>
      </c>
      <c r="F33" s="28">
        <v>-7.65</v>
      </c>
      <c r="G33" s="28">
        <v>-7.65</v>
      </c>
      <c r="H33" s="28">
        <v>-14.03</v>
      </c>
      <c r="I33" s="28">
        <v>5.46</v>
      </c>
      <c r="J33" s="28">
        <v>5.6</v>
      </c>
      <c r="K33" s="29" t="s">
        <v>98</v>
      </c>
      <c r="L33" s="37">
        <f t="shared" si="1"/>
        <v>0.0072</v>
      </c>
      <c r="M33" s="31">
        <f t="shared" si="2"/>
        <v>5.510325655</v>
      </c>
      <c r="N33" s="32">
        <f t="shared" si="3"/>
        <v>15598886.65</v>
      </c>
      <c r="O33" s="33" t="str">
        <f t="shared" si="4"/>
        <v>Subiu</v>
      </c>
      <c r="P33" s="30">
        <f t="shared" si="5"/>
        <v>-0.0365</v>
      </c>
      <c r="Q33" s="34">
        <f t="shared" si="6"/>
        <v>5.760249092</v>
      </c>
      <c r="R33" s="35">
        <f t="shared" si="7"/>
        <v>-82664295.42</v>
      </c>
      <c r="S33" s="36" t="str">
        <f t="shared" si="8"/>
        <v>Desceu</v>
      </c>
      <c r="T33" s="37">
        <f t="shared" si="9"/>
        <v>-0.0765</v>
      </c>
      <c r="U33" s="34">
        <f t="shared" si="10"/>
        <v>6.009745533</v>
      </c>
      <c r="V33" s="35">
        <f t="shared" si="11"/>
        <v>-180759594.5</v>
      </c>
      <c r="W33" s="36" t="str">
        <f t="shared" si="12"/>
        <v>Desceu</v>
      </c>
      <c r="X33" s="37">
        <f t="shared" si="13"/>
        <v>-0.0765</v>
      </c>
      <c r="Y33" s="34">
        <f t="shared" si="14"/>
        <v>6.009745533</v>
      </c>
      <c r="Z33" s="35">
        <f t="shared" si="15"/>
        <v>-180759594.5</v>
      </c>
      <c r="AA33" s="36" t="str">
        <f t="shared" si="16"/>
        <v>Desceu</v>
      </c>
      <c r="AB33" s="37">
        <f t="shared" si="17"/>
        <v>-0.1403</v>
      </c>
      <c r="AC33" s="34">
        <f t="shared" si="18"/>
        <v>6.455740375</v>
      </c>
      <c r="AD33" s="35">
        <f t="shared" si="19"/>
        <v>-356112786.2</v>
      </c>
      <c r="AE33" s="36" t="str">
        <f t="shared" si="20"/>
        <v>Desceu</v>
      </c>
      <c r="AF33" s="38">
        <f>VLOOKUP(A33,Total_de_acoes!A:B,2,0)</f>
        <v>393173139</v>
      </c>
      <c r="AG33" s="30" t="str">
        <f>VLOOKUP(A33,Ticker!A:B,2,0)</f>
        <v>Locaweb</v>
      </c>
      <c r="AH33" s="30" t="str">
        <f>VLOOKUP(AG33,Segmento_Idade!A:C,2,0)</f>
        <v>Tecnologia da Informação</v>
      </c>
      <c r="AI33" s="39">
        <f>VLOOKUP(AG33,Segmento_Idade!A:C,3,0)</f>
        <v>24</v>
      </c>
      <c r="AJ33" s="33" t="str">
        <f t="shared" si="21"/>
        <v>Menos de 50 anos</v>
      </c>
    </row>
    <row r="34">
      <c r="A34" s="40" t="s">
        <v>99</v>
      </c>
      <c r="B34" s="41">
        <v>45317.0</v>
      </c>
      <c r="C34" s="42">
        <v>23.83</v>
      </c>
      <c r="D34" s="42">
        <v>0.71</v>
      </c>
      <c r="E34" s="42">
        <v>1.49</v>
      </c>
      <c r="F34" s="42">
        <v>9.71</v>
      </c>
      <c r="G34" s="42">
        <v>9.71</v>
      </c>
      <c r="H34" s="42">
        <v>-26.61</v>
      </c>
      <c r="I34" s="42">
        <v>23.36</v>
      </c>
      <c r="J34" s="42">
        <v>23.99</v>
      </c>
      <c r="K34" s="43" t="s">
        <v>100</v>
      </c>
      <c r="L34" s="37">
        <f t="shared" si="1"/>
        <v>0.0071</v>
      </c>
      <c r="M34" s="31">
        <f t="shared" si="2"/>
        <v>23.6619998</v>
      </c>
      <c r="N34" s="32">
        <f t="shared" si="3"/>
        <v>46201006</v>
      </c>
      <c r="O34" s="33" t="str">
        <f t="shared" si="4"/>
        <v>Subiu</v>
      </c>
      <c r="P34" s="30">
        <f t="shared" si="5"/>
        <v>0.0149</v>
      </c>
      <c r="Q34" s="34">
        <f t="shared" si="6"/>
        <v>23.48014583</v>
      </c>
      <c r="R34" s="35">
        <f t="shared" si="7"/>
        <v>96211878.75</v>
      </c>
      <c r="S34" s="36" t="str">
        <f t="shared" si="8"/>
        <v>Subiu</v>
      </c>
      <c r="T34" s="37">
        <f t="shared" si="9"/>
        <v>0.0971</v>
      </c>
      <c r="U34" s="34">
        <f t="shared" si="10"/>
        <v>21.72090056</v>
      </c>
      <c r="V34" s="35">
        <f t="shared" si="11"/>
        <v>580014290.9</v>
      </c>
      <c r="W34" s="36" t="str">
        <f t="shared" si="12"/>
        <v>Subiu</v>
      </c>
      <c r="X34" s="37">
        <f t="shared" si="13"/>
        <v>0.0971</v>
      </c>
      <c r="Y34" s="34">
        <f t="shared" si="14"/>
        <v>21.72090056</v>
      </c>
      <c r="Z34" s="35">
        <f t="shared" si="15"/>
        <v>580014290.9</v>
      </c>
      <c r="AA34" s="36" t="str">
        <f t="shared" si="16"/>
        <v>Subiu</v>
      </c>
      <c r="AB34" s="37">
        <f t="shared" si="17"/>
        <v>-0.2661</v>
      </c>
      <c r="AC34" s="34">
        <f t="shared" si="18"/>
        <v>32.47036381</v>
      </c>
      <c r="AD34" s="35">
        <f t="shared" si="19"/>
        <v>-2376148978</v>
      </c>
      <c r="AE34" s="36" t="str">
        <f t="shared" si="20"/>
        <v>Desceu</v>
      </c>
      <c r="AF34" s="38">
        <f>VLOOKUP(A34,Total_de_acoes!A:B,2,0)</f>
        <v>275005663</v>
      </c>
      <c r="AG34" s="30" t="str">
        <f>VLOOKUP(A34,Ticker!A:B,2,0)</f>
        <v>PetroRecôncavo</v>
      </c>
      <c r="AH34" s="30" t="str">
        <f>VLOOKUP(AG34,Segmento_Idade!A:C,2,0)</f>
        <v>Petróleo e Gás</v>
      </c>
      <c r="AI34" s="39">
        <f>VLOOKUP(AG34,Segmento_Idade!A:C,3,0)</f>
        <v>23</v>
      </c>
      <c r="AJ34" s="33" t="str">
        <f t="shared" si="21"/>
        <v>Menos de 50 anos</v>
      </c>
    </row>
    <row r="35">
      <c r="A35" s="26" t="s">
        <v>101</v>
      </c>
      <c r="B35" s="27">
        <v>45317.0</v>
      </c>
      <c r="C35" s="28">
        <v>10.01</v>
      </c>
      <c r="D35" s="28">
        <v>0.7</v>
      </c>
      <c r="E35" s="28">
        <v>-0.3</v>
      </c>
      <c r="F35" s="28">
        <v>-3.47</v>
      </c>
      <c r="G35" s="28">
        <v>-3.47</v>
      </c>
      <c r="H35" s="28">
        <v>29.0</v>
      </c>
      <c r="I35" s="28">
        <v>9.93</v>
      </c>
      <c r="J35" s="28">
        <v>10.06</v>
      </c>
      <c r="K35" s="29" t="s">
        <v>102</v>
      </c>
      <c r="L35" s="37">
        <f t="shared" si="1"/>
        <v>0.007</v>
      </c>
      <c r="M35" s="31">
        <f t="shared" si="2"/>
        <v>9.94041708</v>
      </c>
      <c r="N35" s="32">
        <f t="shared" si="3"/>
        <v>373853994.9</v>
      </c>
      <c r="O35" s="33" t="str">
        <f t="shared" si="4"/>
        <v>Subiu</v>
      </c>
      <c r="P35" s="30">
        <f t="shared" si="5"/>
        <v>-0.003</v>
      </c>
      <c r="Q35" s="34">
        <f t="shared" si="6"/>
        <v>10.04012036</v>
      </c>
      <c r="R35" s="35">
        <f t="shared" si="7"/>
        <v>-161830193.2</v>
      </c>
      <c r="S35" s="36" t="str">
        <f t="shared" si="8"/>
        <v>Desceu</v>
      </c>
      <c r="T35" s="37">
        <f t="shared" si="9"/>
        <v>-0.0347</v>
      </c>
      <c r="U35" s="34">
        <f t="shared" si="10"/>
        <v>10.36983321</v>
      </c>
      <c r="V35" s="35">
        <f t="shared" si="11"/>
        <v>-1933306116</v>
      </c>
      <c r="W35" s="36" t="str">
        <f t="shared" si="12"/>
        <v>Desceu</v>
      </c>
      <c r="X35" s="37">
        <f t="shared" si="13"/>
        <v>-0.0347</v>
      </c>
      <c r="Y35" s="34">
        <f t="shared" si="14"/>
        <v>10.36983321</v>
      </c>
      <c r="Z35" s="35">
        <f t="shared" si="15"/>
        <v>-1933306116</v>
      </c>
      <c r="AA35" s="36" t="str">
        <f t="shared" si="16"/>
        <v>Desceu</v>
      </c>
      <c r="AB35" s="37">
        <f t="shared" si="17"/>
        <v>0.29</v>
      </c>
      <c r="AC35" s="34">
        <f t="shared" si="18"/>
        <v>7.759689922</v>
      </c>
      <c r="AD35" s="35">
        <f t="shared" si="19"/>
        <v>12090429914</v>
      </c>
      <c r="AE35" s="36" t="str">
        <f t="shared" si="20"/>
        <v>Subiu</v>
      </c>
      <c r="AF35" s="38">
        <f>VLOOKUP(A35,Total_de_acoes!A:B,2,0)</f>
        <v>5372783971</v>
      </c>
      <c r="AG35" s="30" t="str">
        <f>VLOOKUP(A35,Ticker!A:B,2,0)</f>
        <v>Itaúsa</v>
      </c>
      <c r="AH35" s="30" t="str">
        <f>VLOOKUP(AG35,Segmento_Idade!A:C,2,0)</f>
        <v>Holding (Investimentos)</v>
      </c>
      <c r="AI35" s="39">
        <f>VLOOKUP(AG35,Segmento_Idade!A:C,3,0)</f>
        <v>48</v>
      </c>
      <c r="AJ35" s="33" t="str">
        <f t="shared" si="21"/>
        <v>Menos de 50 anos</v>
      </c>
    </row>
    <row r="36">
      <c r="A36" s="40" t="s">
        <v>103</v>
      </c>
      <c r="B36" s="41">
        <v>45317.0</v>
      </c>
      <c r="C36" s="42">
        <v>56.97</v>
      </c>
      <c r="D36" s="42">
        <v>0.68</v>
      </c>
      <c r="E36" s="42">
        <v>1.88</v>
      </c>
      <c r="F36" s="42">
        <v>2.85</v>
      </c>
      <c r="G36" s="42">
        <v>2.85</v>
      </c>
      <c r="H36" s="42">
        <v>52.87</v>
      </c>
      <c r="I36" s="42">
        <v>56.55</v>
      </c>
      <c r="J36" s="42">
        <v>56.99</v>
      </c>
      <c r="K36" s="43" t="s">
        <v>104</v>
      </c>
      <c r="L36" s="37">
        <f t="shared" si="1"/>
        <v>0.0068</v>
      </c>
      <c r="M36" s="31">
        <f t="shared" si="2"/>
        <v>56.5852205</v>
      </c>
      <c r="N36" s="32">
        <f t="shared" si="3"/>
        <v>546752088</v>
      </c>
      <c r="O36" s="33" t="str">
        <f t="shared" si="4"/>
        <v>Subiu</v>
      </c>
      <c r="P36" s="30">
        <f t="shared" si="5"/>
        <v>0.0188</v>
      </c>
      <c r="Q36" s="34">
        <f t="shared" si="6"/>
        <v>55.91872792</v>
      </c>
      <c r="R36" s="35">
        <f t="shared" si="7"/>
        <v>1493804135</v>
      </c>
      <c r="S36" s="36" t="str">
        <f t="shared" si="8"/>
        <v>Subiu</v>
      </c>
      <c r="T36" s="37">
        <f t="shared" si="9"/>
        <v>0.0285</v>
      </c>
      <c r="U36" s="34">
        <f t="shared" si="10"/>
        <v>55.39134662</v>
      </c>
      <c r="V36" s="35">
        <f t="shared" si="11"/>
        <v>2243186117</v>
      </c>
      <c r="W36" s="36" t="str">
        <f t="shared" si="12"/>
        <v>Subiu</v>
      </c>
      <c r="X36" s="37">
        <f t="shared" si="13"/>
        <v>0.0285</v>
      </c>
      <c r="Y36" s="34">
        <f t="shared" si="14"/>
        <v>55.39134662</v>
      </c>
      <c r="Z36" s="35">
        <f t="shared" si="15"/>
        <v>2243186117</v>
      </c>
      <c r="AA36" s="36" t="str">
        <f t="shared" si="16"/>
        <v>Subiu</v>
      </c>
      <c r="AB36" s="37">
        <f t="shared" si="17"/>
        <v>0.5287</v>
      </c>
      <c r="AC36" s="34">
        <f t="shared" si="18"/>
        <v>37.26695885</v>
      </c>
      <c r="AD36" s="35">
        <f t="shared" si="19"/>
        <v>27997018820</v>
      </c>
      <c r="AE36" s="36" t="str">
        <f t="shared" si="20"/>
        <v>Subiu</v>
      </c>
      <c r="AF36" s="38">
        <f>VLOOKUP(A36,Total_de_acoes!A:B,2,0)</f>
        <v>1420949112</v>
      </c>
      <c r="AG36" s="30" t="str">
        <f>VLOOKUP(A36,Ticker!A:B,2,0)</f>
        <v>Banco do Brasil</v>
      </c>
      <c r="AH36" s="30" t="str">
        <f>VLOOKUP(AG36,Segmento_Idade!A:C,2,0)</f>
        <v>Bancário</v>
      </c>
      <c r="AI36" s="39">
        <f>VLOOKUP(AG36,Segmento_Idade!A:C,3,0)</f>
        <v>215</v>
      </c>
      <c r="AJ36" s="33" t="str">
        <f t="shared" si="21"/>
        <v>Mais de 100 anos</v>
      </c>
    </row>
    <row r="37">
      <c r="A37" s="26" t="s">
        <v>105</v>
      </c>
      <c r="B37" s="27">
        <v>45317.0</v>
      </c>
      <c r="C37" s="28">
        <v>26.16</v>
      </c>
      <c r="D37" s="28">
        <v>0.61</v>
      </c>
      <c r="E37" s="28">
        <v>-2.75</v>
      </c>
      <c r="F37" s="28">
        <v>-11.02</v>
      </c>
      <c r="G37" s="28">
        <v>-11.02</v>
      </c>
      <c r="H37" s="28">
        <v>10.07</v>
      </c>
      <c r="I37" s="28">
        <v>25.87</v>
      </c>
      <c r="J37" s="28">
        <v>26.38</v>
      </c>
      <c r="K37" s="29" t="s">
        <v>106</v>
      </c>
      <c r="L37" s="37">
        <f t="shared" si="1"/>
        <v>0.0061</v>
      </c>
      <c r="M37" s="31">
        <f t="shared" si="2"/>
        <v>26.00139151</v>
      </c>
      <c r="N37" s="32">
        <f t="shared" si="3"/>
        <v>202352473.7</v>
      </c>
      <c r="O37" s="33" t="str">
        <f t="shared" si="4"/>
        <v>Subiu</v>
      </c>
      <c r="P37" s="30">
        <f t="shared" si="5"/>
        <v>-0.0275</v>
      </c>
      <c r="Q37" s="34">
        <f t="shared" si="6"/>
        <v>26.89974293</v>
      </c>
      <c r="R37" s="35">
        <f t="shared" si="7"/>
        <v>-943762932.3</v>
      </c>
      <c r="S37" s="36" t="str">
        <f t="shared" si="8"/>
        <v>Desceu</v>
      </c>
      <c r="T37" s="37">
        <f t="shared" si="9"/>
        <v>-0.1102</v>
      </c>
      <c r="U37" s="34">
        <f t="shared" si="10"/>
        <v>29.39986514</v>
      </c>
      <c r="V37" s="35">
        <f t="shared" si="11"/>
        <v>-4133415132</v>
      </c>
      <c r="W37" s="36" t="str">
        <f t="shared" si="12"/>
        <v>Desceu</v>
      </c>
      <c r="X37" s="37">
        <f t="shared" si="13"/>
        <v>-0.1102</v>
      </c>
      <c r="Y37" s="34">
        <f t="shared" si="14"/>
        <v>29.39986514</v>
      </c>
      <c r="Z37" s="35">
        <f t="shared" si="15"/>
        <v>-4133415132</v>
      </c>
      <c r="AA37" s="36" t="str">
        <f t="shared" si="16"/>
        <v>Desceu</v>
      </c>
      <c r="AB37" s="37">
        <f t="shared" si="17"/>
        <v>0.1007</v>
      </c>
      <c r="AC37" s="34">
        <f t="shared" si="18"/>
        <v>23.76669392</v>
      </c>
      <c r="AD37" s="35">
        <f t="shared" si="19"/>
        <v>3053376340</v>
      </c>
      <c r="AE37" s="36" t="str">
        <f t="shared" si="20"/>
        <v>Subiu</v>
      </c>
      <c r="AF37" s="38">
        <f>VLOOKUP(A37,Total_de_acoes!A:B,2,0)</f>
        <v>1275798515</v>
      </c>
      <c r="AG37" s="30" t="str">
        <f>VLOOKUP(A37,Ticker!A:B,2,0)</f>
        <v>RaiaDrogasil</v>
      </c>
      <c r="AH37" s="30" t="str">
        <f>VLOOKUP(AG37,Segmento_Idade!A:C,2,0)</f>
        <v>Varejo Farmacêutico</v>
      </c>
      <c r="AI37" s="39">
        <f>VLOOKUP(AG37,Segmento_Idade!A:C,3,0)</f>
        <v>91</v>
      </c>
      <c r="AJ37" s="33" t="str">
        <f t="shared" si="21"/>
        <v>Entre 50 e 100 anos</v>
      </c>
    </row>
    <row r="38">
      <c r="A38" s="40" t="s">
        <v>107</v>
      </c>
      <c r="B38" s="41">
        <v>45317.0</v>
      </c>
      <c r="C38" s="42">
        <v>10.08</v>
      </c>
      <c r="D38" s="42">
        <v>0.59</v>
      </c>
      <c r="E38" s="42">
        <v>3.28</v>
      </c>
      <c r="F38" s="42">
        <v>-7.18</v>
      </c>
      <c r="G38" s="42">
        <v>-7.18</v>
      </c>
      <c r="H38" s="42">
        <v>-21.14</v>
      </c>
      <c r="I38" s="42">
        <v>10.03</v>
      </c>
      <c r="J38" s="42">
        <v>10.14</v>
      </c>
      <c r="K38" s="43" t="s">
        <v>108</v>
      </c>
      <c r="L38" s="37">
        <f t="shared" si="1"/>
        <v>0.0059</v>
      </c>
      <c r="M38" s="31">
        <f t="shared" si="2"/>
        <v>10.02087683</v>
      </c>
      <c r="N38" s="32">
        <f t="shared" si="3"/>
        <v>39045606.94</v>
      </c>
      <c r="O38" s="33" t="str">
        <f t="shared" si="4"/>
        <v>Subiu</v>
      </c>
      <c r="P38" s="30">
        <f t="shared" si="5"/>
        <v>0.0328</v>
      </c>
      <c r="Q38" s="34">
        <f t="shared" si="6"/>
        <v>9.759876065</v>
      </c>
      <c r="R38" s="35">
        <f t="shared" si="7"/>
        <v>211413438.1</v>
      </c>
      <c r="S38" s="36" t="str">
        <f t="shared" si="8"/>
        <v>Subiu</v>
      </c>
      <c r="T38" s="37">
        <f t="shared" si="9"/>
        <v>-0.0718</v>
      </c>
      <c r="U38" s="34">
        <f t="shared" si="10"/>
        <v>10.85972851</v>
      </c>
      <c r="V38" s="35">
        <f t="shared" si="11"/>
        <v>-514941453.7</v>
      </c>
      <c r="W38" s="36" t="str">
        <f t="shared" si="12"/>
        <v>Desceu</v>
      </c>
      <c r="X38" s="37">
        <f t="shared" si="13"/>
        <v>-0.0718</v>
      </c>
      <c r="Y38" s="34">
        <f t="shared" si="14"/>
        <v>10.85972851</v>
      </c>
      <c r="Z38" s="35">
        <f t="shared" si="15"/>
        <v>-514941453.7</v>
      </c>
      <c r="AA38" s="36" t="str">
        <f t="shared" si="16"/>
        <v>Desceu</v>
      </c>
      <c r="AB38" s="37">
        <f t="shared" si="17"/>
        <v>-0.2114</v>
      </c>
      <c r="AC38" s="34">
        <f t="shared" si="18"/>
        <v>12.78214557</v>
      </c>
      <c r="AD38" s="35">
        <f t="shared" si="19"/>
        <v>-1784527253</v>
      </c>
      <c r="AE38" s="36" t="str">
        <f t="shared" si="20"/>
        <v>Desceu</v>
      </c>
      <c r="AF38" s="38">
        <f>VLOOKUP(A38,Total_de_acoes!A:B,2,0)</f>
        <v>660411219</v>
      </c>
      <c r="AG38" s="30" t="str">
        <f>VLOOKUP(A38,Ticker!A:B,2,0)</f>
        <v>Metalúrgica Gerdau</v>
      </c>
      <c r="AH38" s="30" t="str">
        <f>VLOOKUP(AG38,Segmento_Idade!A:C,2,0)</f>
        <v>Siderurgia</v>
      </c>
      <c r="AI38" s="39">
        <f>VLOOKUP(AG38,Segmento_Idade!A:C,3,0)</f>
        <v>122</v>
      </c>
      <c r="AJ38" s="33" t="str">
        <f t="shared" si="21"/>
        <v>Mais de 100 anos</v>
      </c>
    </row>
    <row r="39">
      <c r="A39" s="26" t="s">
        <v>109</v>
      </c>
      <c r="B39" s="27">
        <v>45317.0</v>
      </c>
      <c r="C39" s="28">
        <v>18.57</v>
      </c>
      <c r="D39" s="28">
        <v>0.59</v>
      </c>
      <c r="E39" s="28">
        <v>2.65</v>
      </c>
      <c r="F39" s="28">
        <v>-4.08</v>
      </c>
      <c r="G39" s="28">
        <v>-4.08</v>
      </c>
      <c r="H39" s="28">
        <v>13.35</v>
      </c>
      <c r="I39" s="28">
        <v>18.3</v>
      </c>
      <c r="J39" s="28">
        <v>18.66</v>
      </c>
      <c r="K39" s="29" t="s">
        <v>110</v>
      </c>
      <c r="L39" s="37">
        <f t="shared" si="1"/>
        <v>0.0059</v>
      </c>
      <c r="M39" s="31">
        <f t="shared" si="2"/>
        <v>18.46107963</v>
      </c>
      <c r="N39" s="32">
        <f t="shared" si="3"/>
        <v>127229653.2</v>
      </c>
      <c r="O39" s="33" t="str">
        <f t="shared" si="4"/>
        <v>Subiu</v>
      </c>
      <c r="P39" s="30">
        <f t="shared" si="5"/>
        <v>0.0265</v>
      </c>
      <c r="Q39" s="34">
        <f t="shared" si="6"/>
        <v>18.09059912</v>
      </c>
      <c r="R39" s="35">
        <f t="shared" si="7"/>
        <v>559987148.3</v>
      </c>
      <c r="S39" s="36" t="str">
        <f t="shared" si="8"/>
        <v>Subiu</v>
      </c>
      <c r="T39" s="37">
        <f t="shared" si="9"/>
        <v>-0.0408</v>
      </c>
      <c r="U39" s="34">
        <f t="shared" si="10"/>
        <v>19.35988324</v>
      </c>
      <c r="V39" s="35">
        <f t="shared" si="11"/>
        <v>-922660934.2</v>
      </c>
      <c r="W39" s="36" t="str">
        <f t="shared" si="12"/>
        <v>Desceu</v>
      </c>
      <c r="X39" s="37">
        <f t="shared" si="13"/>
        <v>-0.0408</v>
      </c>
      <c r="Y39" s="34">
        <f t="shared" si="14"/>
        <v>19.35988324</v>
      </c>
      <c r="Z39" s="35">
        <f t="shared" si="15"/>
        <v>-922660934.2</v>
      </c>
      <c r="AA39" s="36" t="str">
        <f t="shared" si="16"/>
        <v>Desceu</v>
      </c>
      <c r="AB39" s="37">
        <f t="shared" si="17"/>
        <v>0.1335</v>
      </c>
      <c r="AC39" s="34">
        <f t="shared" si="18"/>
        <v>16.38288487</v>
      </c>
      <c r="AD39" s="35">
        <f t="shared" si="19"/>
        <v>2554764549</v>
      </c>
      <c r="AE39" s="36" t="str">
        <f t="shared" si="20"/>
        <v>Subiu</v>
      </c>
      <c r="AF39" s="38">
        <f>VLOOKUP(A39,Total_de_acoes!A:B,2,0)</f>
        <v>1168097881</v>
      </c>
      <c r="AG39" s="30" t="str">
        <f>VLOOKUP(A39,Ticker!A:B,2,0)</f>
        <v>Cosan</v>
      </c>
      <c r="AH39" s="30" t="str">
        <f>VLOOKUP(AG39,Segmento_Idade!A:C,2,0)</f>
        <v>Energia e Logística</v>
      </c>
      <c r="AI39" s="39">
        <f>VLOOKUP(AG39,Segmento_Idade!A:C,3,0)</f>
        <v>83</v>
      </c>
      <c r="AJ39" s="33" t="str">
        <f t="shared" si="21"/>
        <v>Entre 50 e 100 anos</v>
      </c>
    </row>
    <row r="40">
      <c r="A40" s="40" t="s">
        <v>111</v>
      </c>
      <c r="B40" s="41">
        <v>45317.0</v>
      </c>
      <c r="C40" s="42">
        <v>24.34</v>
      </c>
      <c r="D40" s="42">
        <v>0.57</v>
      </c>
      <c r="E40" s="42">
        <v>2.48</v>
      </c>
      <c r="F40" s="42">
        <v>-2.29</v>
      </c>
      <c r="G40" s="42">
        <v>-2.29</v>
      </c>
      <c r="H40" s="42">
        <v>17.29</v>
      </c>
      <c r="I40" s="42">
        <v>24.17</v>
      </c>
      <c r="J40" s="42">
        <v>24.56</v>
      </c>
      <c r="K40" s="43" t="s">
        <v>112</v>
      </c>
      <c r="L40" s="37">
        <f t="shared" si="1"/>
        <v>0.0057</v>
      </c>
      <c r="M40" s="31">
        <f t="shared" si="2"/>
        <v>24.20204832</v>
      </c>
      <c r="N40" s="32">
        <f t="shared" si="3"/>
        <v>156573285.4</v>
      </c>
      <c r="O40" s="33" t="str">
        <f t="shared" si="4"/>
        <v>Subiu</v>
      </c>
      <c r="P40" s="30">
        <f t="shared" si="5"/>
        <v>0.0248</v>
      </c>
      <c r="Q40" s="34">
        <f t="shared" si="6"/>
        <v>23.7509758</v>
      </c>
      <c r="R40" s="35">
        <f t="shared" si="7"/>
        <v>668534498.5</v>
      </c>
      <c r="S40" s="36" t="str">
        <f t="shared" si="8"/>
        <v>Subiu</v>
      </c>
      <c r="T40" s="37">
        <f t="shared" si="9"/>
        <v>-0.0229</v>
      </c>
      <c r="U40" s="34">
        <f t="shared" si="10"/>
        <v>24.91044929</v>
      </c>
      <c r="V40" s="35">
        <f t="shared" si="11"/>
        <v>-647452225.6</v>
      </c>
      <c r="W40" s="36" t="str">
        <f t="shared" si="12"/>
        <v>Desceu</v>
      </c>
      <c r="X40" s="37">
        <f t="shared" si="13"/>
        <v>-0.0229</v>
      </c>
      <c r="Y40" s="34">
        <f t="shared" si="14"/>
        <v>24.91044929</v>
      </c>
      <c r="Z40" s="35">
        <f t="shared" si="15"/>
        <v>-647452225.6</v>
      </c>
      <c r="AA40" s="36" t="str">
        <f t="shared" si="16"/>
        <v>Desceu</v>
      </c>
      <c r="AB40" s="37">
        <f t="shared" si="17"/>
        <v>0.1729</v>
      </c>
      <c r="AC40" s="34">
        <f t="shared" si="18"/>
        <v>20.75198227</v>
      </c>
      <c r="AD40" s="35">
        <f t="shared" si="19"/>
        <v>4072351589</v>
      </c>
      <c r="AE40" s="36" t="str">
        <f t="shared" si="20"/>
        <v>Subiu</v>
      </c>
      <c r="AF40" s="38">
        <f>VLOOKUP(A40,Total_de_acoes!A:B,2,0)</f>
        <v>1134986472</v>
      </c>
      <c r="AG40" s="30" t="str">
        <f>VLOOKUP(A40,Ticker!A:B,2,0)</f>
        <v>JBS</v>
      </c>
      <c r="AH40" s="30" t="str">
        <f>VLOOKUP(AG40,Segmento_Idade!A:C,2,0)</f>
        <v>Alimentos (Carnes)</v>
      </c>
      <c r="AI40" s="39">
        <f>VLOOKUP(AG40,Segmento_Idade!A:C,3,0)</f>
        <v>69</v>
      </c>
      <c r="AJ40" s="33" t="str">
        <f t="shared" si="21"/>
        <v>Entre 50 e 100 anos</v>
      </c>
    </row>
    <row r="41">
      <c r="A41" s="26" t="s">
        <v>113</v>
      </c>
      <c r="B41" s="27">
        <v>45317.0</v>
      </c>
      <c r="C41" s="28">
        <v>2.08</v>
      </c>
      <c r="D41" s="28">
        <v>0.48</v>
      </c>
      <c r="E41" s="28">
        <v>2.46</v>
      </c>
      <c r="F41" s="28">
        <v>-3.7</v>
      </c>
      <c r="G41" s="28">
        <v>-3.7</v>
      </c>
      <c r="H41" s="28">
        <v>-51.4</v>
      </c>
      <c r="I41" s="28">
        <v>2.02</v>
      </c>
      <c r="J41" s="28">
        <v>2.1</v>
      </c>
      <c r="K41" s="29" t="s">
        <v>114</v>
      </c>
      <c r="L41" s="37">
        <f t="shared" si="1"/>
        <v>0.0048</v>
      </c>
      <c r="M41" s="31">
        <f t="shared" si="2"/>
        <v>2.070063694</v>
      </c>
      <c r="N41" s="32">
        <f t="shared" si="3"/>
        <v>28493619.27</v>
      </c>
      <c r="O41" s="33" t="str">
        <f t="shared" si="4"/>
        <v>Subiu</v>
      </c>
      <c r="P41" s="30">
        <f t="shared" si="5"/>
        <v>0.0246</v>
      </c>
      <c r="Q41" s="34">
        <f t="shared" si="6"/>
        <v>2.030060511</v>
      </c>
      <c r="R41" s="35">
        <f t="shared" si="7"/>
        <v>143207829.2</v>
      </c>
      <c r="S41" s="36" t="str">
        <f t="shared" si="8"/>
        <v>Subiu</v>
      </c>
      <c r="T41" s="37">
        <f t="shared" si="9"/>
        <v>-0.037</v>
      </c>
      <c r="U41" s="34">
        <f t="shared" si="10"/>
        <v>2.159916926</v>
      </c>
      <c r="V41" s="35">
        <f t="shared" si="11"/>
        <v>-229171941</v>
      </c>
      <c r="W41" s="36" t="str">
        <f t="shared" si="12"/>
        <v>Desceu</v>
      </c>
      <c r="X41" s="37">
        <f t="shared" si="13"/>
        <v>-0.037</v>
      </c>
      <c r="Y41" s="34">
        <f t="shared" si="14"/>
        <v>2.159916926</v>
      </c>
      <c r="Z41" s="35">
        <f t="shared" si="15"/>
        <v>-229171941</v>
      </c>
      <c r="AA41" s="36" t="str">
        <f t="shared" si="16"/>
        <v>Desceu</v>
      </c>
      <c r="AB41" s="37">
        <f t="shared" si="17"/>
        <v>-0.514</v>
      </c>
      <c r="AC41" s="34">
        <f t="shared" si="18"/>
        <v>4.279835391</v>
      </c>
      <c r="AD41" s="35">
        <f t="shared" si="19"/>
        <v>-6308307512</v>
      </c>
      <c r="AE41" s="36" t="str">
        <f t="shared" si="20"/>
        <v>Desceu</v>
      </c>
      <c r="AF41" s="38">
        <f>VLOOKUP(A41,Total_de_acoes!A:B,2,0)</f>
        <v>2867627068</v>
      </c>
      <c r="AG41" s="30" t="str">
        <f>VLOOKUP(A41,Ticker!A:B,2,0)</f>
        <v>Magazine Luiza</v>
      </c>
      <c r="AH41" s="30" t="str">
        <f>VLOOKUP(AG41,Segmento_Idade!A:C,2,0)</f>
        <v>Varejo</v>
      </c>
      <c r="AI41" s="39">
        <f>VLOOKUP(AG41,Segmento_Idade!A:C,3,0)</f>
        <v>66</v>
      </c>
      <c r="AJ41" s="33" t="str">
        <f t="shared" si="21"/>
        <v>Entre 50 e 100 anos</v>
      </c>
    </row>
    <row r="42">
      <c r="A42" s="40" t="s">
        <v>115</v>
      </c>
      <c r="B42" s="41">
        <v>45317.0</v>
      </c>
      <c r="C42" s="42">
        <v>13.75</v>
      </c>
      <c r="D42" s="42">
        <v>0.36</v>
      </c>
      <c r="E42" s="42">
        <v>-0.72</v>
      </c>
      <c r="F42" s="42">
        <v>-9.95</v>
      </c>
      <c r="G42" s="42">
        <v>-9.95</v>
      </c>
      <c r="H42" s="42">
        <v>15.78</v>
      </c>
      <c r="I42" s="42">
        <v>13.67</v>
      </c>
      <c r="J42" s="42">
        <v>13.9</v>
      </c>
      <c r="K42" s="43" t="s">
        <v>116</v>
      </c>
      <c r="L42" s="37">
        <f t="shared" si="1"/>
        <v>0.0036</v>
      </c>
      <c r="M42" s="31">
        <f t="shared" si="2"/>
        <v>13.70067756</v>
      </c>
      <c r="N42" s="32">
        <f t="shared" si="3"/>
        <v>74019610.05</v>
      </c>
      <c r="O42" s="33" t="str">
        <f t="shared" si="4"/>
        <v>Subiu</v>
      </c>
      <c r="P42" s="30">
        <f t="shared" si="5"/>
        <v>-0.0072</v>
      </c>
      <c r="Q42" s="34">
        <f t="shared" si="6"/>
        <v>13.84971797</v>
      </c>
      <c r="R42" s="35">
        <f t="shared" si="7"/>
        <v>-149649638.7</v>
      </c>
      <c r="S42" s="36" t="str">
        <f t="shared" si="8"/>
        <v>Desceu</v>
      </c>
      <c r="T42" s="37">
        <f t="shared" si="9"/>
        <v>-0.0995</v>
      </c>
      <c r="U42" s="34">
        <f t="shared" si="10"/>
        <v>15.26929484</v>
      </c>
      <c r="V42" s="35">
        <f t="shared" si="11"/>
        <v>-2280049671</v>
      </c>
      <c r="W42" s="36" t="str">
        <f t="shared" si="12"/>
        <v>Desceu</v>
      </c>
      <c r="X42" s="37">
        <f t="shared" si="13"/>
        <v>-0.0995</v>
      </c>
      <c r="Y42" s="34">
        <f t="shared" si="14"/>
        <v>15.26929484</v>
      </c>
      <c r="Z42" s="35">
        <f t="shared" si="15"/>
        <v>-2280049671</v>
      </c>
      <c r="AA42" s="36" t="str">
        <f t="shared" si="16"/>
        <v>Desceu</v>
      </c>
      <c r="AB42" s="37">
        <f t="shared" si="17"/>
        <v>0.1578</v>
      </c>
      <c r="AC42" s="34">
        <f t="shared" si="18"/>
        <v>11.87597167</v>
      </c>
      <c r="AD42" s="35">
        <f t="shared" si="19"/>
        <v>2812408477</v>
      </c>
      <c r="AE42" s="36" t="str">
        <f t="shared" si="20"/>
        <v>Subiu</v>
      </c>
      <c r="AF42" s="38">
        <f>VLOOKUP(A42,Total_de_acoes!A:B,2,0)</f>
        <v>1500728902</v>
      </c>
      <c r="AG42" s="30" t="str">
        <f>VLOOKUP(A42,Ticker!A:B,2,0)</f>
        <v>Banco Bradesco</v>
      </c>
      <c r="AH42" s="30" t="str">
        <f>VLOOKUP(AG42,Segmento_Idade!A:C,2,0)</f>
        <v>Bancário</v>
      </c>
      <c r="AI42" s="39">
        <f>VLOOKUP(AG42,Segmento_Idade!A:C,3,0)</f>
        <v>80</v>
      </c>
      <c r="AJ42" s="33" t="str">
        <f t="shared" si="21"/>
        <v>Entre 50 e 100 anos</v>
      </c>
    </row>
    <row r="43">
      <c r="A43" s="26" t="s">
        <v>117</v>
      </c>
      <c r="B43" s="27">
        <v>45317.0</v>
      </c>
      <c r="C43" s="28">
        <v>21.84</v>
      </c>
      <c r="D43" s="28">
        <v>0.27</v>
      </c>
      <c r="E43" s="28">
        <v>3.65</v>
      </c>
      <c r="F43" s="28">
        <v>-8.08</v>
      </c>
      <c r="G43" s="28">
        <v>-8.08</v>
      </c>
      <c r="H43" s="28">
        <v>-26.1</v>
      </c>
      <c r="I43" s="28">
        <v>21.7</v>
      </c>
      <c r="J43" s="28">
        <v>21.94</v>
      </c>
      <c r="K43" s="29" t="s">
        <v>118</v>
      </c>
      <c r="L43" s="37">
        <f t="shared" si="1"/>
        <v>0.0027</v>
      </c>
      <c r="M43" s="31">
        <f t="shared" si="2"/>
        <v>21.78119078</v>
      </c>
      <c r="N43" s="32">
        <f t="shared" si="3"/>
        <v>65779607.1</v>
      </c>
      <c r="O43" s="33" t="str">
        <f t="shared" si="4"/>
        <v>Subiu</v>
      </c>
      <c r="P43" s="30">
        <f t="shared" si="5"/>
        <v>0.0365</v>
      </c>
      <c r="Q43" s="34">
        <f t="shared" si="6"/>
        <v>21.07091172</v>
      </c>
      <c r="R43" s="35">
        <f t="shared" si="7"/>
        <v>860244855.1</v>
      </c>
      <c r="S43" s="36" t="str">
        <f t="shared" si="8"/>
        <v>Subiu</v>
      </c>
      <c r="T43" s="37">
        <f t="shared" si="9"/>
        <v>-0.0808</v>
      </c>
      <c r="U43" s="34">
        <f t="shared" si="10"/>
        <v>23.75979112</v>
      </c>
      <c r="V43" s="35">
        <f t="shared" si="11"/>
        <v>-2147335337</v>
      </c>
      <c r="W43" s="36" t="str">
        <f t="shared" si="12"/>
        <v>Desceu</v>
      </c>
      <c r="X43" s="37">
        <f t="shared" si="13"/>
        <v>-0.0808</v>
      </c>
      <c r="Y43" s="34">
        <f t="shared" si="14"/>
        <v>23.75979112</v>
      </c>
      <c r="Z43" s="35">
        <f t="shared" si="15"/>
        <v>-2147335337</v>
      </c>
      <c r="AA43" s="36" t="str">
        <f t="shared" si="16"/>
        <v>Desceu</v>
      </c>
      <c r="AB43" s="37">
        <f t="shared" si="17"/>
        <v>-0.261</v>
      </c>
      <c r="AC43" s="34">
        <f t="shared" si="18"/>
        <v>29.55345061</v>
      </c>
      <c r="AD43" s="35">
        <f t="shared" si="19"/>
        <v>-8627691245</v>
      </c>
      <c r="AE43" s="36" t="str">
        <f t="shared" si="20"/>
        <v>Desceu</v>
      </c>
      <c r="AF43" s="38">
        <f>VLOOKUP(A43,Total_de_acoes!A:B,2,0)</f>
        <v>1118525506</v>
      </c>
      <c r="AG43" s="30" t="str">
        <f>VLOOKUP(A43,Ticker!A:B,2,0)</f>
        <v>Gerdau</v>
      </c>
      <c r="AH43" s="30" t="str">
        <f>VLOOKUP(AG43,Segmento_Idade!A:C,2,0)</f>
        <v>Siderurgia</v>
      </c>
      <c r="AI43" s="39">
        <f>VLOOKUP(AG43,Segmento_Idade!A:C,3,0)</f>
        <v>122</v>
      </c>
      <c r="AJ43" s="33" t="str">
        <f t="shared" si="21"/>
        <v>Mais de 100 anos</v>
      </c>
    </row>
    <row r="44">
      <c r="A44" s="40" t="s">
        <v>119</v>
      </c>
      <c r="B44" s="41">
        <v>45317.0</v>
      </c>
      <c r="C44" s="42">
        <v>3.74</v>
      </c>
      <c r="D44" s="42">
        <v>0.26</v>
      </c>
      <c r="E44" s="42">
        <v>0.0</v>
      </c>
      <c r="F44" s="42">
        <v>-7.2</v>
      </c>
      <c r="G44" s="42">
        <v>-7.2</v>
      </c>
      <c r="H44" s="42">
        <v>15.46</v>
      </c>
      <c r="I44" s="42">
        <v>3.71</v>
      </c>
      <c r="J44" s="42">
        <v>3.78</v>
      </c>
      <c r="K44" s="43" t="s">
        <v>120</v>
      </c>
      <c r="L44" s="37">
        <f t="shared" si="1"/>
        <v>0.0026</v>
      </c>
      <c r="M44" s="31">
        <f t="shared" si="2"/>
        <v>3.730301217</v>
      </c>
      <c r="N44" s="32">
        <f t="shared" si="3"/>
        <v>11571106.42</v>
      </c>
      <c r="O44" s="33" t="str">
        <f t="shared" si="4"/>
        <v>Subiu</v>
      </c>
      <c r="P44" s="30">
        <f t="shared" si="5"/>
        <v>0</v>
      </c>
      <c r="Q44" s="34">
        <f t="shared" si="6"/>
        <v>3.74</v>
      </c>
      <c r="R44" s="35">
        <f t="shared" si="7"/>
        <v>0</v>
      </c>
      <c r="S44" s="36" t="str">
        <f t="shared" si="8"/>
        <v>Estável</v>
      </c>
      <c r="T44" s="37">
        <f t="shared" si="9"/>
        <v>-0.072</v>
      </c>
      <c r="U44" s="34">
        <f t="shared" si="10"/>
        <v>4.030172414</v>
      </c>
      <c r="V44" s="35">
        <f t="shared" si="11"/>
        <v>-346189395.4</v>
      </c>
      <c r="W44" s="36" t="str">
        <f t="shared" si="12"/>
        <v>Desceu</v>
      </c>
      <c r="X44" s="37">
        <f t="shared" si="13"/>
        <v>-0.072</v>
      </c>
      <c r="Y44" s="34">
        <f t="shared" si="14"/>
        <v>4.030172414</v>
      </c>
      <c r="Z44" s="35">
        <f t="shared" si="15"/>
        <v>-346189395.4</v>
      </c>
      <c r="AA44" s="36" t="str">
        <f t="shared" si="16"/>
        <v>Desceu</v>
      </c>
      <c r="AB44" s="37">
        <f t="shared" si="17"/>
        <v>0.1546</v>
      </c>
      <c r="AC44" s="34">
        <f t="shared" si="18"/>
        <v>3.239217045</v>
      </c>
      <c r="AD44" s="35">
        <f t="shared" si="19"/>
        <v>597457719</v>
      </c>
      <c r="AE44" s="36" t="str">
        <f t="shared" si="20"/>
        <v>Subiu</v>
      </c>
      <c r="AF44" s="38">
        <f>VLOOKUP(A44,Total_de_acoes!A:B,2,0)</f>
        <v>1193047233</v>
      </c>
      <c r="AG44" s="30" t="str">
        <f>VLOOKUP(A44,Ticker!A:B,2,0)</f>
        <v>Raízen</v>
      </c>
      <c r="AH44" s="30" t="str">
        <f>VLOOKUP(AG44,Segmento_Idade!A:C,2,0)</f>
        <v>Energia (Biocombustíveis)</v>
      </c>
      <c r="AI44" s="39">
        <f>VLOOKUP(AG44,Segmento_Idade!A:C,3,0)</f>
        <v>11</v>
      </c>
      <c r="AJ44" s="33" t="str">
        <f t="shared" si="21"/>
        <v>Menos de 50 anos</v>
      </c>
    </row>
    <row r="45">
      <c r="A45" s="26" t="s">
        <v>121</v>
      </c>
      <c r="B45" s="27">
        <v>45317.0</v>
      </c>
      <c r="C45" s="28">
        <v>10.07</v>
      </c>
      <c r="D45" s="28">
        <v>0.19</v>
      </c>
      <c r="E45" s="28">
        <v>0.9</v>
      </c>
      <c r="F45" s="28">
        <v>-2.8</v>
      </c>
      <c r="G45" s="28">
        <v>-2.8</v>
      </c>
      <c r="H45" s="28">
        <v>32.08</v>
      </c>
      <c r="I45" s="28">
        <v>9.96</v>
      </c>
      <c r="J45" s="28">
        <v>10.13</v>
      </c>
      <c r="K45" s="29" t="s">
        <v>122</v>
      </c>
      <c r="L45" s="37">
        <f t="shared" si="1"/>
        <v>0.0019</v>
      </c>
      <c r="M45" s="31">
        <f t="shared" si="2"/>
        <v>10.05090328</v>
      </c>
      <c r="N45" s="32">
        <f t="shared" si="3"/>
        <v>32069789.5</v>
      </c>
      <c r="O45" s="33" t="str">
        <f t="shared" si="4"/>
        <v>Subiu</v>
      </c>
      <c r="P45" s="30">
        <f t="shared" si="5"/>
        <v>0.009</v>
      </c>
      <c r="Q45" s="34">
        <f t="shared" si="6"/>
        <v>9.980178394</v>
      </c>
      <c r="R45" s="35">
        <f t="shared" si="7"/>
        <v>150840592</v>
      </c>
      <c r="S45" s="36" t="str">
        <f t="shared" si="8"/>
        <v>Subiu</v>
      </c>
      <c r="T45" s="37">
        <f t="shared" si="9"/>
        <v>-0.028</v>
      </c>
      <c r="U45" s="34">
        <f t="shared" si="10"/>
        <v>10.3600823</v>
      </c>
      <c r="V45" s="35">
        <f t="shared" si="11"/>
        <v>-487145451</v>
      </c>
      <c r="W45" s="36" t="str">
        <f t="shared" si="12"/>
        <v>Desceu</v>
      </c>
      <c r="X45" s="37">
        <f t="shared" si="13"/>
        <v>-0.028</v>
      </c>
      <c r="Y45" s="34">
        <f t="shared" si="14"/>
        <v>10.3600823</v>
      </c>
      <c r="Z45" s="35">
        <f t="shared" si="15"/>
        <v>-487145451</v>
      </c>
      <c r="AA45" s="36" t="str">
        <f t="shared" si="16"/>
        <v>Desceu</v>
      </c>
      <c r="AB45" s="37">
        <f t="shared" si="17"/>
        <v>0.3208</v>
      </c>
      <c r="AC45" s="34">
        <f t="shared" si="18"/>
        <v>7.624167171</v>
      </c>
      <c r="AD45" s="35">
        <f t="shared" si="19"/>
        <v>4107373382</v>
      </c>
      <c r="AE45" s="36" t="str">
        <f t="shared" si="20"/>
        <v>Subiu</v>
      </c>
      <c r="AF45" s="38">
        <f>VLOOKUP(A45,Total_de_acoes!A:B,2,0)</f>
        <v>1679335290</v>
      </c>
      <c r="AG45" s="30" t="str">
        <f>VLOOKUP(A45,Ticker!A:B,2,0)</f>
        <v>Copel</v>
      </c>
      <c r="AH45" s="30" t="str">
        <f>VLOOKUP(AG45,Segmento_Idade!A:C,2,0)</f>
        <v>Energia</v>
      </c>
      <c r="AI45" s="39">
        <f>VLOOKUP(AG45,Segmento_Idade!A:C,3,0)</f>
        <v>68</v>
      </c>
      <c r="AJ45" s="33" t="str">
        <f t="shared" si="21"/>
        <v>Entre 50 e 100 anos</v>
      </c>
    </row>
    <row r="46">
      <c r="A46" s="40" t="s">
        <v>123</v>
      </c>
      <c r="B46" s="41">
        <v>45317.0</v>
      </c>
      <c r="C46" s="42">
        <v>8.18</v>
      </c>
      <c r="D46" s="42">
        <v>0.12</v>
      </c>
      <c r="E46" s="42">
        <v>-3.76</v>
      </c>
      <c r="F46" s="42">
        <v>-18.77</v>
      </c>
      <c r="G46" s="42">
        <v>-18.77</v>
      </c>
      <c r="H46" s="42">
        <v>-40.74</v>
      </c>
      <c r="I46" s="42">
        <v>8.11</v>
      </c>
      <c r="J46" s="42">
        <v>8.27</v>
      </c>
      <c r="K46" s="43" t="s">
        <v>124</v>
      </c>
      <c r="L46" s="37">
        <f t="shared" si="1"/>
        <v>0.0012</v>
      </c>
      <c r="M46" s="31">
        <f t="shared" si="2"/>
        <v>8.170195765</v>
      </c>
      <c r="N46" s="32">
        <f t="shared" si="3"/>
        <v>4131341.158</v>
      </c>
      <c r="O46" s="33" t="str">
        <f t="shared" si="4"/>
        <v>Subiu</v>
      </c>
      <c r="P46" s="30">
        <f t="shared" si="5"/>
        <v>-0.0376</v>
      </c>
      <c r="Q46" s="34">
        <f t="shared" si="6"/>
        <v>8.499584372</v>
      </c>
      <c r="R46" s="35">
        <f t="shared" si="7"/>
        <v>-134667527.1</v>
      </c>
      <c r="S46" s="36" t="str">
        <f t="shared" si="8"/>
        <v>Desceu</v>
      </c>
      <c r="T46" s="37">
        <f t="shared" si="9"/>
        <v>-0.1877</v>
      </c>
      <c r="U46" s="34">
        <f t="shared" si="10"/>
        <v>10.07017112</v>
      </c>
      <c r="V46" s="35">
        <f t="shared" si="11"/>
        <v>-796486600.4</v>
      </c>
      <c r="W46" s="36" t="str">
        <f t="shared" si="12"/>
        <v>Desceu</v>
      </c>
      <c r="X46" s="37">
        <f t="shared" si="13"/>
        <v>-0.1877</v>
      </c>
      <c r="Y46" s="34">
        <f t="shared" si="14"/>
        <v>10.07017112</v>
      </c>
      <c r="Z46" s="35">
        <f t="shared" si="15"/>
        <v>-796486600.4</v>
      </c>
      <c r="AA46" s="36" t="str">
        <f t="shared" si="16"/>
        <v>Desceu</v>
      </c>
      <c r="AB46" s="37">
        <f t="shared" si="17"/>
        <v>-0.4074</v>
      </c>
      <c r="AC46" s="34">
        <f t="shared" si="18"/>
        <v>13.80357746</v>
      </c>
      <c r="AD46" s="35">
        <f t="shared" si="19"/>
        <v>-2369681795</v>
      </c>
      <c r="AE46" s="36" t="str">
        <f t="shared" si="20"/>
        <v>Desceu</v>
      </c>
      <c r="AF46" s="38">
        <f>VLOOKUP(A46,Total_de_acoes!A:B,2,0)</f>
        <v>421383330</v>
      </c>
      <c r="AG46" s="30" t="str">
        <f>VLOOKUP(A46,Ticker!A:B,2,0)</f>
        <v>Grupo Vamos</v>
      </c>
      <c r="AH46" s="30" t="str">
        <f>VLOOKUP(AG46,Segmento_Idade!A:C,2,0)</f>
        <v>Logística</v>
      </c>
      <c r="AI46" s="39">
        <f>VLOOKUP(AG46,Segmento_Idade!A:C,3,0)</f>
        <v>6</v>
      </c>
      <c r="AJ46" s="33" t="str">
        <f t="shared" si="21"/>
        <v>Menos de 50 anos</v>
      </c>
    </row>
    <row r="47">
      <c r="A47" s="26" t="s">
        <v>125</v>
      </c>
      <c r="B47" s="27">
        <v>45317.0</v>
      </c>
      <c r="C47" s="28">
        <v>9.74</v>
      </c>
      <c r="D47" s="28">
        <v>0.0</v>
      </c>
      <c r="E47" s="28">
        <v>5.3</v>
      </c>
      <c r="F47" s="28">
        <v>0.41</v>
      </c>
      <c r="G47" s="28">
        <v>0.41</v>
      </c>
      <c r="H47" s="28">
        <v>17.99</v>
      </c>
      <c r="I47" s="28">
        <v>9.61</v>
      </c>
      <c r="J47" s="28">
        <v>9.86</v>
      </c>
      <c r="K47" s="29" t="s">
        <v>126</v>
      </c>
      <c r="L47" s="37">
        <f t="shared" si="1"/>
        <v>0</v>
      </c>
      <c r="M47" s="31">
        <f t="shared" si="2"/>
        <v>9.74</v>
      </c>
      <c r="N47" s="32">
        <f t="shared" si="3"/>
        <v>0</v>
      </c>
      <c r="O47" s="33" t="str">
        <f t="shared" si="4"/>
        <v>Estável</v>
      </c>
      <c r="P47" s="30">
        <f t="shared" si="5"/>
        <v>0.053</v>
      </c>
      <c r="Q47" s="34">
        <f t="shared" si="6"/>
        <v>9.249762583</v>
      </c>
      <c r="R47" s="35">
        <f t="shared" si="7"/>
        <v>162660621.5</v>
      </c>
      <c r="S47" s="36" t="str">
        <f t="shared" si="8"/>
        <v>Subiu</v>
      </c>
      <c r="T47" s="37">
        <f t="shared" si="9"/>
        <v>0.0041</v>
      </c>
      <c r="U47" s="34">
        <f t="shared" si="10"/>
        <v>9.700229061</v>
      </c>
      <c r="V47" s="35">
        <f t="shared" si="11"/>
        <v>13195985.16</v>
      </c>
      <c r="W47" s="36" t="str">
        <f t="shared" si="12"/>
        <v>Subiu</v>
      </c>
      <c r="X47" s="37">
        <f t="shared" si="13"/>
        <v>0.0041</v>
      </c>
      <c r="Y47" s="34">
        <f t="shared" si="14"/>
        <v>9.700229061</v>
      </c>
      <c r="Z47" s="35">
        <f t="shared" si="15"/>
        <v>13195985.16</v>
      </c>
      <c r="AA47" s="36" t="str">
        <f t="shared" si="16"/>
        <v>Subiu</v>
      </c>
      <c r="AB47" s="37">
        <f t="shared" si="17"/>
        <v>0.1799</v>
      </c>
      <c r="AC47" s="34">
        <f t="shared" si="18"/>
        <v>8.254936859</v>
      </c>
      <c r="AD47" s="35">
        <f t="shared" si="19"/>
        <v>492743485.3</v>
      </c>
      <c r="AE47" s="36" t="str">
        <f t="shared" si="20"/>
        <v>Subiu</v>
      </c>
      <c r="AF47" s="38">
        <f>VLOOKUP(A47,Total_de_acoes!A:B,2,0)</f>
        <v>331799687</v>
      </c>
      <c r="AG47" s="30" t="str">
        <f>VLOOKUP(A47,Ticker!A:B,2,0)</f>
        <v>Marfrig</v>
      </c>
      <c r="AH47" s="30" t="str">
        <f>VLOOKUP(AG47,Segmento_Idade!A:C,2,0)</f>
        <v>Alimentos (Carnes)</v>
      </c>
      <c r="AI47" s="39">
        <f>VLOOKUP(AG47,Segmento_Idade!A:C,3,0)</f>
        <v>17</v>
      </c>
      <c r="AJ47" s="33" t="str">
        <f t="shared" si="21"/>
        <v>Menos de 50 anos</v>
      </c>
    </row>
    <row r="48">
      <c r="A48" s="40" t="s">
        <v>127</v>
      </c>
      <c r="B48" s="41">
        <v>45317.0</v>
      </c>
      <c r="C48" s="42">
        <v>13.2</v>
      </c>
      <c r="D48" s="42">
        <v>0.0</v>
      </c>
      <c r="E48" s="42">
        <v>-1.12</v>
      </c>
      <c r="F48" s="42">
        <v>-3.86</v>
      </c>
      <c r="G48" s="42">
        <v>-3.86</v>
      </c>
      <c r="H48" s="42">
        <v>0.3</v>
      </c>
      <c r="I48" s="42">
        <v>13.15</v>
      </c>
      <c r="J48" s="42">
        <v>13.29</v>
      </c>
      <c r="K48" s="43" t="s">
        <v>128</v>
      </c>
      <c r="L48" s="37">
        <f t="shared" si="1"/>
        <v>0</v>
      </c>
      <c r="M48" s="31">
        <f t="shared" si="2"/>
        <v>13.2</v>
      </c>
      <c r="N48" s="32">
        <f t="shared" si="3"/>
        <v>0</v>
      </c>
      <c r="O48" s="33" t="str">
        <f t="shared" si="4"/>
        <v>Estável</v>
      </c>
      <c r="P48" s="30">
        <f t="shared" si="5"/>
        <v>-0.0112</v>
      </c>
      <c r="Q48" s="34">
        <f t="shared" si="6"/>
        <v>13.34951456</v>
      </c>
      <c r="R48" s="35">
        <f t="shared" si="7"/>
        <v>-657003752.8</v>
      </c>
      <c r="S48" s="36" t="str">
        <f t="shared" si="8"/>
        <v>Desceu</v>
      </c>
      <c r="T48" s="37">
        <f t="shared" si="9"/>
        <v>-0.0386</v>
      </c>
      <c r="U48" s="34">
        <f t="shared" si="10"/>
        <v>13.72997712</v>
      </c>
      <c r="V48" s="35">
        <f t="shared" si="11"/>
        <v>-2328849761</v>
      </c>
      <c r="W48" s="36" t="str">
        <f t="shared" si="12"/>
        <v>Desceu</v>
      </c>
      <c r="X48" s="37">
        <f t="shared" si="13"/>
        <v>-0.0386</v>
      </c>
      <c r="Y48" s="34">
        <f t="shared" si="14"/>
        <v>13.72997712</v>
      </c>
      <c r="Z48" s="35">
        <f t="shared" si="15"/>
        <v>-2328849761</v>
      </c>
      <c r="AA48" s="36" t="str">
        <f t="shared" si="16"/>
        <v>Desceu</v>
      </c>
      <c r="AB48" s="37">
        <f t="shared" si="17"/>
        <v>0.003</v>
      </c>
      <c r="AC48" s="34">
        <f t="shared" si="18"/>
        <v>13.16051844</v>
      </c>
      <c r="AD48" s="35">
        <f t="shared" si="19"/>
        <v>173491661.8</v>
      </c>
      <c r="AE48" s="36" t="str">
        <f t="shared" si="20"/>
        <v>Subiu</v>
      </c>
      <c r="AF48" s="38">
        <f>VLOOKUP(A48,Total_de_acoes!A:B,2,0)</f>
        <v>4394245879</v>
      </c>
      <c r="AG48" s="30" t="str">
        <f>VLOOKUP(A48,Ticker!A:B,2,0)</f>
        <v>Ambev</v>
      </c>
      <c r="AH48" s="30" t="str">
        <f>VLOOKUP(AG48,Segmento_Idade!A:C,2,0)</f>
        <v>Bebidas</v>
      </c>
      <c r="AI48" s="39">
        <f>VLOOKUP(AG48,Segmento_Idade!A:C,3,0)</f>
        <v>133</v>
      </c>
      <c r="AJ48" s="33" t="str">
        <f t="shared" si="21"/>
        <v>Mais de 100 anos</v>
      </c>
    </row>
    <row r="49">
      <c r="A49" s="26" t="s">
        <v>129</v>
      </c>
      <c r="B49" s="27">
        <v>45317.0</v>
      </c>
      <c r="C49" s="28">
        <v>33.73</v>
      </c>
      <c r="D49" s="28">
        <v>-0.02</v>
      </c>
      <c r="E49" s="28">
        <v>-2.37</v>
      </c>
      <c r="F49" s="28">
        <v>0.24</v>
      </c>
      <c r="G49" s="28">
        <v>0.24</v>
      </c>
      <c r="H49" s="28">
        <v>0.91</v>
      </c>
      <c r="I49" s="28">
        <v>33.73</v>
      </c>
      <c r="J49" s="28">
        <v>34.03</v>
      </c>
      <c r="K49" s="29" t="s">
        <v>130</v>
      </c>
      <c r="L49" s="37">
        <f t="shared" si="1"/>
        <v>-0.0002</v>
      </c>
      <c r="M49" s="31">
        <f t="shared" si="2"/>
        <v>33.73674735</v>
      </c>
      <c r="N49" s="32">
        <f t="shared" si="3"/>
        <v>-4532537.188</v>
      </c>
      <c r="O49" s="33" t="str">
        <f t="shared" si="4"/>
        <v>Desceu</v>
      </c>
      <c r="P49" s="30">
        <f t="shared" si="5"/>
        <v>-0.0237</v>
      </c>
      <c r="Q49" s="34">
        <f t="shared" si="6"/>
        <v>34.54880672</v>
      </c>
      <c r="R49" s="35">
        <f t="shared" si="7"/>
        <v>-550034042.5</v>
      </c>
      <c r="S49" s="36" t="str">
        <f t="shared" si="8"/>
        <v>Desceu</v>
      </c>
      <c r="T49" s="37">
        <f t="shared" si="9"/>
        <v>0.0024</v>
      </c>
      <c r="U49" s="34">
        <f t="shared" si="10"/>
        <v>33.64924182</v>
      </c>
      <c r="V49" s="35">
        <f t="shared" si="11"/>
        <v>54249369.68</v>
      </c>
      <c r="W49" s="36" t="str">
        <f t="shared" si="12"/>
        <v>Subiu</v>
      </c>
      <c r="X49" s="37">
        <f t="shared" si="13"/>
        <v>0.0024</v>
      </c>
      <c r="Y49" s="34">
        <f t="shared" si="14"/>
        <v>33.64924182</v>
      </c>
      <c r="Z49" s="35">
        <f t="shared" si="15"/>
        <v>54249369.68</v>
      </c>
      <c r="AA49" s="36" t="str">
        <f t="shared" si="16"/>
        <v>Subiu</v>
      </c>
      <c r="AB49" s="37">
        <f t="shared" si="17"/>
        <v>0.0091</v>
      </c>
      <c r="AC49" s="34">
        <f t="shared" si="18"/>
        <v>33.42582499</v>
      </c>
      <c r="AD49" s="35">
        <f t="shared" si="19"/>
        <v>204329794.8</v>
      </c>
      <c r="AE49" s="36" t="str">
        <f t="shared" si="20"/>
        <v>Subiu</v>
      </c>
      <c r="AF49" s="38">
        <f>VLOOKUP(A49,Total_de_acoes!A:B,2,0)</f>
        <v>671750768</v>
      </c>
      <c r="AG49" s="30" t="str">
        <f>VLOOKUP(A49,Ticker!A:B,2,0)</f>
        <v>BB Seguridade</v>
      </c>
      <c r="AH49" s="30" t="str">
        <f>VLOOKUP(AG49,Segmento_Idade!A:C,2,0)</f>
        <v>Seguros</v>
      </c>
      <c r="AI49" s="39">
        <f>VLOOKUP(AG49,Segmento_Idade!A:C,3,0)</f>
        <v>10</v>
      </c>
      <c r="AJ49" s="33" t="str">
        <f t="shared" si="21"/>
        <v>Menos de 50 anos</v>
      </c>
    </row>
    <row r="50">
      <c r="A50" s="40" t="s">
        <v>131</v>
      </c>
      <c r="B50" s="41">
        <v>45317.0</v>
      </c>
      <c r="C50" s="42">
        <v>77.04</v>
      </c>
      <c r="D50" s="42">
        <v>-0.06</v>
      </c>
      <c r="E50" s="42">
        <v>1.37</v>
      </c>
      <c r="F50" s="42">
        <v>2.22</v>
      </c>
      <c r="G50" s="42">
        <v>2.22</v>
      </c>
      <c r="H50" s="42">
        <v>45.92</v>
      </c>
      <c r="I50" s="42">
        <v>76.52</v>
      </c>
      <c r="J50" s="42">
        <v>77.69</v>
      </c>
      <c r="K50" s="43" t="s">
        <v>132</v>
      </c>
      <c r="L50" s="37">
        <f t="shared" si="1"/>
        <v>-0.0006</v>
      </c>
      <c r="M50" s="31">
        <f t="shared" si="2"/>
        <v>77.08625175</v>
      </c>
      <c r="N50" s="32">
        <f t="shared" si="3"/>
        <v>-15725678.56</v>
      </c>
      <c r="O50" s="33" t="str">
        <f t="shared" si="4"/>
        <v>Desceu</v>
      </c>
      <c r="P50" s="30">
        <f t="shared" si="5"/>
        <v>0.0137</v>
      </c>
      <c r="Q50" s="34">
        <f t="shared" si="6"/>
        <v>75.99881622</v>
      </c>
      <c r="R50" s="35">
        <f t="shared" si="7"/>
        <v>354004359</v>
      </c>
      <c r="S50" s="36" t="str">
        <f t="shared" si="8"/>
        <v>Subiu</v>
      </c>
      <c r="T50" s="37">
        <f t="shared" si="9"/>
        <v>0.0222</v>
      </c>
      <c r="U50" s="34">
        <f t="shared" si="10"/>
        <v>75.3668558</v>
      </c>
      <c r="V50" s="35">
        <f t="shared" si="11"/>
        <v>568872037.6</v>
      </c>
      <c r="W50" s="36" t="str">
        <f t="shared" si="12"/>
        <v>Subiu</v>
      </c>
      <c r="X50" s="37">
        <f t="shared" si="13"/>
        <v>0.0222</v>
      </c>
      <c r="Y50" s="34">
        <f t="shared" si="14"/>
        <v>75.3668558</v>
      </c>
      <c r="Z50" s="35">
        <f t="shared" si="15"/>
        <v>568872037.6</v>
      </c>
      <c r="AA50" s="36" t="str">
        <f t="shared" si="16"/>
        <v>Subiu</v>
      </c>
      <c r="AB50" s="37">
        <f t="shared" si="17"/>
        <v>0.4592</v>
      </c>
      <c r="AC50" s="34">
        <f t="shared" si="18"/>
        <v>52.79605263</v>
      </c>
      <c r="AD50" s="35">
        <f t="shared" si="19"/>
        <v>8242985720</v>
      </c>
      <c r="AE50" s="36" t="str">
        <f t="shared" si="20"/>
        <v>Subiu</v>
      </c>
      <c r="AF50" s="38">
        <f>VLOOKUP(A50,Total_de_acoes!A:B,2,0)</f>
        <v>340001799</v>
      </c>
      <c r="AG50" s="30" t="str">
        <f>VLOOKUP(A50,Ticker!A:B,2,0)</f>
        <v>Sabesp</v>
      </c>
      <c r="AH50" s="30" t="str">
        <f>VLOOKUP(AG50,Segmento_Idade!A:C,2,0)</f>
        <v>Saneamento</v>
      </c>
      <c r="AI50" s="39">
        <f>VLOOKUP(AG50,Segmento_Idade!A:C,3,0)</f>
        <v>49</v>
      </c>
      <c r="AJ50" s="33" t="str">
        <f t="shared" si="21"/>
        <v>Menos de 50 anos</v>
      </c>
    </row>
    <row r="51">
      <c r="A51" s="26" t="s">
        <v>133</v>
      </c>
      <c r="B51" s="27">
        <v>45317.0</v>
      </c>
      <c r="C51" s="28">
        <v>30.88</v>
      </c>
      <c r="D51" s="28">
        <v>-0.06</v>
      </c>
      <c r="E51" s="28">
        <v>-2.65</v>
      </c>
      <c r="F51" s="28">
        <v>-8.34</v>
      </c>
      <c r="G51" s="28">
        <v>-8.34</v>
      </c>
      <c r="H51" s="28">
        <v>5.89</v>
      </c>
      <c r="I51" s="28">
        <v>30.65</v>
      </c>
      <c r="J51" s="28">
        <v>31.34</v>
      </c>
      <c r="K51" s="29" t="s">
        <v>134</v>
      </c>
      <c r="L51" s="37">
        <f t="shared" si="1"/>
        <v>-0.0006</v>
      </c>
      <c r="M51" s="31">
        <f t="shared" si="2"/>
        <v>30.89853912</v>
      </c>
      <c r="N51" s="32">
        <f t="shared" si="3"/>
        <v>-9531377.746</v>
      </c>
      <c r="O51" s="33" t="str">
        <f t="shared" si="4"/>
        <v>Desceu</v>
      </c>
      <c r="P51" s="30">
        <f t="shared" si="5"/>
        <v>-0.0265</v>
      </c>
      <c r="Q51" s="34">
        <f t="shared" si="6"/>
        <v>31.72059579</v>
      </c>
      <c r="R51" s="35">
        <f t="shared" si="7"/>
        <v>-432169083</v>
      </c>
      <c r="S51" s="36" t="str">
        <f t="shared" si="8"/>
        <v>Desceu</v>
      </c>
      <c r="T51" s="37">
        <f t="shared" si="9"/>
        <v>-0.0834</v>
      </c>
      <c r="U51" s="34">
        <f t="shared" si="10"/>
        <v>33.68972289</v>
      </c>
      <c r="V51" s="35">
        <f t="shared" si="11"/>
        <v>-1444541337</v>
      </c>
      <c r="W51" s="36" t="str">
        <f t="shared" si="12"/>
        <v>Desceu</v>
      </c>
      <c r="X51" s="37">
        <f t="shared" si="13"/>
        <v>-0.0834</v>
      </c>
      <c r="Y51" s="34">
        <f t="shared" si="14"/>
        <v>33.68972289</v>
      </c>
      <c r="Z51" s="35">
        <f t="shared" si="15"/>
        <v>-1444541337</v>
      </c>
      <c r="AA51" s="36" t="str">
        <f t="shared" si="16"/>
        <v>Desceu</v>
      </c>
      <c r="AB51" s="37">
        <f t="shared" si="17"/>
        <v>0.0589</v>
      </c>
      <c r="AC51" s="34">
        <f t="shared" si="18"/>
        <v>29.16233828</v>
      </c>
      <c r="AD51" s="35">
        <f t="shared" si="19"/>
        <v>883088284</v>
      </c>
      <c r="AE51" s="36" t="str">
        <f t="shared" si="20"/>
        <v>Subiu</v>
      </c>
      <c r="AF51" s="38">
        <f>VLOOKUP(A51,Total_de_acoes!A:B,2,0)</f>
        <v>514122351</v>
      </c>
      <c r="AG51" s="30" t="str">
        <f>VLOOKUP(A51,Ticker!A:B,2,0)</f>
        <v>Totvs</v>
      </c>
      <c r="AH51" s="30" t="str">
        <f>VLOOKUP(AG51,Segmento_Idade!A:C,2,0)</f>
        <v>Software</v>
      </c>
      <c r="AI51" s="39">
        <f>VLOOKUP(AG51,Segmento_Idade!A:C,3,0)</f>
        <v>39</v>
      </c>
      <c r="AJ51" s="33" t="str">
        <f t="shared" si="21"/>
        <v>Menos de 50 anos</v>
      </c>
    </row>
    <row r="52">
      <c r="A52" s="40" t="s">
        <v>135</v>
      </c>
      <c r="B52" s="41">
        <v>45317.0</v>
      </c>
      <c r="C52" s="42">
        <v>11.64</v>
      </c>
      <c r="D52" s="42">
        <v>-0.17</v>
      </c>
      <c r="E52" s="42">
        <v>0.95</v>
      </c>
      <c r="F52" s="42">
        <v>1.39</v>
      </c>
      <c r="G52" s="42">
        <v>1.39</v>
      </c>
      <c r="H52" s="42">
        <v>12.26</v>
      </c>
      <c r="I52" s="42">
        <v>11.64</v>
      </c>
      <c r="J52" s="42">
        <v>11.8</v>
      </c>
      <c r="K52" s="43" t="s">
        <v>136</v>
      </c>
      <c r="L52" s="37">
        <f t="shared" si="1"/>
        <v>-0.0017</v>
      </c>
      <c r="M52" s="31">
        <f t="shared" si="2"/>
        <v>11.6598217</v>
      </c>
      <c r="N52" s="32">
        <f t="shared" si="3"/>
        <v>-28492019.83</v>
      </c>
      <c r="O52" s="33" t="str">
        <f t="shared" si="4"/>
        <v>Desceu</v>
      </c>
      <c r="P52" s="30">
        <f t="shared" si="5"/>
        <v>0.0095</v>
      </c>
      <c r="Q52" s="34">
        <f t="shared" si="6"/>
        <v>11.53046062</v>
      </c>
      <c r="R52" s="35">
        <f t="shared" si="7"/>
        <v>157453627.2</v>
      </c>
      <c r="S52" s="36" t="str">
        <f t="shared" si="8"/>
        <v>Subiu</v>
      </c>
      <c r="T52" s="37">
        <f t="shared" si="9"/>
        <v>0.0139</v>
      </c>
      <c r="U52" s="34">
        <f t="shared" si="10"/>
        <v>11.48042213</v>
      </c>
      <c r="V52" s="35">
        <f t="shared" si="11"/>
        <v>229379744.6</v>
      </c>
      <c r="W52" s="36" t="str">
        <f t="shared" si="12"/>
        <v>Subiu</v>
      </c>
      <c r="X52" s="37">
        <f t="shared" si="13"/>
        <v>0.0139</v>
      </c>
      <c r="Y52" s="34">
        <f t="shared" si="14"/>
        <v>11.48042213</v>
      </c>
      <c r="Z52" s="35">
        <f t="shared" si="15"/>
        <v>229379744.6</v>
      </c>
      <c r="AA52" s="36" t="str">
        <f t="shared" si="16"/>
        <v>Subiu</v>
      </c>
      <c r="AB52" s="37">
        <f t="shared" si="17"/>
        <v>0.1226</v>
      </c>
      <c r="AC52" s="34">
        <f t="shared" si="18"/>
        <v>10.36878675</v>
      </c>
      <c r="AD52" s="35">
        <f t="shared" si="19"/>
        <v>1827261989</v>
      </c>
      <c r="AE52" s="36" t="str">
        <f t="shared" si="20"/>
        <v>Subiu</v>
      </c>
      <c r="AF52" s="38">
        <f>VLOOKUP(A52,Total_de_acoes!A:B,2,0)</f>
        <v>1437415777</v>
      </c>
      <c r="AG52" s="30" t="str">
        <f>VLOOKUP(A52,Ticker!A:B,2,0)</f>
        <v>CEMIG</v>
      </c>
      <c r="AH52" s="30" t="str">
        <f>VLOOKUP(AG52,Segmento_Idade!A:C,2,0)</f>
        <v>Energia</v>
      </c>
      <c r="AI52" s="39">
        <f>VLOOKUP(AG52,Segmento_Idade!A:C,3,0)</f>
        <v>71</v>
      </c>
      <c r="AJ52" s="33" t="str">
        <f t="shared" si="21"/>
        <v>Entre 50 e 100 anos</v>
      </c>
    </row>
    <row r="53">
      <c r="A53" s="26" t="s">
        <v>137</v>
      </c>
      <c r="B53" s="27">
        <v>45317.0</v>
      </c>
      <c r="C53" s="28">
        <v>46.04</v>
      </c>
      <c r="D53" s="28">
        <v>-0.19</v>
      </c>
      <c r="E53" s="28">
        <v>-1.41</v>
      </c>
      <c r="F53" s="28">
        <v>-2.0</v>
      </c>
      <c r="G53" s="28">
        <v>-2.0</v>
      </c>
      <c r="H53" s="28">
        <v>7.43</v>
      </c>
      <c r="I53" s="28">
        <v>45.91</v>
      </c>
      <c r="J53" s="28">
        <v>46.42</v>
      </c>
      <c r="K53" s="29" t="s">
        <v>138</v>
      </c>
      <c r="L53" s="37">
        <f t="shared" si="1"/>
        <v>-0.0019</v>
      </c>
      <c r="M53" s="31">
        <f t="shared" si="2"/>
        <v>46.12764252</v>
      </c>
      <c r="N53" s="32">
        <f t="shared" si="3"/>
        <v>-23535874.33</v>
      </c>
      <c r="O53" s="33" t="str">
        <f t="shared" si="4"/>
        <v>Desceu</v>
      </c>
      <c r="P53" s="30">
        <f t="shared" si="5"/>
        <v>-0.0141</v>
      </c>
      <c r="Q53" s="34">
        <f t="shared" si="6"/>
        <v>46.69844812</v>
      </c>
      <c r="R53" s="35">
        <f t="shared" si="7"/>
        <v>-176822300.7</v>
      </c>
      <c r="S53" s="36" t="str">
        <f t="shared" si="8"/>
        <v>Desceu</v>
      </c>
      <c r="T53" s="37">
        <f t="shared" si="9"/>
        <v>-0.02</v>
      </c>
      <c r="U53" s="34">
        <f t="shared" si="10"/>
        <v>46.97959184</v>
      </c>
      <c r="V53" s="35">
        <f t="shared" si="11"/>
        <v>-252321763.4</v>
      </c>
      <c r="W53" s="36" t="str">
        <f t="shared" si="12"/>
        <v>Desceu</v>
      </c>
      <c r="X53" s="37">
        <f t="shared" si="13"/>
        <v>-0.02</v>
      </c>
      <c r="Y53" s="34">
        <f t="shared" si="14"/>
        <v>46.97959184</v>
      </c>
      <c r="Z53" s="35">
        <f t="shared" si="15"/>
        <v>-252321763.4</v>
      </c>
      <c r="AA53" s="36" t="str">
        <f t="shared" si="16"/>
        <v>Desceu</v>
      </c>
      <c r="AB53" s="37">
        <f t="shared" si="17"/>
        <v>0.0743</v>
      </c>
      <c r="AC53" s="34">
        <f t="shared" si="18"/>
        <v>42.85581309</v>
      </c>
      <c r="AD53" s="35">
        <f t="shared" si="19"/>
        <v>855094334.8</v>
      </c>
      <c r="AE53" s="36" t="str">
        <f t="shared" si="20"/>
        <v>Subiu</v>
      </c>
      <c r="AF53" s="38">
        <f>VLOOKUP(A53,Total_de_acoes!A:B,2,0)</f>
        <v>268544014</v>
      </c>
      <c r="AG53" s="30" t="str">
        <f>VLOOKUP(A53,Ticker!A:B,2,0)</f>
        <v>Eletrobras</v>
      </c>
      <c r="AH53" s="30" t="str">
        <f>VLOOKUP(AG53,Segmento_Idade!A:C,2,0)</f>
        <v>Energia</v>
      </c>
      <c r="AI53" s="39">
        <f>VLOOKUP(AG53,Segmento_Idade!A:C,3,0)</f>
        <v>61</v>
      </c>
      <c r="AJ53" s="33" t="str">
        <f t="shared" si="21"/>
        <v>Entre 50 e 100 anos</v>
      </c>
    </row>
    <row r="54">
      <c r="A54" s="40" t="s">
        <v>139</v>
      </c>
      <c r="B54" s="41">
        <v>45317.0</v>
      </c>
      <c r="C54" s="42">
        <v>12.87</v>
      </c>
      <c r="D54" s="42">
        <v>-0.23</v>
      </c>
      <c r="E54" s="42">
        <v>1.42</v>
      </c>
      <c r="F54" s="42">
        <v>-5.44</v>
      </c>
      <c r="G54" s="42">
        <v>-5.44</v>
      </c>
      <c r="H54" s="42">
        <v>6.36</v>
      </c>
      <c r="I54" s="42">
        <v>12.84</v>
      </c>
      <c r="J54" s="42">
        <v>13.09</v>
      </c>
      <c r="K54" s="43" t="s">
        <v>140</v>
      </c>
      <c r="L54" s="37">
        <f t="shared" si="1"/>
        <v>-0.0023</v>
      </c>
      <c r="M54" s="31">
        <f t="shared" si="2"/>
        <v>12.89966924</v>
      </c>
      <c r="N54" s="32">
        <f t="shared" si="3"/>
        <v>-46851590.76</v>
      </c>
      <c r="O54" s="33" t="str">
        <f t="shared" si="4"/>
        <v>Desceu</v>
      </c>
      <c r="P54" s="30">
        <f t="shared" si="5"/>
        <v>0.0142</v>
      </c>
      <c r="Q54" s="34">
        <f t="shared" si="6"/>
        <v>12.68980477</v>
      </c>
      <c r="R54" s="35">
        <f t="shared" si="7"/>
        <v>284551720.3</v>
      </c>
      <c r="S54" s="36" t="str">
        <f t="shared" si="8"/>
        <v>Subiu</v>
      </c>
      <c r="T54" s="37">
        <f t="shared" si="9"/>
        <v>-0.0544</v>
      </c>
      <c r="U54" s="34">
        <f t="shared" si="10"/>
        <v>13.61040609</v>
      </c>
      <c r="V54" s="35">
        <f t="shared" si="11"/>
        <v>-1169197595</v>
      </c>
      <c r="W54" s="36" t="str">
        <f t="shared" si="12"/>
        <v>Desceu</v>
      </c>
      <c r="X54" s="37">
        <f t="shared" si="13"/>
        <v>-0.0544</v>
      </c>
      <c r="Y54" s="34">
        <f t="shared" si="14"/>
        <v>13.61040609</v>
      </c>
      <c r="Z54" s="35">
        <f t="shared" si="15"/>
        <v>-1169197595</v>
      </c>
      <c r="AA54" s="36" t="str">
        <f t="shared" si="16"/>
        <v>Desceu</v>
      </c>
      <c r="AB54" s="37">
        <f t="shared" si="17"/>
        <v>0.0636</v>
      </c>
      <c r="AC54" s="34">
        <f t="shared" si="18"/>
        <v>12.10041369</v>
      </c>
      <c r="AD54" s="35">
        <f t="shared" si="19"/>
        <v>1215276960</v>
      </c>
      <c r="AE54" s="36" t="str">
        <f t="shared" si="20"/>
        <v>Subiu</v>
      </c>
      <c r="AF54" s="38">
        <f>VLOOKUP(A54,Total_de_acoes!A:B,2,0)</f>
        <v>1579130168</v>
      </c>
      <c r="AG54" s="30" t="str">
        <f>VLOOKUP(A54,Ticker!A:B,2,0)</f>
        <v>Eneva</v>
      </c>
      <c r="AH54" s="30" t="str">
        <f>VLOOKUP(AG54,Segmento_Idade!A:C,2,0)</f>
        <v>Energia</v>
      </c>
      <c r="AI54" s="39">
        <f>VLOOKUP(AG54,Segmento_Idade!A:C,3,0)</f>
        <v>17</v>
      </c>
      <c r="AJ54" s="33" t="str">
        <f t="shared" si="21"/>
        <v>Menos de 50 anos</v>
      </c>
    </row>
    <row r="55">
      <c r="A55" s="26" t="s">
        <v>141</v>
      </c>
      <c r="B55" s="27">
        <v>45317.0</v>
      </c>
      <c r="C55" s="28">
        <v>33.17</v>
      </c>
      <c r="D55" s="28">
        <v>-0.24</v>
      </c>
      <c r="E55" s="28">
        <v>-0.93</v>
      </c>
      <c r="F55" s="28">
        <v>-10.13</v>
      </c>
      <c r="G55" s="28">
        <v>-10.13</v>
      </c>
      <c r="H55" s="28">
        <v>-11.84</v>
      </c>
      <c r="I55" s="28">
        <v>33.04</v>
      </c>
      <c r="J55" s="28">
        <v>33.5</v>
      </c>
      <c r="K55" s="29" t="s">
        <v>142</v>
      </c>
      <c r="L55" s="37">
        <f t="shared" si="1"/>
        <v>-0.0024</v>
      </c>
      <c r="M55" s="31">
        <f t="shared" si="2"/>
        <v>33.24979952</v>
      </c>
      <c r="N55" s="32">
        <f t="shared" si="3"/>
        <v>-118230410.4</v>
      </c>
      <c r="O55" s="33" t="str">
        <f t="shared" si="4"/>
        <v>Desceu</v>
      </c>
      <c r="P55" s="30">
        <f t="shared" si="5"/>
        <v>-0.0093</v>
      </c>
      <c r="Q55" s="34">
        <f t="shared" si="6"/>
        <v>33.4813768</v>
      </c>
      <c r="R55" s="35">
        <f t="shared" si="7"/>
        <v>-461333701.1</v>
      </c>
      <c r="S55" s="36" t="str">
        <f t="shared" si="8"/>
        <v>Desceu</v>
      </c>
      <c r="T55" s="37">
        <f t="shared" si="9"/>
        <v>-0.1013</v>
      </c>
      <c r="U55" s="34">
        <f t="shared" si="10"/>
        <v>36.90886837</v>
      </c>
      <c r="V55" s="35">
        <f t="shared" si="11"/>
        <v>-5539481288</v>
      </c>
      <c r="W55" s="36" t="str">
        <f t="shared" si="12"/>
        <v>Desceu</v>
      </c>
      <c r="X55" s="37">
        <f t="shared" si="13"/>
        <v>-0.1013</v>
      </c>
      <c r="Y55" s="34">
        <f t="shared" si="14"/>
        <v>36.90886837</v>
      </c>
      <c r="Z55" s="35">
        <f t="shared" si="15"/>
        <v>-5539481288</v>
      </c>
      <c r="AA55" s="36" t="str">
        <f t="shared" si="16"/>
        <v>Desceu</v>
      </c>
      <c r="AB55" s="37">
        <f t="shared" si="17"/>
        <v>-0.1184</v>
      </c>
      <c r="AC55" s="34">
        <f t="shared" si="18"/>
        <v>37.62477314</v>
      </c>
      <c r="AD55" s="35">
        <f t="shared" si="19"/>
        <v>-6600160807</v>
      </c>
      <c r="AE55" s="36" t="str">
        <f t="shared" si="20"/>
        <v>Desceu</v>
      </c>
      <c r="AF55" s="38">
        <f>VLOOKUP(A55,Total_de_acoes!A:B,2,0)</f>
        <v>1481593024</v>
      </c>
      <c r="AG55" s="30" t="str">
        <f>VLOOKUP(A55,Ticker!A:B,2,0)</f>
        <v>WEG</v>
      </c>
      <c r="AH55" s="30" t="str">
        <f>VLOOKUP(AG55,Segmento_Idade!A:C,2,0)</f>
        <v>Equipamentos Elétricos</v>
      </c>
      <c r="AI55" s="39">
        <f>VLOOKUP(AG55,Segmento_Idade!A:C,3,0)</f>
        <v>62</v>
      </c>
      <c r="AJ55" s="33" t="str">
        <f t="shared" si="21"/>
        <v>Entre 50 e 100 anos</v>
      </c>
    </row>
    <row r="56">
      <c r="A56" s="40" t="s">
        <v>143</v>
      </c>
      <c r="B56" s="41">
        <v>45317.0</v>
      </c>
      <c r="C56" s="42">
        <v>19.3</v>
      </c>
      <c r="D56" s="42">
        <v>-0.25</v>
      </c>
      <c r="E56" s="42">
        <v>2.01</v>
      </c>
      <c r="F56" s="42">
        <v>2.55</v>
      </c>
      <c r="G56" s="42">
        <v>2.55</v>
      </c>
      <c r="H56" s="42">
        <v>-10.11</v>
      </c>
      <c r="I56" s="42">
        <v>19.1</v>
      </c>
      <c r="J56" s="42">
        <v>19.51</v>
      </c>
      <c r="K56" s="43" t="s">
        <v>144</v>
      </c>
      <c r="L56" s="37">
        <f t="shared" si="1"/>
        <v>-0.0025</v>
      </c>
      <c r="M56" s="31">
        <f t="shared" si="2"/>
        <v>19.34837093</v>
      </c>
      <c r="N56" s="32">
        <f t="shared" si="3"/>
        <v>-9468663.682</v>
      </c>
      <c r="O56" s="33" t="str">
        <f t="shared" si="4"/>
        <v>Desceu</v>
      </c>
      <c r="P56" s="30">
        <f t="shared" si="5"/>
        <v>0.0201</v>
      </c>
      <c r="Q56" s="34">
        <f t="shared" si="6"/>
        <v>18.91971375</v>
      </c>
      <c r="R56" s="35">
        <f t="shared" si="7"/>
        <v>74441462.47</v>
      </c>
      <c r="S56" s="36" t="str">
        <f t="shared" si="8"/>
        <v>Subiu</v>
      </c>
      <c r="T56" s="37">
        <f t="shared" si="9"/>
        <v>0.0255</v>
      </c>
      <c r="U56" s="34">
        <f t="shared" si="10"/>
        <v>18.82008776</v>
      </c>
      <c r="V56" s="35">
        <f t="shared" si="11"/>
        <v>93943362.88</v>
      </c>
      <c r="W56" s="36" t="str">
        <f t="shared" si="12"/>
        <v>Subiu</v>
      </c>
      <c r="X56" s="37">
        <f t="shared" si="13"/>
        <v>0.0255</v>
      </c>
      <c r="Y56" s="34">
        <f t="shared" si="14"/>
        <v>18.82008776</v>
      </c>
      <c r="Z56" s="35">
        <f t="shared" si="15"/>
        <v>93943362.88</v>
      </c>
      <c r="AA56" s="36" t="str">
        <f t="shared" si="16"/>
        <v>Subiu</v>
      </c>
      <c r="AB56" s="37">
        <f t="shared" si="17"/>
        <v>-0.1011</v>
      </c>
      <c r="AC56" s="34">
        <f t="shared" si="18"/>
        <v>21.47068639</v>
      </c>
      <c r="AD56" s="35">
        <f t="shared" si="19"/>
        <v>-424914314.6</v>
      </c>
      <c r="AE56" s="36" t="str">
        <f t="shared" si="20"/>
        <v>Desceu</v>
      </c>
      <c r="AF56" s="38">
        <f>VLOOKUP(A56,Total_de_acoes!A:B,2,0)</f>
        <v>195751130</v>
      </c>
      <c r="AG56" s="30" t="str">
        <f>VLOOKUP(A56,Ticker!A:B,2,0)</f>
        <v>SLC Agrícola</v>
      </c>
      <c r="AH56" s="30" t="str">
        <f>VLOOKUP(AG56,Segmento_Idade!A:C,2,0)</f>
        <v>Agronegócio</v>
      </c>
      <c r="AI56" s="39">
        <f>VLOOKUP(AG56,Segmento_Idade!A:C,3,0)</f>
        <v>78</v>
      </c>
      <c r="AJ56" s="33" t="str">
        <f t="shared" si="21"/>
        <v>Entre 50 e 100 anos</v>
      </c>
    </row>
    <row r="57">
      <c r="A57" s="26" t="s">
        <v>145</v>
      </c>
      <c r="B57" s="27">
        <v>45317.0</v>
      </c>
      <c r="C57" s="28">
        <v>24.62</v>
      </c>
      <c r="D57" s="28">
        <v>-0.28</v>
      </c>
      <c r="E57" s="28">
        <v>0.53</v>
      </c>
      <c r="F57" s="28">
        <v>-7.27</v>
      </c>
      <c r="G57" s="28">
        <v>-7.27</v>
      </c>
      <c r="H57" s="28">
        <v>39.82</v>
      </c>
      <c r="I57" s="28">
        <v>24.53</v>
      </c>
      <c r="J57" s="28">
        <v>24.92</v>
      </c>
      <c r="K57" s="29" t="s">
        <v>146</v>
      </c>
      <c r="L57" s="37">
        <f t="shared" si="1"/>
        <v>-0.0028</v>
      </c>
      <c r="M57" s="31">
        <f t="shared" si="2"/>
        <v>24.68912956</v>
      </c>
      <c r="N57" s="32">
        <f t="shared" si="3"/>
        <v>-36819552.34</v>
      </c>
      <c r="O57" s="33" t="str">
        <f t="shared" si="4"/>
        <v>Desceu</v>
      </c>
      <c r="P57" s="30">
        <f t="shared" si="5"/>
        <v>0.0053</v>
      </c>
      <c r="Q57" s="34">
        <f t="shared" si="6"/>
        <v>24.49020193</v>
      </c>
      <c r="R57" s="35">
        <f t="shared" si="7"/>
        <v>69132606.2</v>
      </c>
      <c r="S57" s="36" t="str">
        <f t="shared" si="8"/>
        <v>Subiu</v>
      </c>
      <c r="T57" s="37">
        <f t="shared" si="9"/>
        <v>-0.0727</v>
      </c>
      <c r="U57" s="34">
        <f t="shared" si="10"/>
        <v>26.5501995</v>
      </c>
      <c r="V57" s="35">
        <f t="shared" si="11"/>
        <v>-1028056287</v>
      </c>
      <c r="W57" s="36" t="str">
        <f t="shared" si="12"/>
        <v>Desceu</v>
      </c>
      <c r="X57" s="37">
        <f t="shared" si="13"/>
        <v>-0.0727</v>
      </c>
      <c r="Y57" s="34">
        <f t="shared" si="14"/>
        <v>26.5501995</v>
      </c>
      <c r="Z57" s="35">
        <f t="shared" si="15"/>
        <v>-1028056287</v>
      </c>
      <c r="AA57" s="36" t="str">
        <f t="shared" si="16"/>
        <v>Desceu</v>
      </c>
      <c r="AB57" s="37">
        <f t="shared" si="17"/>
        <v>0.3982</v>
      </c>
      <c r="AC57" s="34">
        <f t="shared" si="18"/>
        <v>17.6083536</v>
      </c>
      <c r="AD57" s="35">
        <f t="shared" si="19"/>
        <v>3734519232</v>
      </c>
      <c r="AE57" s="36" t="str">
        <f t="shared" si="20"/>
        <v>Subiu</v>
      </c>
      <c r="AF57" s="38">
        <f>VLOOKUP(A57,Total_de_acoes!A:B,2,0)</f>
        <v>532616595</v>
      </c>
      <c r="AG57" s="30" t="str">
        <f>VLOOKUP(A57,Ticker!A:B,2,0)</f>
        <v>ALOS3</v>
      </c>
      <c r="AH57" s="30" t="str">
        <f>VLOOKUP(AG57,Segmento_Idade!A:C,2,0)</f>
        <v>Imobiliário (Shoppings)</v>
      </c>
      <c r="AI57" s="39">
        <f>VLOOKUP(AG57,Segmento_Idade!A:C,3,0)</f>
        <v>16</v>
      </c>
      <c r="AJ57" s="33" t="str">
        <f t="shared" si="21"/>
        <v>Menos de 50 anos</v>
      </c>
    </row>
    <row r="58">
      <c r="A58" s="40" t="s">
        <v>147</v>
      </c>
      <c r="B58" s="41">
        <v>45317.0</v>
      </c>
      <c r="C58" s="42">
        <v>13.27</v>
      </c>
      <c r="D58" s="42">
        <v>-0.3</v>
      </c>
      <c r="E58" s="42">
        <v>-1.78</v>
      </c>
      <c r="F58" s="42">
        <v>-6.42</v>
      </c>
      <c r="G58" s="42">
        <v>-6.42</v>
      </c>
      <c r="H58" s="42">
        <v>13.59</v>
      </c>
      <c r="I58" s="42">
        <v>13.23</v>
      </c>
      <c r="J58" s="42">
        <v>13.41</v>
      </c>
      <c r="K58" s="43" t="s">
        <v>148</v>
      </c>
      <c r="L58" s="37">
        <f t="shared" si="1"/>
        <v>-0.003</v>
      </c>
      <c r="M58" s="31">
        <f t="shared" si="2"/>
        <v>13.30992979</v>
      </c>
      <c r="N58" s="32">
        <f t="shared" si="3"/>
        <v>-39743554.31</v>
      </c>
      <c r="O58" s="33" t="str">
        <f t="shared" si="4"/>
        <v>Desceu</v>
      </c>
      <c r="P58" s="30">
        <f t="shared" si="5"/>
        <v>-0.0178</v>
      </c>
      <c r="Q58" s="34">
        <f t="shared" si="6"/>
        <v>13.51048666</v>
      </c>
      <c r="R58" s="35">
        <f t="shared" si="7"/>
        <v>-239365017.6</v>
      </c>
      <c r="S58" s="36" t="str">
        <f t="shared" si="8"/>
        <v>Desceu</v>
      </c>
      <c r="T58" s="37">
        <f t="shared" si="9"/>
        <v>-0.0642</v>
      </c>
      <c r="U58" s="34">
        <f t="shared" si="10"/>
        <v>14.18038042</v>
      </c>
      <c r="V58" s="35">
        <f t="shared" si="11"/>
        <v>-906134351.5</v>
      </c>
      <c r="W58" s="36" t="str">
        <f t="shared" si="12"/>
        <v>Desceu</v>
      </c>
      <c r="X58" s="37">
        <f t="shared" si="13"/>
        <v>-0.0642</v>
      </c>
      <c r="Y58" s="34">
        <f t="shared" si="14"/>
        <v>14.18038042</v>
      </c>
      <c r="Z58" s="35">
        <f t="shared" si="15"/>
        <v>-906134351.5</v>
      </c>
      <c r="AA58" s="36" t="str">
        <f t="shared" si="16"/>
        <v>Desceu</v>
      </c>
      <c r="AB58" s="37">
        <f t="shared" si="17"/>
        <v>0.1359</v>
      </c>
      <c r="AC58" s="34">
        <f t="shared" si="18"/>
        <v>11.68236641</v>
      </c>
      <c r="AD58" s="35">
        <f t="shared" si="19"/>
        <v>1580228771</v>
      </c>
      <c r="AE58" s="36" t="str">
        <f t="shared" si="20"/>
        <v>Subiu</v>
      </c>
      <c r="AF58" s="38">
        <f>VLOOKUP(A58,Total_de_acoes!A:B,2,0)</f>
        <v>995335937</v>
      </c>
      <c r="AG58" s="30" t="str">
        <f>VLOOKUP(A58,Ticker!A:B,2,0)</f>
        <v>Grupo CCR</v>
      </c>
      <c r="AH58" s="30" t="str">
        <f>VLOOKUP(AG58,Segmento_Idade!A:C,2,0)</f>
        <v>Concessões Rodoviárias</v>
      </c>
      <c r="AI58" s="39">
        <f>VLOOKUP(AG58,Segmento_Idade!A:C,3,0)</f>
        <v>24</v>
      </c>
      <c r="AJ58" s="33" t="str">
        <f t="shared" si="21"/>
        <v>Menos de 50 anos</v>
      </c>
    </row>
    <row r="59">
      <c r="A59" s="26" t="s">
        <v>149</v>
      </c>
      <c r="B59" s="27">
        <v>45317.0</v>
      </c>
      <c r="C59" s="28">
        <v>3.03</v>
      </c>
      <c r="D59" s="28">
        <v>-0.32</v>
      </c>
      <c r="E59" s="28">
        <v>-5.02</v>
      </c>
      <c r="F59" s="28">
        <v>-13.18</v>
      </c>
      <c r="G59" s="28">
        <v>-13.18</v>
      </c>
      <c r="H59" s="28">
        <v>37.73</v>
      </c>
      <c r="I59" s="28">
        <v>2.97</v>
      </c>
      <c r="J59" s="28">
        <v>3.06</v>
      </c>
      <c r="K59" s="29" t="s">
        <v>150</v>
      </c>
      <c r="L59" s="37">
        <f t="shared" si="1"/>
        <v>-0.0032</v>
      </c>
      <c r="M59" s="31">
        <f t="shared" si="2"/>
        <v>3.039727127</v>
      </c>
      <c r="N59" s="32">
        <f t="shared" si="3"/>
        <v>-17653966.51</v>
      </c>
      <c r="O59" s="33" t="str">
        <f t="shared" si="4"/>
        <v>Desceu</v>
      </c>
      <c r="P59" s="30">
        <f t="shared" si="5"/>
        <v>-0.0502</v>
      </c>
      <c r="Q59" s="34">
        <f t="shared" si="6"/>
        <v>3.190145294</v>
      </c>
      <c r="R59" s="35">
        <f t="shared" si="7"/>
        <v>-290651053.5</v>
      </c>
      <c r="S59" s="36" t="str">
        <f t="shared" si="8"/>
        <v>Desceu</v>
      </c>
      <c r="T59" s="37">
        <f t="shared" si="9"/>
        <v>-0.1318</v>
      </c>
      <c r="U59" s="34">
        <f t="shared" si="10"/>
        <v>3.489979267</v>
      </c>
      <c r="V59" s="35">
        <f t="shared" si="11"/>
        <v>-834826022.9</v>
      </c>
      <c r="W59" s="36" t="str">
        <f t="shared" si="12"/>
        <v>Desceu</v>
      </c>
      <c r="X59" s="37">
        <f t="shared" si="13"/>
        <v>-0.1318</v>
      </c>
      <c r="Y59" s="34">
        <f t="shared" si="14"/>
        <v>3.489979267</v>
      </c>
      <c r="Z59" s="35">
        <f t="shared" si="15"/>
        <v>-834826022.9</v>
      </c>
      <c r="AA59" s="36" t="str">
        <f t="shared" si="16"/>
        <v>Desceu</v>
      </c>
      <c r="AB59" s="37">
        <f t="shared" si="17"/>
        <v>0.3773</v>
      </c>
      <c r="AC59" s="34">
        <f t="shared" si="18"/>
        <v>2.199956437</v>
      </c>
      <c r="AD59" s="35">
        <f t="shared" si="19"/>
        <v>1506463478</v>
      </c>
      <c r="AE59" s="36" t="str">
        <f t="shared" si="20"/>
        <v>Subiu</v>
      </c>
      <c r="AF59" s="38">
        <f>VLOOKUP(A59,Total_de_acoes!A:B,2,0)</f>
        <v>1814920980</v>
      </c>
      <c r="AG59" s="30" t="str">
        <f>VLOOKUP(A59,Ticker!A:B,2,0)</f>
        <v>Cogna</v>
      </c>
      <c r="AH59" s="30" t="str">
        <f>VLOOKUP(AG59,Segmento_Idade!A:C,2,0)</f>
        <v>Educação</v>
      </c>
      <c r="AI59" s="39">
        <f>VLOOKUP(AG59,Segmento_Idade!A:C,3,0)</f>
        <v>54</v>
      </c>
      <c r="AJ59" s="33" t="str">
        <f t="shared" si="21"/>
        <v>Entre 50 e 100 anos</v>
      </c>
    </row>
    <row r="60">
      <c r="A60" s="40" t="s">
        <v>151</v>
      </c>
      <c r="B60" s="41">
        <v>45317.0</v>
      </c>
      <c r="C60" s="42">
        <v>26.12</v>
      </c>
      <c r="D60" s="42">
        <v>-0.41</v>
      </c>
      <c r="E60" s="42">
        <v>-1.25</v>
      </c>
      <c r="F60" s="42">
        <v>-1.43</v>
      </c>
      <c r="G60" s="42">
        <v>-1.43</v>
      </c>
      <c r="H60" s="42">
        <v>22.81</v>
      </c>
      <c r="I60" s="42">
        <v>26.09</v>
      </c>
      <c r="J60" s="42">
        <v>26.4</v>
      </c>
      <c r="K60" s="43" t="s">
        <v>152</v>
      </c>
      <c r="L60" s="37">
        <f t="shared" si="1"/>
        <v>-0.0041</v>
      </c>
      <c r="M60" s="31">
        <f t="shared" si="2"/>
        <v>26.22753288</v>
      </c>
      <c r="N60" s="32">
        <f t="shared" si="3"/>
        <v>-42561628.08</v>
      </c>
      <c r="O60" s="33" t="str">
        <f t="shared" si="4"/>
        <v>Desceu</v>
      </c>
      <c r="P60" s="30">
        <f t="shared" si="5"/>
        <v>-0.0125</v>
      </c>
      <c r="Q60" s="34">
        <f t="shared" si="6"/>
        <v>26.45063291</v>
      </c>
      <c r="R60" s="35">
        <f t="shared" si="7"/>
        <v>-130864851.5</v>
      </c>
      <c r="S60" s="36" t="str">
        <f t="shared" si="8"/>
        <v>Desceu</v>
      </c>
      <c r="T60" s="37">
        <f t="shared" si="9"/>
        <v>-0.0143</v>
      </c>
      <c r="U60" s="34">
        <f t="shared" si="10"/>
        <v>26.49893477</v>
      </c>
      <c r="V60" s="35">
        <f t="shared" si="11"/>
        <v>-149982776.5</v>
      </c>
      <c r="W60" s="36" t="str">
        <f t="shared" si="12"/>
        <v>Desceu</v>
      </c>
      <c r="X60" s="37">
        <f t="shared" si="13"/>
        <v>-0.0143</v>
      </c>
      <c r="Y60" s="34">
        <f t="shared" si="14"/>
        <v>26.49893477</v>
      </c>
      <c r="Z60" s="35">
        <f t="shared" si="15"/>
        <v>-149982776.5</v>
      </c>
      <c r="AA60" s="36" t="str">
        <f t="shared" si="16"/>
        <v>Desceu</v>
      </c>
      <c r="AB60" s="37">
        <f t="shared" si="17"/>
        <v>0.2281</v>
      </c>
      <c r="AC60" s="34">
        <f t="shared" si="18"/>
        <v>21.26862633</v>
      </c>
      <c r="AD60" s="35">
        <f t="shared" si="19"/>
        <v>1920178762</v>
      </c>
      <c r="AE60" s="36" t="str">
        <f t="shared" si="20"/>
        <v>Subiu</v>
      </c>
      <c r="AF60" s="38">
        <f>VLOOKUP(A60,Total_de_acoes!A:B,2,0)</f>
        <v>395801044</v>
      </c>
      <c r="AG60" s="30" t="str">
        <f>VLOOKUP(A60,Ticker!A:B,2,0)</f>
        <v>Transmissão Paulista</v>
      </c>
      <c r="AH60" s="30" t="str">
        <f>VLOOKUP(AG60,Segmento_Idade!A:C,2,0)</f>
        <v>Energia (Transmissão)</v>
      </c>
      <c r="AI60" s="39">
        <f>VLOOKUP(AG60,Segmento_Idade!A:C,3,0)</f>
        <v>24</v>
      </c>
      <c r="AJ60" s="33" t="str">
        <f t="shared" si="21"/>
        <v>Menos de 50 anos</v>
      </c>
    </row>
    <row r="61">
      <c r="A61" s="26" t="s">
        <v>153</v>
      </c>
      <c r="B61" s="27">
        <v>45317.0</v>
      </c>
      <c r="C61" s="28">
        <v>41.04</v>
      </c>
      <c r="D61" s="28">
        <v>-0.46</v>
      </c>
      <c r="E61" s="28">
        <v>0.56</v>
      </c>
      <c r="F61" s="28">
        <v>-9.46</v>
      </c>
      <c r="G61" s="28">
        <v>-9.46</v>
      </c>
      <c r="H61" s="28">
        <v>13.41</v>
      </c>
      <c r="I61" s="28">
        <v>40.92</v>
      </c>
      <c r="J61" s="28">
        <v>41.59</v>
      </c>
      <c r="K61" s="29" t="s">
        <v>154</v>
      </c>
      <c r="L61" s="37">
        <f t="shared" si="1"/>
        <v>-0.0046</v>
      </c>
      <c r="M61" s="31">
        <f t="shared" si="2"/>
        <v>41.22965642</v>
      </c>
      <c r="N61" s="32">
        <f t="shared" si="3"/>
        <v>-48407328.15</v>
      </c>
      <c r="O61" s="33" t="str">
        <f t="shared" si="4"/>
        <v>Desceu</v>
      </c>
      <c r="P61" s="30">
        <f t="shared" si="5"/>
        <v>0.0056</v>
      </c>
      <c r="Q61" s="34">
        <f t="shared" si="6"/>
        <v>40.81145585</v>
      </c>
      <c r="R61" s="35">
        <f t="shared" si="7"/>
        <v>58332915</v>
      </c>
      <c r="S61" s="36" t="str">
        <f t="shared" si="8"/>
        <v>Subiu</v>
      </c>
      <c r="T61" s="37">
        <f t="shared" si="9"/>
        <v>-0.0946</v>
      </c>
      <c r="U61" s="34">
        <f t="shared" si="10"/>
        <v>45.32803181</v>
      </c>
      <c r="V61" s="35">
        <f t="shared" si="11"/>
        <v>-1094464208</v>
      </c>
      <c r="W61" s="36" t="str">
        <f t="shared" si="12"/>
        <v>Desceu</v>
      </c>
      <c r="X61" s="37">
        <f t="shared" si="13"/>
        <v>-0.0946</v>
      </c>
      <c r="Y61" s="34">
        <f t="shared" si="14"/>
        <v>45.32803181</v>
      </c>
      <c r="Z61" s="35">
        <f t="shared" si="15"/>
        <v>-1094464208</v>
      </c>
      <c r="AA61" s="36" t="str">
        <f t="shared" si="16"/>
        <v>Desceu</v>
      </c>
      <c r="AB61" s="37">
        <f t="shared" si="17"/>
        <v>0.1341</v>
      </c>
      <c r="AC61" s="34">
        <f t="shared" si="18"/>
        <v>36.18728507</v>
      </c>
      <c r="AD61" s="35">
        <f t="shared" si="19"/>
        <v>1238592211</v>
      </c>
      <c r="AE61" s="36" t="str">
        <f t="shared" si="20"/>
        <v>Subiu</v>
      </c>
      <c r="AF61" s="38">
        <f>VLOOKUP(A61,Total_de_acoes!A:B,2,0)</f>
        <v>255236961</v>
      </c>
      <c r="AG61" s="30" t="str">
        <f>VLOOKUP(A61,Ticker!A:B,2,0)</f>
        <v>Engie</v>
      </c>
      <c r="AH61" s="30" t="str">
        <f>VLOOKUP(AG61,Segmento_Idade!A:C,2,0)</f>
        <v>Energia</v>
      </c>
      <c r="AI61" s="39">
        <f>VLOOKUP(AG61,Segmento_Idade!A:C,3,0)</f>
        <v>25</v>
      </c>
      <c r="AJ61" s="33" t="str">
        <f t="shared" si="21"/>
        <v>Menos de 50 anos</v>
      </c>
    </row>
    <row r="62">
      <c r="A62" s="40" t="s">
        <v>155</v>
      </c>
      <c r="B62" s="41">
        <v>45317.0</v>
      </c>
      <c r="C62" s="42">
        <v>23.23</v>
      </c>
      <c r="D62" s="42">
        <v>-0.47</v>
      </c>
      <c r="E62" s="42">
        <v>2.43</v>
      </c>
      <c r="F62" s="42">
        <v>2.07</v>
      </c>
      <c r="G62" s="42">
        <v>2.07</v>
      </c>
      <c r="H62" s="42">
        <v>50.65</v>
      </c>
      <c r="I62" s="42">
        <v>22.97</v>
      </c>
      <c r="J62" s="42">
        <v>23.4</v>
      </c>
      <c r="K62" s="43" t="s">
        <v>156</v>
      </c>
      <c r="L62" s="37">
        <f t="shared" si="1"/>
        <v>-0.0047</v>
      </c>
      <c r="M62" s="31">
        <f t="shared" si="2"/>
        <v>23.33969657</v>
      </c>
      <c r="N62" s="32">
        <f t="shared" si="3"/>
        <v>-122247236.7</v>
      </c>
      <c r="O62" s="33" t="str">
        <f t="shared" si="4"/>
        <v>Desceu</v>
      </c>
      <c r="P62" s="30">
        <f t="shared" si="5"/>
        <v>0.0243</v>
      </c>
      <c r="Q62" s="34">
        <f t="shared" si="6"/>
        <v>22.67890267</v>
      </c>
      <c r="R62" s="35">
        <f t="shared" si="7"/>
        <v>614149776.2</v>
      </c>
      <c r="S62" s="36" t="str">
        <f t="shared" si="8"/>
        <v>Subiu</v>
      </c>
      <c r="T62" s="37">
        <f t="shared" si="9"/>
        <v>0.0207</v>
      </c>
      <c r="U62" s="34">
        <f t="shared" si="10"/>
        <v>22.75889096</v>
      </c>
      <c r="V62" s="35">
        <f t="shared" si="11"/>
        <v>525009821.3</v>
      </c>
      <c r="W62" s="36" t="str">
        <f t="shared" si="12"/>
        <v>Subiu</v>
      </c>
      <c r="X62" s="37">
        <f t="shared" si="13"/>
        <v>0.0207</v>
      </c>
      <c r="Y62" s="34">
        <f t="shared" si="14"/>
        <v>22.75889096</v>
      </c>
      <c r="Z62" s="35">
        <f t="shared" si="15"/>
        <v>525009821.3</v>
      </c>
      <c r="AA62" s="36" t="str">
        <f t="shared" si="16"/>
        <v>Subiu</v>
      </c>
      <c r="AB62" s="37">
        <f t="shared" si="17"/>
        <v>0.5065</v>
      </c>
      <c r="AC62" s="34">
        <f t="shared" si="18"/>
        <v>15.41984733</v>
      </c>
      <c r="AD62" s="35">
        <f t="shared" si="19"/>
        <v>8703732014</v>
      </c>
      <c r="AE62" s="36" t="str">
        <f t="shared" si="20"/>
        <v>Subiu</v>
      </c>
      <c r="AF62" s="38">
        <f>VLOOKUP(A62,Total_de_acoes!A:B,2,0)</f>
        <v>1114412532</v>
      </c>
      <c r="AG62" s="30" t="str">
        <f>VLOOKUP(A62,Ticker!A:B,2,0)</f>
        <v>Vibra Energia</v>
      </c>
      <c r="AH62" s="30" t="str">
        <f>VLOOKUP(AG62,Segmento_Idade!A:C,2,0)</f>
        <v>Energia (Combustíveis)</v>
      </c>
      <c r="AI62" s="39">
        <f>VLOOKUP(AG62,Segmento_Idade!A:C,3,0)</f>
        <v>2</v>
      </c>
      <c r="AJ62" s="33" t="str">
        <f t="shared" si="21"/>
        <v>Menos de 50 anos</v>
      </c>
    </row>
    <row r="63">
      <c r="A63" s="26" t="s">
        <v>157</v>
      </c>
      <c r="B63" s="27">
        <v>45317.0</v>
      </c>
      <c r="C63" s="28">
        <v>40.65</v>
      </c>
      <c r="D63" s="28">
        <v>-0.65</v>
      </c>
      <c r="E63" s="28">
        <v>5.45</v>
      </c>
      <c r="F63" s="28">
        <v>-8.24</v>
      </c>
      <c r="G63" s="28">
        <v>-8.24</v>
      </c>
      <c r="H63" s="28">
        <v>73.5</v>
      </c>
      <c r="I63" s="28">
        <v>40.09</v>
      </c>
      <c r="J63" s="28">
        <v>41.4</v>
      </c>
      <c r="K63" s="29" t="s">
        <v>158</v>
      </c>
      <c r="L63" s="37">
        <f t="shared" si="1"/>
        <v>-0.0065</v>
      </c>
      <c r="M63" s="31">
        <f t="shared" si="2"/>
        <v>40.9159537</v>
      </c>
      <c r="N63" s="32">
        <f t="shared" si="3"/>
        <v>-21765343.02</v>
      </c>
      <c r="O63" s="33" t="str">
        <f t="shared" si="4"/>
        <v>Desceu</v>
      </c>
      <c r="P63" s="30">
        <f t="shared" si="5"/>
        <v>0.0545</v>
      </c>
      <c r="Q63" s="34">
        <f t="shared" si="6"/>
        <v>38.54907539</v>
      </c>
      <c r="R63" s="35">
        <f t="shared" si="7"/>
        <v>171937239.2</v>
      </c>
      <c r="S63" s="36" t="str">
        <f t="shared" si="8"/>
        <v>Subiu</v>
      </c>
      <c r="T63" s="37">
        <f t="shared" si="9"/>
        <v>-0.0824</v>
      </c>
      <c r="U63" s="34">
        <f t="shared" si="10"/>
        <v>44.30034874</v>
      </c>
      <c r="V63" s="35">
        <f t="shared" si="11"/>
        <v>-298740317.1</v>
      </c>
      <c r="W63" s="36" t="str">
        <f t="shared" si="12"/>
        <v>Desceu</v>
      </c>
      <c r="X63" s="37">
        <f t="shared" si="13"/>
        <v>-0.0824</v>
      </c>
      <c r="Y63" s="34">
        <f t="shared" si="14"/>
        <v>44.30034874</v>
      </c>
      <c r="Z63" s="35">
        <f t="shared" si="15"/>
        <v>-298740317.1</v>
      </c>
      <c r="AA63" s="36" t="str">
        <f t="shared" si="16"/>
        <v>Desceu</v>
      </c>
      <c r="AB63" s="37">
        <f t="shared" si="17"/>
        <v>0.735</v>
      </c>
      <c r="AC63" s="34">
        <f t="shared" si="18"/>
        <v>23.42939481</v>
      </c>
      <c r="AD63" s="35">
        <f t="shared" si="19"/>
        <v>1409314404</v>
      </c>
      <c r="AE63" s="36" t="str">
        <f t="shared" si="20"/>
        <v>Subiu</v>
      </c>
      <c r="AF63" s="38">
        <f>VLOOKUP(A63,Total_de_acoes!A:B,2,0)</f>
        <v>81838843</v>
      </c>
      <c r="AG63" s="30" t="str">
        <f>VLOOKUP(A63,Ticker!A:B,2,0)</f>
        <v>IRB Brasil RE</v>
      </c>
      <c r="AH63" s="30" t="str">
        <f>VLOOKUP(AG63,Segmento_Idade!A:C,2,0)</f>
        <v>Seguros e Resseguros</v>
      </c>
      <c r="AI63" s="39">
        <f>VLOOKUP(AG63,Segmento_Idade!A:C,3,0)</f>
        <v>83</v>
      </c>
      <c r="AJ63" s="33" t="str">
        <f t="shared" si="21"/>
        <v>Entre 50 e 100 anos</v>
      </c>
    </row>
    <row r="64">
      <c r="A64" s="40" t="s">
        <v>159</v>
      </c>
      <c r="B64" s="41">
        <v>45317.0</v>
      </c>
      <c r="C64" s="42">
        <v>40.86</v>
      </c>
      <c r="D64" s="42">
        <v>-0.65</v>
      </c>
      <c r="E64" s="42">
        <v>-2.04</v>
      </c>
      <c r="F64" s="42">
        <v>-3.7</v>
      </c>
      <c r="G64" s="42">
        <v>-3.7</v>
      </c>
      <c r="H64" s="42">
        <v>-3.64</v>
      </c>
      <c r="I64" s="42">
        <v>40.86</v>
      </c>
      <c r="J64" s="42">
        <v>41.44</v>
      </c>
      <c r="K64" s="43" t="s">
        <v>160</v>
      </c>
      <c r="L64" s="37">
        <f t="shared" si="1"/>
        <v>-0.0065</v>
      </c>
      <c r="M64" s="31">
        <f t="shared" si="2"/>
        <v>41.12732763</v>
      </c>
      <c r="N64" s="32">
        <f t="shared" si="3"/>
        <v>-529460651.3</v>
      </c>
      <c r="O64" s="33" t="str">
        <f t="shared" si="4"/>
        <v>Desceu</v>
      </c>
      <c r="P64" s="30">
        <f t="shared" si="5"/>
        <v>-0.0204</v>
      </c>
      <c r="Q64" s="34">
        <f t="shared" si="6"/>
        <v>41.71090241</v>
      </c>
      <c r="R64" s="35">
        <f t="shared" si="7"/>
        <v>-1685270409</v>
      </c>
      <c r="S64" s="36" t="str">
        <f t="shared" si="8"/>
        <v>Desceu</v>
      </c>
      <c r="T64" s="37">
        <f t="shared" si="9"/>
        <v>-0.037</v>
      </c>
      <c r="U64" s="34">
        <f t="shared" si="10"/>
        <v>42.42990654</v>
      </c>
      <c r="V64" s="35">
        <f t="shared" si="11"/>
        <v>-3109307263</v>
      </c>
      <c r="W64" s="36" t="str">
        <f t="shared" si="12"/>
        <v>Desceu</v>
      </c>
      <c r="X64" s="37">
        <f t="shared" si="13"/>
        <v>-0.037</v>
      </c>
      <c r="Y64" s="34">
        <f t="shared" si="14"/>
        <v>42.42990654</v>
      </c>
      <c r="Z64" s="35">
        <f t="shared" si="15"/>
        <v>-3109307263</v>
      </c>
      <c r="AA64" s="36" t="str">
        <f t="shared" si="16"/>
        <v>Desceu</v>
      </c>
      <c r="AB64" s="37">
        <f t="shared" si="17"/>
        <v>-0.0364</v>
      </c>
      <c r="AC64" s="34">
        <f t="shared" si="18"/>
        <v>42.40348692</v>
      </c>
      <c r="AD64" s="35">
        <f t="shared" si="19"/>
        <v>-3056981403</v>
      </c>
      <c r="AE64" s="36" t="str">
        <f t="shared" si="20"/>
        <v>Desceu</v>
      </c>
      <c r="AF64" s="38">
        <f>VLOOKUP(A64,Total_de_acoes!A:B,2,0)</f>
        <v>1980568384</v>
      </c>
      <c r="AG64" s="30" t="str">
        <f>VLOOKUP(A64,Ticker!A:B,2,0)</f>
        <v>Eletrobras</v>
      </c>
      <c r="AH64" s="30" t="str">
        <f>VLOOKUP(AG64,Segmento_Idade!A:C,2,0)</f>
        <v>Energia</v>
      </c>
      <c r="AI64" s="39">
        <f>VLOOKUP(AG64,Segmento_Idade!A:C,3,0)</f>
        <v>61</v>
      </c>
      <c r="AJ64" s="33" t="str">
        <f t="shared" si="21"/>
        <v>Entre 50 e 100 anos</v>
      </c>
    </row>
    <row r="65">
      <c r="A65" s="26" t="s">
        <v>161</v>
      </c>
      <c r="B65" s="27">
        <v>45317.0</v>
      </c>
      <c r="C65" s="28">
        <v>3.4</v>
      </c>
      <c r="D65" s="28">
        <v>-0.87</v>
      </c>
      <c r="E65" s="28">
        <v>-4.23</v>
      </c>
      <c r="F65" s="28">
        <v>-13.92</v>
      </c>
      <c r="G65" s="28">
        <v>-13.92</v>
      </c>
      <c r="H65" s="28">
        <v>-46.63</v>
      </c>
      <c r="I65" s="28">
        <v>3.35</v>
      </c>
      <c r="J65" s="28">
        <v>3.47</v>
      </c>
      <c r="K65" s="29" t="s">
        <v>162</v>
      </c>
      <c r="L65" s="37">
        <f t="shared" si="1"/>
        <v>-0.0087</v>
      </c>
      <c r="M65" s="31">
        <f t="shared" si="2"/>
        <v>3.429839605</v>
      </c>
      <c r="N65" s="32">
        <f t="shared" si="3"/>
        <v>-9242203.652</v>
      </c>
      <c r="O65" s="33" t="str">
        <f t="shared" si="4"/>
        <v>Desceu</v>
      </c>
      <c r="P65" s="30">
        <f t="shared" si="5"/>
        <v>-0.0423</v>
      </c>
      <c r="Q65" s="34">
        <f t="shared" si="6"/>
        <v>3.550172288</v>
      </c>
      <c r="R65" s="35">
        <f t="shared" si="7"/>
        <v>-46512776.79</v>
      </c>
      <c r="S65" s="36" t="str">
        <f t="shared" si="8"/>
        <v>Desceu</v>
      </c>
      <c r="T65" s="37">
        <f t="shared" si="9"/>
        <v>-0.1392</v>
      </c>
      <c r="U65" s="34">
        <f t="shared" si="10"/>
        <v>3.949814126</v>
      </c>
      <c r="V65" s="35">
        <f t="shared" si="11"/>
        <v>-170293614.9</v>
      </c>
      <c r="W65" s="36" t="str">
        <f t="shared" si="12"/>
        <v>Desceu</v>
      </c>
      <c r="X65" s="37">
        <f t="shared" si="13"/>
        <v>-0.1392</v>
      </c>
      <c r="Y65" s="34">
        <f t="shared" si="14"/>
        <v>3.949814126</v>
      </c>
      <c r="Z65" s="35">
        <f t="shared" si="15"/>
        <v>-170293614.9</v>
      </c>
      <c r="AA65" s="36" t="str">
        <f t="shared" si="16"/>
        <v>Desceu</v>
      </c>
      <c r="AB65" s="37">
        <f t="shared" si="17"/>
        <v>-0.4663</v>
      </c>
      <c r="AC65" s="34">
        <f t="shared" si="18"/>
        <v>6.370620199</v>
      </c>
      <c r="AD65" s="35">
        <f t="shared" si="19"/>
        <v>-920088494.9</v>
      </c>
      <c r="AE65" s="36" t="str">
        <f t="shared" si="20"/>
        <v>Desceu</v>
      </c>
      <c r="AF65" s="38">
        <f>VLOOKUP(A65,Total_de_acoes!A:B,2,0)</f>
        <v>309729428</v>
      </c>
      <c r="AG65" s="30" t="str">
        <f>VLOOKUP(A65,Ticker!A:B,2,0)</f>
        <v>Petz</v>
      </c>
      <c r="AH65" s="30" t="str">
        <f>VLOOKUP(AG65,Segmento_Idade!A:C,2,0)</f>
        <v>Varejo (Produtos Pet)</v>
      </c>
      <c r="AI65" s="39">
        <f>VLOOKUP(AG65,Segmento_Idade!A:C,3,0)</f>
        <v>19</v>
      </c>
      <c r="AJ65" s="33" t="str">
        <f t="shared" si="21"/>
        <v>Menos de 50 anos</v>
      </c>
    </row>
    <row r="66">
      <c r="A66" s="40" t="s">
        <v>163</v>
      </c>
      <c r="B66" s="41">
        <v>45317.0</v>
      </c>
      <c r="C66" s="42">
        <v>15.91</v>
      </c>
      <c r="D66" s="42">
        <v>-0.93</v>
      </c>
      <c r="E66" s="42">
        <v>-2.39</v>
      </c>
      <c r="F66" s="42">
        <v>-14.92</v>
      </c>
      <c r="G66" s="42">
        <v>-14.92</v>
      </c>
      <c r="H66" s="42">
        <v>8.93</v>
      </c>
      <c r="I66" s="42">
        <v>15.85</v>
      </c>
      <c r="J66" s="42">
        <v>16.31</v>
      </c>
      <c r="K66" s="43" t="s">
        <v>164</v>
      </c>
      <c r="L66" s="37">
        <f t="shared" si="1"/>
        <v>-0.0093</v>
      </c>
      <c r="M66" s="31">
        <f t="shared" si="2"/>
        <v>16.05935197</v>
      </c>
      <c r="N66" s="32">
        <f t="shared" si="3"/>
        <v>-13667842.34</v>
      </c>
      <c r="O66" s="33" t="str">
        <f t="shared" si="4"/>
        <v>Desceu</v>
      </c>
      <c r="P66" s="30">
        <f t="shared" si="5"/>
        <v>-0.0239</v>
      </c>
      <c r="Q66" s="34">
        <f t="shared" si="6"/>
        <v>16.29955947</v>
      </c>
      <c r="R66" s="35">
        <f t="shared" si="7"/>
        <v>-35650265.06</v>
      </c>
      <c r="S66" s="36" t="str">
        <f t="shared" si="8"/>
        <v>Desceu</v>
      </c>
      <c r="T66" s="37">
        <f t="shared" si="9"/>
        <v>-0.1492</v>
      </c>
      <c r="U66" s="34">
        <f t="shared" si="10"/>
        <v>18.70004701</v>
      </c>
      <c r="V66" s="35">
        <f t="shared" si="11"/>
        <v>-255329219</v>
      </c>
      <c r="W66" s="36" t="str">
        <f t="shared" si="12"/>
        <v>Desceu</v>
      </c>
      <c r="X66" s="37">
        <f t="shared" si="13"/>
        <v>-0.1492</v>
      </c>
      <c r="Y66" s="34">
        <f t="shared" si="14"/>
        <v>18.70004701</v>
      </c>
      <c r="Z66" s="35">
        <f t="shared" si="15"/>
        <v>-255329219</v>
      </c>
      <c r="AA66" s="36" t="str">
        <f t="shared" si="16"/>
        <v>Desceu</v>
      </c>
      <c r="AB66" s="37">
        <f t="shared" si="17"/>
        <v>0.0893</v>
      </c>
      <c r="AC66" s="34">
        <f t="shared" si="18"/>
        <v>14.60571009</v>
      </c>
      <c r="AD66" s="35">
        <f t="shared" si="19"/>
        <v>119361187.3</v>
      </c>
      <c r="AE66" s="36" t="str">
        <f t="shared" si="20"/>
        <v>Subiu</v>
      </c>
      <c r="AF66" s="38">
        <f>VLOOKUP(A66,Total_de_acoes!A:B,2,0)</f>
        <v>91514307</v>
      </c>
      <c r="AG66" s="30" t="str">
        <f>VLOOKUP(A66,Ticker!A:B,2,0)</f>
        <v>EZTEC</v>
      </c>
      <c r="AH66" s="30" t="str">
        <f>VLOOKUP(AG66,Segmento_Idade!A:C,2,0)</f>
        <v>Construção Civil</v>
      </c>
      <c r="AI66" s="39">
        <f>VLOOKUP(AG66,Segmento_Idade!A:C,3,0)</f>
        <v>43</v>
      </c>
      <c r="AJ66" s="33" t="str">
        <f t="shared" si="21"/>
        <v>Menos de 50 anos</v>
      </c>
    </row>
    <row r="67">
      <c r="A67" s="26" t="s">
        <v>165</v>
      </c>
      <c r="B67" s="27">
        <v>45317.0</v>
      </c>
      <c r="C67" s="28">
        <v>16.49</v>
      </c>
      <c r="D67" s="28">
        <v>-1.07</v>
      </c>
      <c r="E67" s="28">
        <v>1.04</v>
      </c>
      <c r="F67" s="28">
        <v>-8.59</v>
      </c>
      <c r="G67" s="28">
        <v>-8.59</v>
      </c>
      <c r="H67" s="28">
        <v>17.16</v>
      </c>
      <c r="I67" s="28">
        <v>16.4</v>
      </c>
      <c r="J67" s="28">
        <v>16.71</v>
      </c>
      <c r="K67" s="29" t="s">
        <v>108</v>
      </c>
      <c r="L67" s="37">
        <f t="shared" si="1"/>
        <v>-0.0107</v>
      </c>
      <c r="M67" s="31">
        <f t="shared" si="2"/>
        <v>16.66835136</v>
      </c>
      <c r="N67" s="32">
        <f t="shared" si="3"/>
        <v>-42951047.22</v>
      </c>
      <c r="O67" s="33" t="str">
        <f t="shared" si="4"/>
        <v>Desceu</v>
      </c>
      <c r="P67" s="30">
        <f t="shared" si="5"/>
        <v>0.0104</v>
      </c>
      <c r="Q67" s="34">
        <f t="shared" si="6"/>
        <v>16.3202692</v>
      </c>
      <c r="R67" s="35">
        <f t="shared" si="7"/>
        <v>40875021.14</v>
      </c>
      <c r="S67" s="36" t="str">
        <f t="shared" si="8"/>
        <v>Subiu</v>
      </c>
      <c r="T67" s="37">
        <f t="shared" si="9"/>
        <v>-0.0859</v>
      </c>
      <c r="U67" s="34">
        <f t="shared" si="10"/>
        <v>18.03960179</v>
      </c>
      <c r="V67" s="35">
        <f t="shared" si="11"/>
        <v>-373179212.1</v>
      </c>
      <c r="W67" s="36" t="str">
        <f t="shared" si="12"/>
        <v>Desceu</v>
      </c>
      <c r="X67" s="37">
        <f t="shared" si="13"/>
        <v>-0.0859</v>
      </c>
      <c r="Y67" s="34">
        <f t="shared" si="14"/>
        <v>18.03960179</v>
      </c>
      <c r="Z67" s="35">
        <f t="shared" si="15"/>
        <v>-373179212.1</v>
      </c>
      <c r="AA67" s="36" t="str">
        <f t="shared" si="16"/>
        <v>Desceu</v>
      </c>
      <c r="AB67" s="37">
        <f t="shared" si="17"/>
        <v>0.1716</v>
      </c>
      <c r="AC67" s="34">
        <f t="shared" si="18"/>
        <v>14.07476955</v>
      </c>
      <c r="AD67" s="35">
        <f t="shared" si="19"/>
        <v>581642200.7</v>
      </c>
      <c r="AE67" s="36" t="str">
        <f t="shared" si="20"/>
        <v>Subiu</v>
      </c>
      <c r="AF67" s="38">
        <f>VLOOKUP(A67,Total_de_acoes!A:B,2,0)</f>
        <v>240822651</v>
      </c>
      <c r="AG67" s="30" t="str">
        <f>VLOOKUP(A67,Ticker!A:B,2,0)</f>
        <v>Fleury</v>
      </c>
      <c r="AH67" s="30" t="str">
        <f>VLOOKUP(AG67,Segmento_Idade!A:C,2,0)</f>
        <v>Saúde (Diagnósticos)</v>
      </c>
      <c r="AI67" s="39">
        <f>VLOOKUP(AG67,Segmento_Idade!A:C,3,0)</f>
        <v>98</v>
      </c>
      <c r="AJ67" s="33" t="str">
        <f t="shared" si="21"/>
        <v>Entre 50 e 100 anos</v>
      </c>
    </row>
    <row r="68">
      <c r="A68" s="40" t="s">
        <v>166</v>
      </c>
      <c r="B68" s="41">
        <v>45317.0</v>
      </c>
      <c r="C68" s="42">
        <v>6.95</v>
      </c>
      <c r="D68" s="42">
        <v>-1.27</v>
      </c>
      <c r="E68" s="42">
        <v>-0.43</v>
      </c>
      <c r="F68" s="42">
        <v>-6.71</v>
      </c>
      <c r="G68" s="42">
        <v>-6.71</v>
      </c>
      <c r="H68" s="42">
        <v>-30.01</v>
      </c>
      <c r="I68" s="42">
        <v>6.87</v>
      </c>
      <c r="J68" s="42">
        <v>7.14</v>
      </c>
      <c r="K68" s="43" t="s">
        <v>167</v>
      </c>
      <c r="L68" s="37">
        <f t="shared" si="1"/>
        <v>-0.0127</v>
      </c>
      <c r="M68" s="31">
        <f t="shared" si="2"/>
        <v>7.039400385</v>
      </c>
      <c r="N68" s="32">
        <f t="shared" si="3"/>
        <v>-44345269.97</v>
      </c>
      <c r="O68" s="33" t="str">
        <f t="shared" si="4"/>
        <v>Desceu</v>
      </c>
      <c r="P68" s="30">
        <f t="shared" si="5"/>
        <v>-0.0043</v>
      </c>
      <c r="Q68" s="34">
        <f t="shared" si="6"/>
        <v>6.98001406</v>
      </c>
      <c r="R68" s="35">
        <f t="shared" si="7"/>
        <v>-14887873.42</v>
      </c>
      <c r="S68" s="36" t="str">
        <f t="shared" si="8"/>
        <v>Desceu</v>
      </c>
      <c r="T68" s="37">
        <f t="shared" si="9"/>
        <v>-0.0671</v>
      </c>
      <c r="U68" s="34">
        <f t="shared" si="10"/>
        <v>7.449887448</v>
      </c>
      <c r="V68" s="35">
        <f t="shared" si="11"/>
        <v>-247959154.2</v>
      </c>
      <c r="W68" s="36" t="str">
        <f t="shared" si="12"/>
        <v>Desceu</v>
      </c>
      <c r="X68" s="37">
        <f t="shared" si="13"/>
        <v>-0.0671</v>
      </c>
      <c r="Y68" s="34">
        <f t="shared" si="14"/>
        <v>7.449887448</v>
      </c>
      <c r="Z68" s="35">
        <f t="shared" si="15"/>
        <v>-247959154.2</v>
      </c>
      <c r="AA68" s="36" t="str">
        <f t="shared" si="16"/>
        <v>Desceu</v>
      </c>
      <c r="AB68" s="37">
        <f t="shared" si="17"/>
        <v>-0.3001</v>
      </c>
      <c r="AC68" s="34">
        <f t="shared" si="18"/>
        <v>9.929989999</v>
      </c>
      <c r="AD68" s="35">
        <f t="shared" si="19"/>
        <v>-1478164341</v>
      </c>
      <c r="AE68" s="36" t="str">
        <f t="shared" si="20"/>
        <v>Desceu</v>
      </c>
      <c r="AF68" s="38">
        <f>VLOOKUP(A68,Total_de_acoes!A:B,2,0)</f>
        <v>496029967</v>
      </c>
      <c r="AG68" s="30" t="str">
        <f>VLOOKUP(A68,Ticker!A:B,2,0)</f>
        <v>Grupo Soma</v>
      </c>
      <c r="AH68" s="30" t="str">
        <f>VLOOKUP(AG68,Segmento_Idade!A:C,2,0)</f>
        <v>Varejo (Moda)</v>
      </c>
      <c r="AI68" s="39">
        <f>VLOOKUP(AG68,Segmento_Idade!A:C,3,0)</f>
        <v>30</v>
      </c>
      <c r="AJ68" s="33" t="str">
        <f t="shared" si="21"/>
        <v>Menos de 50 anos</v>
      </c>
    </row>
    <row r="69">
      <c r="A69" s="26" t="s">
        <v>168</v>
      </c>
      <c r="B69" s="27">
        <v>45317.0</v>
      </c>
      <c r="C69" s="28">
        <v>8.67</v>
      </c>
      <c r="D69" s="28">
        <v>-1.36</v>
      </c>
      <c r="E69" s="28">
        <v>4.08</v>
      </c>
      <c r="F69" s="28">
        <v>-14.33</v>
      </c>
      <c r="G69" s="28">
        <v>-14.33</v>
      </c>
      <c r="H69" s="28">
        <v>-34.52</v>
      </c>
      <c r="I69" s="28">
        <v>8.62</v>
      </c>
      <c r="J69" s="28">
        <v>8.8</v>
      </c>
      <c r="K69" s="29" t="s">
        <v>169</v>
      </c>
      <c r="L69" s="37">
        <f t="shared" si="1"/>
        <v>-0.0136</v>
      </c>
      <c r="M69" s="31">
        <f t="shared" si="2"/>
        <v>8.789537713</v>
      </c>
      <c r="N69" s="32">
        <f t="shared" si="3"/>
        <v>-21126374.33</v>
      </c>
      <c r="O69" s="33" t="str">
        <f t="shared" si="4"/>
        <v>Desceu</v>
      </c>
      <c r="P69" s="30">
        <f t="shared" si="5"/>
        <v>0.0408</v>
      </c>
      <c r="Q69" s="34">
        <f t="shared" si="6"/>
        <v>8.330130669</v>
      </c>
      <c r="R69" s="35">
        <f t="shared" si="7"/>
        <v>60066455.52</v>
      </c>
      <c r="S69" s="36" t="str">
        <f t="shared" si="8"/>
        <v>Subiu</v>
      </c>
      <c r="T69" s="37">
        <f t="shared" si="9"/>
        <v>-0.1433</v>
      </c>
      <c r="U69" s="34">
        <f t="shared" si="10"/>
        <v>10.12022878</v>
      </c>
      <c r="V69" s="35">
        <f t="shared" si="11"/>
        <v>-256304687.7</v>
      </c>
      <c r="W69" s="36" t="str">
        <f t="shared" si="12"/>
        <v>Desceu</v>
      </c>
      <c r="X69" s="37">
        <f t="shared" si="13"/>
        <v>-0.1433</v>
      </c>
      <c r="Y69" s="34">
        <f t="shared" si="14"/>
        <v>10.12022878</v>
      </c>
      <c r="Z69" s="35">
        <f t="shared" si="15"/>
        <v>-256304687.7</v>
      </c>
      <c r="AA69" s="36" t="str">
        <f t="shared" si="16"/>
        <v>Desceu</v>
      </c>
      <c r="AB69" s="37">
        <f t="shared" si="17"/>
        <v>-0.3452</v>
      </c>
      <c r="AC69" s="34">
        <f t="shared" si="18"/>
        <v>13.24068418</v>
      </c>
      <c r="AD69" s="35">
        <f t="shared" si="19"/>
        <v>-807795151.3</v>
      </c>
      <c r="AE69" s="36" t="str">
        <f t="shared" si="20"/>
        <v>Desceu</v>
      </c>
      <c r="AF69" s="38">
        <f>VLOOKUP(A69,Total_de_acoes!A:B,2,0)</f>
        <v>176733968</v>
      </c>
      <c r="AG69" s="30" t="str">
        <f>VLOOKUP(A69,Ticker!A:B,2,0)</f>
        <v>Alpargatas</v>
      </c>
      <c r="AH69" s="30" t="str">
        <f>VLOOKUP(AG69,Segmento_Idade!A:C,2,0)</f>
        <v>Calçados e Vestuário</v>
      </c>
      <c r="AI69" s="39">
        <f>VLOOKUP(AG69,Segmento_Idade!A:C,3,0)</f>
        <v>115</v>
      </c>
      <c r="AJ69" s="33" t="str">
        <f t="shared" si="21"/>
        <v>Mais de 100 anos</v>
      </c>
    </row>
    <row r="70">
      <c r="A70" s="40" t="s">
        <v>170</v>
      </c>
      <c r="B70" s="41">
        <v>45317.0</v>
      </c>
      <c r="C70" s="42">
        <v>22.84</v>
      </c>
      <c r="D70" s="42">
        <v>-1.38</v>
      </c>
      <c r="E70" s="42">
        <v>2.38</v>
      </c>
      <c r="F70" s="42">
        <v>-5.15</v>
      </c>
      <c r="G70" s="42">
        <v>-5.15</v>
      </c>
      <c r="H70" s="42">
        <v>60.09</v>
      </c>
      <c r="I70" s="42">
        <v>22.62</v>
      </c>
      <c r="J70" s="42">
        <v>23.34</v>
      </c>
      <c r="K70" s="43" t="s">
        <v>171</v>
      </c>
      <c r="L70" s="37">
        <f t="shared" si="1"/>
        <v>-0.0138</v>
      </c>
      <c r="M70" s="31">
        <f t="shared" si="2"/>
        <v>23.15960251</v>
      </c>
      <c r="N70" s="32">
        <f t="shared" si="3"/>
        <v>-84945431.64</v>
      </c>
      <c r="O70" s="33" t="str">
        <f t="shared" si="4"/>
        <v>Desceu</v>
      </c>
      <c r="P70" s="30">
        <f t="shared" si="5"/>
        <v>0.0238</v>
      </c>
      <c r="Q70" s="34">
        <f t="shared" si="6"/>
        <v>22.30904474</v>
      </c>
      <c r="R70" s="35">
        <f t="shared" si="7"/>
        <v>141119741.1</v>
      </c>
      <c r="S70" s="36" t="str">
        <f t="shared" si="8"/>
        <v>Subiu</v>
      </c>
      <c r="T70" s="37">
        <f t="shared" si="9"/>
        <v>-0.0515</v>
      </c>
      <c r="U70" s="34">
        <f t="shared" si="10"/>
        <v>24.08012652</v>
      </c>
      <c r="V70" s="35">
        <f t="shared" si="11"/>
        <v>-329606549.7</v>
      </c>
      <c r="W70" s="36" t="str">
        <f t="shared" si="12"/>
        <v>Desceu</v>
      </c>
      <c r="X70" s="37">
        <f t="shared" si="13"/>
        <v>-0.0515</v>
      </c>
      <c r="Y70" s="34">
        <f t="shared" si="14"/>
        <v>24.08012652</v>
      </c>
      <c r="Z70" s="35">
        <f t="shared" si="15"/>
        <v>-329606549.7</v>
      </c>
      <c r="AA70" s="36" t="str">
        <f t="shared" si="16"/>
        <v>Desceu</v>
      </c>
      <c r="AB70" s="37">
        <f t="shared" si="17"/>
        <v>0.6009</v>
      </c>
      <c r="AC70" s="34">
        <f t="shared" si="18"/>
        <v>14.26697483</v>
      </c>
      <c r="AD70" s="35">
        <f t="shared" si="19"/>
        <v>2278578204</v>
      </c>
      <c r="AE70" s="36" t="str">
        <f t="shared" si="20"/>
        <v>Subiu</v>
      </c>
      <c r="AF70" s="38">
        <f>VLOOKUP(A70,Total_de_acoes!A:B,2,0)</f>
        <v>265784616</v>
      </c>
      <c r="AG70" s="30" t="str">
        <f>VLOOKUP(A70,Ticker!A:B,2,0)</f>
        <v>Cyrela</v>
      </c>
      <c r="AH70" s="30" t="str">
        <f>VLOOKUP(AG70,Segmento_Idade!A:C,2,0)</f>
        <v>Construção Civil</v>
      </c>
      <c r="AI70" s="39">
        <f>VLOOKUP(AG70,Segmento_Idade!A:C,3,0)</f>
        <v>62</v>
      </c>
      <c r="AJ70" s="33" t="str">
        <f t="shared" si="21"/>
        <v>Entre 50 e 100 anos</v>
      </c>
    </row>
    <row r="71">
      <c r="A71" s="26" t="s">
        <v>172</v>
      </c>
      <c r="B71" s="27">
        <v>45317.0</v>
      </c>
      <c r="C71" s="28">
        <v>22.4</v>
      </c>
      <c r="D71" s="28">
        <v>-1.4</v>
      </c>
      <c r="E71" s="28">
        <v>5.02</v>
      </c>
      <c r="F71" s="28">
        <v>0.04</v>
      </c>
      <c r="G71" s="28">
        <v>0.04</v>
      </c>
      <c r="H71" s="28">
        <v>34.29</v>
      </c>
      <c r="I71" s="28">
        <v>22.26</v>
      </c>
      <c r="J71" s="28">
        <v>22.92</v>
      </c>
      <c r="K71" s="29" t="s">
        <v>173</v>
      </c>
      <c r="L71" s="37">
        <f t="shared" si="1"/>
        <v>-0.014</v>
      </c>
      <c r="M71" s="31">
        <f t="shared" si="2"/>
        <v>22.71805274</v>
      </c>
      <c r="N71" s="32">
        <f t="shared" si="3"/>
        <v>-233651943.5</v>
      </c>
      <c r="O71" s="33" t="str">
        <f t="shared" si="4"/>
        <v>Desceu</v>
      </c>
      <c r="P71" s="30">
        <f t="shared" si="5"/>
        <v>0.0502</v>
      </c>
      <c r="Q71" s="34">
        <f t="shared" si="6"/>
        <v>21.32927062</v>
      </c>
      <c r="R71" s="35">
        <f t="shared" si="7"/>
        <v>786592824.3</v>
      </c>
      <c r="S71" s="36" t="str">
        <f t="shared" si="8"/>
        <v>Subiu</v>
      </c>
      <c r="T71" s="37">
        <f t="shared" si="9"/>
        <v>0.0004</v>
      </c>
      <c r="U71" s="34">
        <f t="shared" si="10"/>
        <v>22.39104358</v>
      </c>
      <c r="V71" s="35">
        <f t="shared" si="11"/>
        <v>6579677.166</v>
      </c>
      <c r="W71" s="36" t="str">
        <f t="shared" si="12"/>
        <v>Subiu</v>
      </c>
      <c r="X71" s="37">
        <f t="shared" si="13"/>
        <v>0.0004</v>
      </c>
      <c r="Y71" s="34">
        <f t="shared" si="14"/>
        <v>22.39104358</v>
      </c>
      <c r="Z71" s="35">
        <f t="shared" si="15"/>
        <v>6579677.166</v>
      </c>
      <c r="AA71" s="36" t="str">
        <f t="shared" si="16"/>
        <v>Subiu</v>
      </c>
      <c r="AB71" s="37">
        <f t="shared" si="17"/>
        <v>0.3429</v>
      </c>
      <c r="AC71" s="34">
        <f t="shared" si="18"/>
        <v>16.68031871</v>
      </c>
      <c r="AD71" s="35">
        <f t="shared" si="19"/>
        <v>4201864935</v>
      </c>
      <c r="AE71" s="36" t="str">
        <f t="shared" si="20"/>
        <v>Subiu</v>
      </c>
      <c r="AF71" s="38">
        <f>VLOOKUP(A71,Total_de_acoes!A:B,2,0)</f>
        <v>734632705</v>
      </c>
      <c r="AG71" s="30" t="str">
        <f>VLOOKUP(A71,Ticker!A:B,2,0)</f>
        <v>Embraer</v>
      </c>
      <c r="AH71" s="30" t="str">
        <f>VLOOKUP(AG71,Segmento_Idade!A:C,2,0)</f>
        <v>Aeronáutica</v>
      </c>
      <c r="AI71" s="39">
        <f>VLOOKUP(AG71,Segmento_Idade!A:C,3,0)</f>
        <v>54</v>
      </c>
      <c r="AJ71" s="33" t="str">
        <f t="shared" si="21"/>
        <v>Entre 50 e 100 anos</v>
      </c>
    </row>
    <row r="72">
      <c r="A72" s="40" t="s">
        <v>174</v>
      </c>
      <c r="B72" s="41">
        <v>45317.0</v>
      </c>
      <c r="C72" s="42">
        <v>15.97</v>
      </c>
      <c r="D72" s="42">
        <v>-1.41</v>
      </c>
      <c r="E72" s="42">
        <v>-7.37</v>
      </c>
      <c r="F72" s="42">
        <v>-5.45</v>
      </c>
      <c r="G72" s="42">
        <v>-5.45</v>
      </c>
      <c r="H72" s="42">
        <v>23.51</v>
      </c>
      <c r="I72" s="42">
        <v>15.84</v>
      </c>
      <c r="J72" s="42">
        <v>16.43</v>
      </c>
      <c r="K72" s="43" t="s">
        <v>175</v>
      </c>
      <c r="L72" s="37">
        <f t="shared" si="1"/>
        <v>-0.0141</v>
      </c>
      <c r="M72" s="31">
        <f t="shared" si="2"/>
        <v>16.1983974</v>
      </c>
      <c r="N72" s="32">
        <f t="shared" si="3"/>
        <v>-193280001.2</v>
      </c>
      <c r="O72" s="33" t="str">
        <f t="shared" si="4"/>
        <v>Desceu</v>
      </c>
      <c r="P72" s="30">
        <f t="shared" si="5"/>
        <v>-0.0737</v>
      </c>
      <c r="Q72" s="34">
        <f t="shared" si="6"/>
        <v>17.24063478</v>
      </c>
      <c r="R72" s="35">
        <f t="shared" si="7"/>
        <v>-1075267446</v>
      </c>
      <c r="S72" s="36" t="str">
        <f t="shared" si="8"/>
        <v>Desceu</v>
      </c>
      <c r="T72" s="37">
        <f t="shared" si="9"/>
        <v>-0.0545</v>
      </c>
      <c r="U72" s="34">
        <f t="shared" si="10"/>
        <v>16.89053411</v>
      </c>
      <c r="V72" s="35">
        <f t="shared" si="11"/>
        <v>-778996744.5</v>
      </c>
      <c r="W72" s="36" t="str">
        <f t="shared" si="12"/>
        <v>Desceu</v>
      </c>
      <c r="X72" s="37">
        <f t="shared" si="13"/>
        <v>-0.0545</v>
      </c>
      <c r="Y72" s="34">
        <f t="shared" si="14"/>
        <v>16.89053411</v>
      </c>
      <c r="Z72" s="35">
        <f t="shared" si="15"/>
        <v>-778996744.5</v>
      </c>
      <c r="AA72" s="36" t="str">
        <f t="shared" si="16"/>
        <v>Desceu</v>
      </c>
      <c r="AB72" s="37">
        <f t="shared" si="17"/>
        <v>0.2351</v>
      </c>
      <c r="AC72" s="34">
        <f t="shared" si="18"/>
        <v>12.93012712</v>
      </c>
      <c r="AD72" s="35">
        <f t="shared" si="19"/>
        <v>2572475108</v>
      </c>
      <c r="AE72" s="36" t="str">
        <f t="shared" si="20"/>
        <v>Subiu</v>
      </c>
      <c r="AF72" s="38">
        <f>VLOOKUP(A72,Total_de_acoes!A:B,2,0)</f>
        <v>846244302</v>
      </c>
      <c r="AG72" s="30" t="str">
        <f>VLOOKUP(A72,Ticker!A:B,2,0)</f>
        <v>Natura</v>
      </c>
      <c r="AH72" s="30" t="str">
        <f>VLOOKUP(AG72,Segmento_Idade!A:C,2,0)</f>
        <v>Cosméticos</v>
      </c>
      <c r="AI72" s="39">
        <f>VLOOKUP(AG72,Segmento_Idade!A:C,3,0)</f>
        <v>53</v>
      </c>
      <c r="AJ72" s="33" t="str">
        <f t="shared" si="21"/>
        <v>Entre 50 e 100 anos</v>
      </c>
    </row>
    <row r="73">
      <c r="A73" s="26" t="s">
        <v>176</v>
      </c>
      <c r="B73" s="27">
        <v>45317.0</v>
      </c>
      <c r="C73" s="28">
        <v>13.8</v>
      </c>
      <c r="D73" s="28">
        <v>-1.42</v>
      </c>
      <c r="E73" s="28">
        <v>-3.5</v>
      </c>
      <c r="F73" s="28">
        <v>2.0</v>
      </c>
      <c r="G73" s="28">
        <v>2.0</v>
      </c>
      <c r="H73" s="28">
        <v>-34.02</v>
      </c>
      <c r="I73" s="28">
        <v>13.63</v>
      </c>
      <c r="J73" s="28">
        <v>14.0</v>
      </c>
      <c r="K73" s="29" t="s">
        <v>177</v>
      </c>
      <c r="L73" s="37">
        <f t="shared" si="1"/>
        <v>-0.0142</v>
      </c>
      <c r="M73" s="31">
        <f t="shared" si="2"/>
        <v>13.99878271</v>
      </c>
      <c r="N73" s="32">
        <f t="shared" si="3"/>
        <v>-268201195.1</v>
      </c>
      <c r="O73" s="33" t="str">
        <f t="shared" si="4"/>
        <v>Desceu</v>
      </c>
      <c r="P73" s="30">
        <f t="shared" si="5"/>
        <v>-0.035</v>
      </c>
      <c r="Q73" s="34">
        <f t="shared" si="6"/>
        <v>14.30051813</v>
      </c>
      <c r="R73" s="35">
        <f t="shared" si="7"/>
        <v>-675308022.6</v>
      </c>
      <c r="S73" s="36" t="str">
        <f t="shared" si="8"/>
        <v>Desceu</v>
      </c>
      <c r="T73" s="37">
        <f t="shared" si="9"/>
        <v>0.02</v>
      </c>
      <c r="U73" s="34">
        <f t="shared" si="10"/>
        <v>13.52941176</v>
      </c>
      <c r="V73" s="35">
        <f t="shared" si="11"/>
        <v>365082488.4</v>
      </c>
      <c r="W73" s="36" t="str">
        <f t="shared" si="12"/>
        <v>Subiu</v>
      </c>
      <c r="X73" s="37">
        <f t="shared" si="13"/>
        <v>0.02</v>
      </c>
      <c r="Y73" s="34">
        <f t="shared" si="14"/>
        <v>13.52941176</v>
      </c>
      <c r="Z73" s="35">
        <f t="shared" si="15"/>
        <v>365082488.4</v>
      </c>
      <c r="AA73" s="36" t="str">
        <f t="shared" si="16"/>
        <v>Subiu</v>
      </c>
      <c r="AB73" s="37">
        <f t="shared" si="17"/>
        <v>-0.3402</v>
      </c>
      <c r="AC73" s="34">
        <f t="shared" si="18"/>
        <v>20.91542892</v>
      </c>
      <c r="AD73" s="35">
        <f t="shared" si="19"/>
        <v>-9600264005</v>
      </c>
      <c r="AE73" s="36" t="str">
        <f t="shared" si="20"/>
        <v>Desceu</v>
      </c>
      <c r="AF73" s="38">
        <f>VLOOKUP(A73,Total_de_acoes!A:B,2,0)</f>
        <v>1349217892</v>
      </c>
      <c r="AG73" s="30" t="str">
        <f>VLOOKUP(A73,Ticker!A:B,2,0)</f>
        <v>Assaí</v>
      </c>
      <c r="AH73" s="30" t="str">
        <f>VLOOKUP(AG73,Segmento_Idade!A:C,2,0)</f>
        <v>Varejo (Atacado)</v>
      </c>
      <c r="AI73" s="39">
        <f>VLOOKUP(AG73,Segmento_Idade!A:C,3,0)</f>
        <v>48</v>
      </c>
      <c r="AJ73" s="33" t="str">
        <f t="shared" si="21"/>
        <v>Menos de 50 anos</v>
      </c>
    </row>
    <row r="74">
      <c r="A74" s="40" t="s">
        <v>178</v>
      </c>
      <c r="B74" s="41">
        <v>45317.0</v>
      </c>
      <c r="C74" s="42">
        <v>13.22</v>
      </c>
      <c r="D74" s="42">
        <v>-1.56</v>
      </c>
      <c r="E74" s="42">
        <v>-4.13</v>
      </c>
      <c r="F74" s="42">
        <v>-8.58</v>
      </c>
      <c r="G74" s="42">
        <v>-8.58</v>
      </c>
      <c r="H74" s="42">
        <v>3.88</v>
      </c>
      <c r="I74" s="42">
        <v>13.18</v>
      </c>
      <c r="J74" s="42">
        <v>13.42</v>
      </c>
      <c r="K74" s="43" t="s">
        <v>179</v>
      </c>
      <c r="L74" s="37">
        <f t="shared" si="1"/>
        <v>-0.0156</v>
      </c>
      <c r="M74" s="31">
        <f t="shared" si="2"/>
        <v>13.4295002</v>
      </c>
      <c r="N74" s="32">
        <f t="shared" si="3"/>
        <v>-1173785666</v>
      </c>
      <c r="O74" s="33" t="str">
        <f t="shared" si="4"/>
        <v>Desceu</v>
      </c>
      <c r="P74" s="30">
        <f t="shared" si="5"/>
        <v>-0.0413</v>
      </c>
      <c r="Q74" s="34">
        <f t="shared" si="6"/>
        <v>13.78950662</v>
      </c>
      <c r="R74" s="35">
        <f t="shared" si="7"/>
        <v>-3190826078</v>
      </c>
      <c r="S74" s="36" t="str">
        <f t="shared" si="8"/>
        <v>Desceu</v>
      </c>
      <c r="T74" s="37">
        <f t="shared" si="9"/>
        <v>-0.0858</v>
      </c>
      <c r="U74" s="34">
        <f t="shared" si="10"/>
        <v>14.46073069</v>
      </c>
      <c r="V74" s="35">
        <f t="shared" si="11"/>
        <v>-6951553659</v>
      </c>
      <c r="W74" s="36" t="str">
        <f t="shared" si="12"/>
        <v>Desceu</v>
      </c>
      <c r="X74" s="37">
        <f t="shared" si="13"/>
        <v>-0.0858</v>
      </c>
      <c r="Y74" s="34">
        <f t="shared" si="14"/>
        <v>14.46073069</v>
      </c>
      <c r="Z74" s="35">
        <f t="shared" si="15"/>
        <v>-6951553659</v>
      </c>
      <c r="AA74" s="36" t="str">
        <f t="shared" si="16"/>
        <v>Desceu</v>
      </c>
      <c r="AB74" s="37">
        <f t="shared" si="17"/>
        <v>0.0388</v>
      </c>
      <c r="AC74" s="34">
        <f t="shared" si="18"/>
        <v>12.72622256</v>
      </c>
      <c r="AD74" s="35">
        <f t="shared" si="19"/>
        <v>2766531332</v>
      </c>
      <c r="AE74" s="36" t="str">
        <f t="shared" si="20"/>
        <v>Subiu</v>
      </c>
      <c r="AF74" s="38">
        <f>VLOOKUP(A74,Total_de_acoes!A:B,2,0)</f>
        <v>5602790110</v>
      </c>
      <c r="AG74" s="30" t="str">
        <f>VLOOKUP(A74,Ticker!A:B,2,0)</f>
        <v>B3</v>
      </c>
      <c r="AH74" s="30" t="str">
        <f>VLOOKUP(AG74,Segmento_Idade!A:C,2,0)</f>
        <v>Serviços Financeiros (Bolsa)</v>
      </c>
      <c r="AI74" s="39">
        <f>VLOOKUP(AG74,Segmento_Idade!A:C,3,0)</f>
        <v>18</v>
      </c>
      <c r="AJ74" s="33" t="str">
        <f t="shared" si="21"/>
        <v>Menos de 50 anos</v>
      </c>
    </row>
    <row r="75">
      <c r="A75" s="26" t="s">
        <v>180</v>
      </c>
      <c r="B75" s="27">
        <v>45317.0</v>
      </c>
      <c r="C75" s="28">
        <v>31.08</v>
      </c>
      <c r="D75" s="28">
        <v>-1.61</v>
      </c>
      <c r="E75" s="28">
        <v>-5.27</v>
      </c>
      <c r="F75" s="28">
        <v>-13.06</v>
      </c>
      <c r="G75" s="28">
        <v>-13.06</v>
      </c>
      <c r="H75" s="28">
        <v>-27.52</v>
      </c>
      <c r="I75" s="28">
        <v>30.91</v>
      </c>
      <c r="J75" s="28">
        <v>31.72</v>
      </c>
      <c r="K75" s="29" t="s">
        <v>181</v>
      </c>
      <c r="L75" s="37">
        <f t="shared" si="1"/>
        <v>-0.0161</v>
      </c>
      <c r="M75" s="31">
        <f t="shared" si="2"/>
        <v>31.58857607</v>
      </c>
      <c r="N75" s="32">
        <f t="shared" si="3"/>
        <v>-208257014.2</v>
      </c>
      <c r="O75" s="33" t="str">
        <f t="shared" si="4"/>
        <v>Desceu</v>
      </c>
      <c r="P75" s="30">
        <f t="shared" si="5"/>
        <v>-0.0527</v>
      </c>
      <c r="Q75" s="34">
        <f t="shared" si="6"/>
        <v>32.80903621</v>
      </c>
      <c r="R75" s="35">
        <f t="shared" si="7"/>
        <v>-708023707.7</v>
      </c>
      <c r="S75" s="36" t="str">
        <f t="shared" si="8"/>
        <v>Desceu</v>
      </c>
      <c r="T75" s="37">
        <f t="shared" si="9"/>
        <v>-0.1306</v>
      </c>
      <c r="U75" s="34">
        <f t="shared" si="10"/>
        <v>35.74879227</v>
      </c>
      <c r="V75" s="35">
        <f t="shared" si="11"/>
        <v>-1911825558</v>
      </c>
      <c r="W75" s="36" t="str">
        <f t="shared" si="12"/>
        <v>Desceu</v>
      </c>
      <c r="X75" s="37">
        <f t="shared" si="13"/>
        <v>-0.1306</v>
      </c>
      <c r="Y75" s="34">
        <f t="shared" si="14"/>
        <v>35.74879227</v>
      </c>
      <c r="Z75" s="35">
        <f t="shared" si="15"/>
        <v>-1911825558</v>
      </c>
      <c r="AA75" s="36" t="str">
        <f t="shared" si="16"/>
        <v>Desceu</v>
      </c>
      <c r="AB75" s="37">
        <f t="shared" si="17"/>
        <v>-0.2752</v>
      </c>
      <c r="AC75" s="34">
        <f t="shared" si="18"/>
        <v>42.8807947</v>
      </c>
      <c r="AD75" s="35">
        <f t="shared" si="19"/>
        <v>-4832312001</v>
      </c>
      <c r="AE75" s="36" t="str">
        <f t="shared" si="20"/>
        <v>Desceu</v>
      </c>
      <c r="AF75" s="38">
        <f>VLOOKUP(A75,Total_de_acoes!A:B,2,0)</f>
        <v>409490388</v>
      </c>
      <c r="AG75" s="30" t="str">
        <f>VLOOKUP(A75,Ticker!A:B,2,0)</f>
        <v>Hypera</v>
      </c>
      <c r="AH75" s="30" t="str">
        <f>VLOOKUP(AG75,Segmento_Idade!A:C,2,0)</f>
        <v>Farmacêutica</v>
      </c>
      <c r="AI75" s="39">
        <f>VLOOKUP(AG75,Segmento_Idade!A:C,3,0)</f>
        <v>19</v>
      </c>
      <c r="AJ75" s="33" t="str">
        <f t="shared" si="21"/>
        <v>Menos de 50 anos</v>
      </c>
    </row>
    <row r="76">
      <c r="A76" s="40" t="s">
        <v>182</v>
      </c>
      <c r="B76" s="41">
        <v>45317.0</v>
      </c>
      <c r="C76" s="42">
        <v>28.2</v>
      </c>
      <c r="D76" s="42">
        <v>-1.94</v>
      </c>
      <c r="E76" s="42">
        <v>0.36</v>
      </c>
      <c r="F76" s="42">
        <v>-3.79</v>
      </c>
      <c r="G76" s="42">
        <v>-3.79</v>
      </c>
      <c r="H76" s="42">
        <v>17.1</v>
      </c>
      <c r="I76" s="42">
        <v>28.13</v>
      </c>
      <c r="J76" s="42">
        <v>28.97</v>
      </c>
      <c r="K76" s="43" t="s">
        <v>183</v>
      </c>
      <c r="L76" s="37">
        <f t="shared" si="1"/>
        <v>-0.0194</v>
      </c>
      <c r="M76" s="31">
        <f t="shared" si="2"/>
        <v>28.75790332</v>
      </c>
      <c r="N76" s="32">
        <f t="shared" si="3"/>
        <v>-79432785.74</v>
      </c>
      <c r="O76" s="33" t="str">
        <f t="shared" si="4"/>
        <v>Desceu</v>
      </c>
      <c r="P76" s="30">
        <f t="shared" si="5"/>
        <v>0.0036</v>
      </c>
      <c r="Q76" s="34">
        <f t="shared" si="6"/>
        <v>28.09884416</v>
      </c>
      <c r="R76" s="35">
        <f t="shared" si="7"/>
        <v>14402298.27</v>
      </c>
      <c r="S76" s="36" t="str">
        <f t="shared" si="8"/>
        <v>Subiu</v>
      </c>
      <c r="T76" s="37">
        <f t="shared" si="9"/>
        <v>-0.0379</v>
      </c>
      <c r="U76" s="34">
        <f t="shared" si="10"/>
        <v>29.31088244</v>
      </c>
      <c r="V76" s="35">
        <f t="shared" si="11"/>
        <v>-158164476.4</v>
      </c>
      <c r="W76" s="36" t="str">
        <f t="shared" si="12"/>
        <v>Desceu</v>
      </c>
      <c r="X76" s="37">
        <f t="shared" si="13"/>
        <v>-0.0379</v>
      </c>
      <c r="Y76" s="34">
        <f t="shared" si="14"/>
        <v>29.31088244</v>
      </c>
      <c r="Z76" s="35">
        <f t="shared" si="15"/>
        <v>-158164476.4</v>
      </c>
      <c r="AA76" s="36" t="str">
        <f t="shared" si="16"/>
        <v>Desceu</v>
      </c>
      <c r="AB76" s="37">
        <f t="shared" si="17"/>
        <v>0.171</v>
      </c>
      <c r="AC76" s="34">
        <f t="shared" si="18"/>
        <v>24.08198121</v>
      </c>
      <c r="AD76" s="35">
        <f t="shared" si="19"/>
        <v>586312519.8</v>
      </c>
      <c r="AE76" s="36" t="str">
        <f t="shared" si="20"/>
        <v>Subiu</v>
      </c>
      <c r="AF76" s="38">
        <f>VLOOKUP(A76,Total_de_acoes!A:B,2,0)</f>
        <v>142377330</v>
      </c>
      <c r="AG76" s="30" t="str">
        <f>VLOOKUP(A76,Ticker!A:B,2,0)</f>
        <v>São Martinho</v>
      </c>
      <c r="AH76" s="30" t="str">
        <f>VLOOKUP(AG76,Segmento_Idade!A:C,2,0)</f>
        <v>Agronegócio (Açúcar e Álcool)</v>
      </c>
      <c r="AI76" s="39">
        <f>VLOOKUP(AG76,Segmento_Idade!A:C,3,0)</f>
        <v>68</v>
      </c>
      <c r="AJ76" s="33" t="str">
        <f t="shared" si="21"/>
        <v>Entre 50 e 100 anos</v>
      </c>
    </row>
    <row r="77">
      <c r="A77" s="26" t="s">
        <v>184</v>
      </c>
      <c r="B77" s="27">
        <v>45317.0</v>
      </c>
      <c r="C77" s="28">
        <v>3.93</v>
      </c>
      <c r="D77" s="28">
        <v>-1.99</v>
      </c>
      <c r="E77" s="28">
        <v>-2.24</v>
      </c>
      <c r="F77" s="28">
        <v>-11.69</v>
      </c>
      <c r="G77" s="28">
        <v>-11.69</v>
      </c>
      <c r="H77" s="28">
        <v>-11.49</v>
      </c>
      <c r="I77" s="28">
        <v>3.89</v>
      </c>
      <c r="J77" s="28">
        <v>4.06</v>
      </c>
      <c r="K77" s="29" t="s">
        <v>185</v>
      </c>
      <c r="L77" s="37">
        <f t="shared" si="1"/>
        <v>-0.0199</v>
      </c>
      <c r="M77" s="31">
        <f t="shared" si="2"/>
        <v>4.009794919</v>
      </c>
      <c r="N77" s="32">
        <f t="shared" si="3"/>
        <v>-350645389.9</v>
      </c>
      <c r="O77" s="33" t="str">
        <f t="shared" si="4"/>
        <v>Desceu</v>
      </c>
      <c r="P77" s="30">
        <f t="shared" si="5"/>
        <v>-0.0224</v>
      </c>
      <c r="Q77" s="34">
        <f t="shared" si="6"/>
        <v>4.0200491</v>
      </c>
      <c r="R77" s="35">
        <f t="shared" si="7"/>
        <v>-395705668.5</v>
      </c>
      <c r="S77" s="36" t="str">
        <f t="shared" si="8"/>
        <v>Desceu</v>
      </c>
      <c r="T77" s="37">
        <f t="shared" si="9"/>
        <v>-0.1169</v>
      </c>
      <c r="U77" s="34">
        <f t="shared" si="10"/>
        <v>4.450232137</v>
      </c>
      <c r="V77" s="35">
        <f t="shared" si="11"/>
        <v>-2286072885</v>
      </c>
      <c r="W77" s="36" t="str">
        <f t="shared" si="12"/>
        <v>Desceu</v>
      </c>
      <c r="X77" s="37">
        <f t="shared" si="13"/>
        <v>-0.1169</v>
      </c>
      <c r="Y77" s="34">
        <f t="shared" si="14"/>
        <v>4.450232137</v>
      </c>
      <c r="Z77" s="35">
        <f t="shared" si="15"/>
        <v>-2286072885</v>
      </c>
      <c r="AA77" s="36" t="str">
        <f t="shared" si="16"/>
        <v>Desceu</v>
      </c>
      <c r="AB77" s="37">
        <f t="shared" si="17"/>
        <v>-0.1149</v>
      </c>
      <c r="AC77" s="34">
        <f t="shared" si="18"/>
        <v>4.440176251</v>
      </c>
      <c r="AD77" s="35">
        <f t="shared" si="19"/>
        <v>-2241883983</v>
      </c>
      <c r="AE77" s="36" t="str">
        <f t="shared" si="20"/>
        <v>Desceu</v>
      </c>
      <c r="AF77" s="38">
        <f>VLOOKUP(A77,Total_de_acoes!A:B,2,0)</f>
        <v>4394332306</v>
      </c>
      <c r="AG77" s="30" t="str">
        <f>VLOOKUP(A77,Ticker!A:B,2,0)</f>
        <v>Hapvida</v>
      </c>
      <c r="AH77" s="30" t="str">
        <f>VLOOKUP(AG77,Segmento_Idade!A:C,2,0)</f>
        <v>Saúde (Hospitais)</v>
      </c>
      <c r="AI77" s="39">
        <f>VLOOKUP(AG77,Segmento_Idade!A:C,3,0)</f>
        <v>44</v>
      </c>
      <c r="AJ77" s="33" t="str">
        <f t="shared" si="21"/>
        <v>Menos de 50 anos</v>
      </c>
    </row>
    <row r="78">
      <c r="A78" s="40" t="s">
        <v>186</v>
      </c>
      <c r="B78" s="41">
        <v>45317.0</v>
      </c>
      <c r="C78" s="42">
        <v>15.78</v>
      </c>
      <c r="D78" s="42">
        <v>-2.29</v>
      </c>
      <c r="E78" s="42">
        <v>-5.62</v>
      </c>
      <c r="F78" s="42">
        <v>-9.41</v>
      </c>
      <c r="G78" s="42">
        <v>-9.41</v>
      </c>
      <c r="H78" s="42">
        <v>-24.94</v>
      </c>
      <c r="I78" s="42">
        <v>15.7</v>
      </c>
      <c r="J78" s="42">
        <v>16.23</v>
      </c>
      <c r="K78" s="43" t="s">
        <v>187</v>
      </c>
      <c r="L78" s="37">
        <f t="shared" si="1"/>
        <v>-0.0229</v>
      </c>
      <c r="M78" s="31">
        <f t="shared" si="2"/>
        <v>16.14983113</v>
      </c>
      <c r="N78" s="32">
        <f t="shared" si="3"/>
        <v>-351831366.6</v>
      </c>
      <c r="O78" s="33" t="str">
        <f t="shared" si="4"/>
        <v>Desceu</v>
      </c>
      <c r="P78" s="30">
        <f t="shared" si="5"/>
        <v>-0.0562</v>
      </c>
      <c r="Q78" s="34">
        <f t="shared" si="6"/>
        <v>16.71964399</v>
      </c>
      <c r="R78" s="35">
        <f t="shared" si="7"/>
        <v>-893911303.1</v>
      </c>
      <c r="S78" s="36" t="str">
        <f t="shared" si="8"/>
        <v>Desceu</v>
      </c>
      <c r="T78" s="37">
        <f t="shared" si="9"/>
        <v>-0.0941</v>
      </c>
      <c r="U78" s="34">
        <f t="shared" si="10"/>
        <v>17.41914119</v>
      </c>
      <c r="V78" s="35">
        <f t="shared" si="11"/>
        <v>-1559363807</v>
      </c>
      <c r="W78" s="36" t="str">
        <f t="shared" si="12"/>
        <v>Desceu</v>
      </c>
      <c r="X78" s="37">
        <f t="shared" si="13"/>
        <v>-0.0941</v>
      </c>
      <c r="Y78" s="34">
        <f t="shared" si="14"/>
        <v>17.41914119</v>
      </c>
      <c r="Z78" s="35">
        <f t="shared" si="15"/>
        <v>-1559363807</v>
      </c>
      <c r="AA78" s="36" t="str">
        <f t="shared" si="16"/>
        <v>Desceu</v>
      </c>
      <c r="AB78" s="37">
        <f t="shared" si="17"/>
        <v>-0.2494</v>
      </c>
      <c r="AC78" s="34">
        <f t="shared" si="18"/>
        <v>21.02318145</v>
      </c>
      <c r="AD78" s="35">
        <f t="shared" si="19"/>
        <v>-4987994607</v>
      </c>
      <c r="AE78" s="36" t="str">
        <f t="shared" si="20"/>
        <v>Desceu</v>
      </c>
      <c r="AF78" s="38">
        <f>VLOOKUP(A78,Total_de_acoes!A:B,2,0)</f>
        <v>951329770</v>
      </c>
      <c r="AG78" s="30" t="str">
        <f>VLOOKUP(A78,Ticker!A:B,2,0)</f>
        <v>Lojas Renner</v>
      </c>
      <c r="AH78" s="30" t="str">
        <f>VLOOKUP(AG78,Segmento_Idade!A:C,2,0)</f>
        <v>Varejo (Moda)</v>
      </c>
      <c r="AI78" s="39">
        <f>VLOOKUP(AG78,Segmento_Idade!A:C,3,0)</f>
        <v>57</v>
      </c>
      <c r="AJ78" s="33" t="str">
        <f t="shared" si="21"/>
        <v>Entre 50 e 100 anos</v>
      </c>
    </row>
    <row r="79">
      <c r="A79" s="26" t="s">
        <v>188</v>
      </c>
      <c r="B79" s="27">
        <v>45317.0</v>
      </c>
      <c r="C79" s="28">
        <v>10.71</v>
      </c>
      <c r="D79" s="28">
        <v>-2.45</v>
      </c>
      <c r="E79" s="28">
        <v>-9.47</v>
      </c>
      <c r="F79" s="28">
        <v>-13.98</v>
      </c>
      <c r="G79" s="28">
        <v>-13.98</v>
      </c>
      <c r="H79" s="28">
        <v>-32.72</v>
      </c>
      <c r="I79" s="28">
        <v>10.7</v>
      </c>
      <c r="J79" s="28">
        <v>11.08</v>
      </c>
      <c r="K79" s="29" t="s">
        <v>189</v>
      </c>
      <c r="L79" s="37">
        <f t="shared" si="1"/>
        <v>-0.0245</v>
      </c>
      <c r="M79" s="31">
        <f t="shared" si="2"/>
        <v>10.97898514</v>
      </c>
      <c r="N79" s="32">
        <f t="shared" si="3"/>
        <v>-143635530.6</v>
      </c>
      <c r="O79" s="33" t="str">
        <f t="shared" si="4"/>
        <v>Desceu</v>
      </c>
      <c r="P79" s="30">
        <f t="shared" si="5"/>
        <v>-0.0947</v>
      </c>
      <c r="Q79" s="34">
        <f t="shared" si="6"/>
        <v>11.83033249</v>
      </c>
      <c r="R79" s="35">
        <f t="shared" si="7"/>
        <v>-598247002.1</v>
      </c>
      <c r="S79" s="36" t="str">
        <f t="shared" si="8"/>
        <v>Desceu</v>
      </c>
      <c r="T79" s="37">
        <f t="shared" si="9"/>
        <v>-0.1398</v>
      </c>
      <c r="U79" s="34">
        <f t="shared" si="10"/>
        <v>12.45059289</v>
      </c>
      <c r="V79" s="35">
        <f t="shared" si="11"/>
        <v>-929460216.6</v>
      </c>
      <c r="W79" s="36" t="str">
        <f t="shared" si="12"/>
        <v>Desceu</v>
      </c>
      <c r="X79" s="37">
        <f t="shared" si="13"/>
        <v>-0.1398</v>
      </c>
      <c r="Y79" s="34">
        <f t="shared" si="14"/>
        <v>12.45059289</v>
      </c>
      <c r="Z79" s="35">
        <f t="shared" si="15"/>
        <v>-929460216.6</v>
      </c>
      <c r="AA79" s="36" t="str">
        <f t="shared" si="16"/>
        <v>Desceu</v>
      </c>
      <c r="AB79" s="37">
        <f t="shared" si="17"/>
        <v>-0.3272</v>
      </c>
      <c r="AC79" s="34">
        <f t="shared" si="18"/>
        <v>15.91854935</v>
      </c>
      <c r="AD79" s="35">
        <f t="shared" si="19"/>
        <v>-2781316323</v>
      </c>
      <c r="AE79" s="36" t="str">
        <f t="shared" si="20"/>
        <v>Desceu</v>
      </c>
      <c r="AF79" s="38">
        <f>VLOOKUP(A79,Total_de_acoes!A:B,2,0)</f>
        <v>533990587</v>
      </c>
      <c r="AG79" s="30" t="str">
        <f>VLOOKUP(A79,Ticker!A:B,2,0)</f>
        <v>Carrefour Brasil</v>
      </c>
      <c r="AH79" s="30" t="str">
        <f>VLOOKUP(AG79,Segmento_Idade!A:C,2,0)</f>
        <v>Varejo</v>
      </c>
      <c r="AI79" s="39">
        <f>VLOOKUP(AG79,Segmento_Idade!A:C,3,0)</f>
        <v>47</v>
      </c>
      <c r="AJ79" s="33" t="str">
        <f t="shared" si="21"/>
        <v>Menos de 50 anos</v>
      </c>
    </row>
    <row r="80">
      <c r="A80" s="40" t="s">
        <v>190</v>
      </c>
      <c r="B80" s="41">
        <v>45317.0</v>
      </c>
      <c r="C80" s="42">
        <v>8.7</v>
      </c>
      <c r="D80" s="42">
        <v>-2.46</v>
      </c>
      <c r="E80" s="42">
        <v>-6.95</v>
      </c>
      <c r="F80" s="42">
        <v>-23.55</v>
      </c>
      <c r="G80" s="42">
        <v>-23.55</v>
      </c>
      <c r="H80" s="42">
        <v>-85.74</v>
      </c>
      <c r="I80" s="42">
        <v>8.67</v>
      </c>
      <c r="J80" s="42">
        <v>8.95</v>
      </c>
      <c r="K80" s="43" t="s">
        <v>191</v>
      </c>
      <c r="L80" s="37">
        <f t="shared" si="1"/>
        <v>-0.0246</v>
      </c>
      <c r="M80" s="31">
        <f t="shared" si="2"/>
        <v>8.919417675</v>
      </c>
      <c r="N80" s="32">
        <f t="shared" si="3"/>
        <v>-20810240.84</v>
      </c>
      <c r="O80" s="33" t="str">
        <f t="shared" si="4"/>
        <v>Desceu</v>
      </c>
      <c r="P80" s="30">
        <f t="shared" si="5"/>
        <v>-0.0695</v>
      </c>
      <c r="Q80" s="34">
        <f t="shared" si="6"/>
        <v>9.349811929</v>
      </c>
      <c r="R80" s="35">
        <f t="shared" si="7"/>
        <v>-61630143.33</v>
      </c>
      <c r="S80" s="36" t="str">
        <f t="shared" si="8"/>
        <v>Desceu</v>
      </c>
      <c r="T80" s="37">
        <f t="shared" si="9"/>
        <v>-0.2355</v>
      </c>
      <c r="U80" s="34">
        <f t="shared" si="10"/>
        <v>11.37998692</v>
      </c>
      <c r="V80" s="35">
        <f t="shared" si="11"/>
        <v>-254178125.4</v>
      </c>
      <c r="W80" s="36" t="str">
        <f t="shared" si="12"/>
        <v>Desceu</v>
      </c>
      <c r="X80" s="37">
        <f t="shared" si="13"/>
        <v>-0.2355</v>
      </c>
      <c r="Y80" s="34">
        <f t="shared" si="14"/>
        <v>11.37998692</v>
      </c>
      <c r="Z80" s="35">
        <f t="shared" si="15"/>
        <v>-254178125.4</v>
      </c>
      <c r="AA80" s="36" t="str">
        <f t="shared" si="16"/>
        <v>Desceu</v>
      </c>
      <c r="AB80" s="37">
        <f t="shared" si="17"/>
        <v>-0.8574</v>
      </c>
      <c r="AC80" s="34">
        <f t="shared" si="18"/>
        <v>61.00981767</v>
      </c>
      <c r="AD80" s="35">
        <f t="shared" si="19"/>
        <v>-4961222496</v>
      </c>
      <c r="AE80" s="36" t="str">
        <f t="shared" si="20"/>
        <v>Desceu</v>
      </c>
      <c r="AF80" s="38">
        <f>VLOOKUP(A80,Total_de_acoes!A:B,2,0)</f>
        <v>94843047</v>
      </c>
      <c r="AG80" s="30" t="str">
        <f>VLOOKUP(A80,Ticker!A:B,2,0)</f>
        <v>Casas Bahia</v>
      </c>
      <c r="AH80" s="30" t="str">
        <f>VLOOKUP(AG80,Segmento_Idade!A:C,2,0)</f>
        <v>Varejo</v>
      </c>
      <c r="AI80" s="39">
        <f>VLOOKUP(AG80,Segmento_Idade!A:C,3,0)</f>
        <v>70</v>
      </c>
      <c r="AJ80" s="33" t="str">
        <f t="shared" si="21"/>
        <v>Entre 50 e 100 anos</v>
      </c>
    </row>
    <row r="81">
      <c r="A81" s="26" t="s">
        <v>192</v>
      </c>
      <c r="B81" s="27">
        <v>45317.0</v>
      </c>
      <c r="C81" s="28">
        <v>56.24</v>
      </c>
      <c r="D81" s="28">
        <v>-3.63</v>
      </c>
      <c r="E81" s="28">
        <v>-6.41</v>
      </c>
      <c r="F81" s="28">
        <v>-11.57</v>
      </c>
      <c r="G81" s="28">
        <v>-11.57</v>
      </c>
      <c r="H81" s="28">
        <v>-2.77</v>
      </c>
      <c r="I81" s="28">
        <v>56.04</v>
      </c>
      <c r="J81" s="28">
        <v>58.9</v>
      </c>
      <c r="K81" s="29" t="s">
        <v>193</v>
      </c>
      <c r="L81" s="37">
        <f t="shared" si="1"/>
        <v>-0.0363</v>
      </c>
      <c r="M81" s="31">
        <f t="shared" si="2"/>
        <v>58.35841029</v>
      </c>
      <c r="N81" s="32">
        <f t="shared" si="3"/>
        <v>-1807432634</v>
      </c>
      <c r="O81" s="33" t="str">
        <f t="shared" si="4"/>
        <v>Desceu</v>
      </c>
      <c r="P81" s="30">
        <f t="shared" si="5"/>
        <v>-0.0641</v>
      </c>
      <c r="Q81" s="34">
        <f t="shared" si="6"/>
        <v>60.09189016</v>
      </c>
      <c r="R81" s="35">
        <f t="shared" si="7"/>
        <v>-3286441724</v>
      </c>
      <c r="S81" s="36" t="str">
        <f t="shared" si="8"/>
        <v>Desceu</v>
      </c>
      <c r="T81" s="37">
        <f t="shared" si="9"/>
        <v>-0.1157</v>
      </c>
      <c r="U81" s="34">
        <f t="shared" si="10"/>
        <v>63.59832636</v>
      </c>
      <c r="V81" s="35">
        <f t="shared" si="11"/>
        <v>-6278141320</v>
      </c>
      <c r="W81" s="36" t="str">
        <f t="shared" si="12"/>
        <v>Desceu</v>
      </c>
      <c r="X81" s="37">
        <f t="shared" si="13"/>
        <v>-0.1157</v>
      </c>
      <c r="Y81" s="34">
        <f t="shared" si="14"/>
        <v>63.59832636</v>
      </c>
      <c r="Z81" s="35">
        <f t="shared" si="15"/>
        <v>-6278141320</v>
      </c>
      <c r="AA81" s="36" t="str">
        <f t="shared" si="16"/>
        <v>Desceu</v>
      </c>
      <c r="AB81" s="37">
        <f t="shared" si="17"/>
        <v>-0.0277</v>
      </c>
      <c r="AC81" s="34">
        <f t="shared" si="18"/>
        <v>57.84222976</v>
      </c>
      <c r="AD81" s="35">
        <f t="shared" si="19"/>
        <v>-1367026195</v>
      </c>
      <c r="AE81" s="36" t="str">
        <f t="shared" si="20"/>
        <v>Desceu</v>
      </c>
      <c r="AF81" s="38">
        <f>VLOOKUP(A81,Total_de_acoes!A:B,2,0)</f>
        <v>853202347</v>
      </c>
      <c r="AG81" s="30" t="str">
        <f>VLOOKUP(A81,Ticker!A:B,2,0)</f>
        <v>Localiza</v>
      </c>
      <c r="AH81" s="30" t="str">
        <f>VLOOKUP(AG81,Segmento_Idade!A:C,2,0)</f>
        <v>Locação de Veículos</v>
      </c>
      <c r="AI81" s="39">
        <f>VLOOKUP(AG81,Segmento_Idade!A:C,3,0)</f>
        <v>49</v>
      </c>
      <c r="AJ81" s="33" t="str">
        <f t="shared" si="21"/>
        <v>Menos de 50 anos</v>
      </c>
    </row>
    <row r="82">
      <c r="A82" s="40" t="s">
        <v>194</v>
      </c>
      <c r="B82" s="41">
        <v>45317.0</v>
      </c>
      <c r="C82" s="42">
        <v>3.07</v>
      </c>
      <c r="D82" s="42">
        <v>-4.36</v>
      </c>
      <c r="E82" s="42">
        <v>-5.54</v>
      </c>
      <c r="F82" s="42">
        <v>-12.29</v>
      </c>
      <c r="G82" s="42">
        <v>-12.29</v>
      </c>
      <c r="H82" s="42">
        <v>-36.83</v>
      </c>
      <c r="I82" s="42">
        <v>3.05</v>
      </c>
      <c r="J82" s="42">
        <v>3.23</v>
      </c>
      <c r="K82" s="43" t="s">
        <v>195</v>
      </c>
      <c r="L82" s="37">
        <f t="shared" si="1"/>
        <v>-0.0436</v>
      </c>
      <c r="M82" s="31">
        <f t="shared" si="2"/>
        <v>3.209953994</v>
      </c>
      <c r="N82" s="32">
        <f t="shared" si="3"/>
        <v>-73557408.06</v>
      </c>
      <c r="O82" s="33" t="str">
        <f t="shared" si="4"/>
        <v>Desceu</v>
      </c>
      <c r="P82" s="30">
        <f t="shared" si="5"/>
        <v>-0.0554</v>
      </c>
      <c r="Q82" s="34">
        <f t="shared" si="6"/>
        <v>3.250052932</v>
      </c>
      <c r="R82" s="35">
        <f t="shared" si="7"/>
        <v>-94632719.17</v>
      </c>
      <c r="S82" s="36" t="str">
        <f t="shared" si="8"/>
        <v>Desceu</v>
      </c>
      <c r="T82" s="37">
        <f t="shared" si="9"/>
        <v>-0.1229</v>
      </c>
      <c r="U82" s="34">
        <f t="shared" si="10"/>
        <v>3.500171018</v>
      </c>
      <c r="V82" s="35">
        <f t="shared" si="11"/>
        <v>-226090475.7</v>
      </c>
      <c r="W82" s="36" t="str">
        <f t="shared" si="12"/>
        <v>Desceu</v>
      </c>
      <c r="X82" s="37">
        <f t="shared" si="13"/>
        <v>-0.1229</v>
      </c>
      <c r="Y82" s="34">
        <f t="shared" si="14"/>
        <v>3.500171018</v>
      </c>
      <c r="Z82" s="35">
        <f t="shared" si="15"/>
        <v>-226090475.7</v>
      </c>
      <c r="AA82" s="36" t="str">
        <f t="shared" si="16"/>
        <v>Desceu</v>
      </c>
      <c r="AB82" s="37">
        <f t="shared" si="17"/>
        <v>-0.3683</v>
      </c>
      <c r="AC82" s="34">
        <f t="shared" si="18"/>
        <v>4.859901852</v>
      </c>
      <c r="AD82" s="35">
        <f t="shared" si="19"/>
        <v>-940741575.3</v>
      </c>
      <c r="AE82" s="36" t="str">
        <f t="shared" si="20"/>
        <v>Desceu</v>
      </c>
      <c r="AF82" s="38">
        <f>VLOOKUP(A82,Total_de_acoes!A:B,2,0)</f>
        <v>525582771</v>
      </c>
      <c r="AG82" s="30" t="str">
        <f>VLOOKUP(A82,Ticker!A:B,2,0)</f>
        <v>CVC</v>
      </c>
      <c r="AH82" s="30" t="str">
        <f>VLOOKUP(AG82,Segmento_Idade!A:C,2,0)</f>
        <v>Turismo</v>
      </c>
      <c r="AI82" s="39">
        <f>VLOOKUP(AG82,Segmento_Idade!A:C,3,0)</f>
        <v>50</v>
      </c>
      <c r="AJ82" s="33" t="str">
        <f t="shared" si="21"/>
        <v>Entre 50 e 100 anos</v>
      </c>
    </row>
    <row r="83">
      <c r="A83" s="26" t="s">
        <v>196</v>
      </c>
      <c r="B83" s="27">
        <v>45317.0</v>
      </c>
      <c r="C83" s="28">
        <v>5.92</v>
      </c>
      <c r="D83" s="28">
        <v>-8.07</v>
      </c>
      <c r="E83" s="28">
        <v>-15.91</v>
      </c>
      <c r="F83" s="28">
        <v>-34.0</v>
      </c>
      <c r="G83" s="28">
        <v>-34.0</v>
      </c>
      <c r="H83" s="28">
        <v>-25.44</v>
      </c>
      <c r="I83" s="28">
        <v>5.51</v>
      </c>
      <c r="J83" s="28">
        <v>6.02</v>
      </c>
      <c r="K83" s="29" t="s">
        <v>197</v>
      </c>
      <c r="L83" s="37">
        <f t="shared" si="1"/>
        <v>-0.0807</v>
      </c>
      <c r="M83" s="31">
        <f t="shared" si="2"/>
        <v>6.439682367</v>
      </c>
      <c r="N83" s="32">
        <f t="shared" si="3"/>
        <v>-102993202.6</v>
      </c>
      <c r="O83" s="33" t="str">
        <f t="shared" si="4"/>
        <v>Desceu</v>
      </c>
      <c r="P83" s="30">
        <f t="shared" si="5"/>
        <v>-0.1591</v>
      </c>
      <c r="Q83" s="34">
        <f t="shared" si="6"/>
        <v>7.040076109</v>
      </c>
      <c r="R83" s="35">
        <f t="shared" si="7"/>
        <v>-221982181.7</v>
      </c>
      <c r="S83" s="36" t="str">
        <f t="shared" si="8"/>
        <v>Desceu</v>
      </c>
      <c r="T83" s="37">
        <f t="shared" si="9"/>
        <v>-0.34</v>
      </c>
      <c r="U83" s="34">
        <f t="shared" si="10"/>
        <v>8.96969697</v>
      </c>
      <c r="V83" s="35">
        <f t="shared" si="11"/>
        <v>-604403916.4</v>
      </c>
      <c r="W83" s="36" t="str">
        <f t="shared" si="12"/>
        <v>Desceu</v>
      </c>
      <c r="X83" s="37">
        <f t="shared" si="13"/>
        <v>-0.34</v>
      </c>
      <c r="Y83" s="34">
        <f t="shared" si="14"/>
        <v>8.96969697</v>
      </c>
      <c r="Z83" s="35">
        <f t="shared" si="15"/>
        <v>-604403916.4</v>
      </c>
      <c r="AA83" s="36" t="str">
        <f t="shared" si="16"/>
        <v>Desceu</v>
      </c>
      <c r="AB83" s="37">
        <f t="shared" si="17"/>
        <v>-0.2544</v>
      </c>
      <c r="AC83" s="34">
        <f t="shared" si="18"/>
        <v>7.939914163</v>
      </c>
      <c r="AD83" s="35">
        <f t="shared" si="19"/>
        <v>-400316504.6</v>
      </c>
      <c r="AE83" s="36" t="str">
        <f t="shared" si="20"/>
        <v>Desceu</v>
      </c>
      <c r="AF83" s="38">
        <f>VLOOKUP(A83,Total_de_acoes!A:B,2,0)</f>
        <v>198184909</v>
      </c>
      <c r="AG83" s="30" t="str">
        <f>VLOOKUP(A83,Ticker!A:B,2,0)</f>
        <v>GOL</v>
      </c>
      <c r="AH83" s="30" t="str">
        <f>VLOOKUP(AG83,Segmento_Idade!A:C,2,0)</f>
        <v>Aéreo</v>
      </c>
      <c r="AI83" s="39">
        <f>VLOOKUP(AG83,Segmento_Idade!A:C,3,0)</f>
        <v>21</v>
      </c>
      <c r="AJ83" s="33" t="str">
        <f t="shared" si="21"/>
        <v>Menos de 50 anos</v>
      </c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7"/>
      <c r="O84" s="48"/>
      <c r="Q84" s="49"/>
      <c r="R84" s="50"/>
      <c r="S84" s="48"/>
      <c r="U84" s="49"/>
      <c r="V84" s="50"/>
      <c r="W84" s="48"/>
      <c r="Y84" s="49"/>
      <c r="Z84" s="50"/>
      <c r="AA84" s="48"/>
      <c r="AC84" s="49"/>
      <c r="AD84" s="50"/>
      <c r="AE84" s="48"/>
      <c r="AJ84" s="48"/>
    </row>
    <row r="85">
      <c r="A85" s="46"/>
      <c r="B85" s="46"/>
      <c r="C85" s="46"/>
      <c r="D85" s="46"/>
      <c r="E85" s="46"/>
      <c r="F85" s="46"/>
      <c r="G85" s="46"/>
      <c r="H85" s="51"/>
      <c r="I85" s="46"/>
      <c r="J85" s="46"/>
      <c r="K85" s="47"/>
      <c r="O85" s="48"/>
      <c r="Q85" s="49"/>
      <c r="R85" s="50"/>
      <c r="S85" s="48"/>
      <c r="U85" s="49"/>
      <c r="V85" s="50"/>
      <c r="W85" s="48"/>
      <c r="Y85" s="49"/>
      <c r="Z85" s="50"/>
      <c r="AA85" s="48"/>
      <c r="AC85" s="49"/>
      <c r="AD85" s="50"/>
      <c r="AE85" s="48"/>
      <c r="AJ85" s="48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7"/>
      <c r="O86" s="48"/>
      <c r="Q86" s="49"/>
      <c r="R86" s="50"/>
      <c r="S86" s="48"/>
      <c r="U86" s="49"/>
      <c r="V86" s="50"/>
      <c r="W86" s="48"/>
      <c r="Y86" s="49"/>
      <c r="Z86" s="50"/>
      <c r="AA86" s="48"/>
      <c r="AC86" s="49"/>
      <c r="AD86" s="50"/>
      <c r="AE86" s="48"/>
      <c r="AJ86" s="48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7"/>
      <c r="O87" s="48"/>
      <c r="Q87" s="49"/>
      <c r="R87" s="50"/>
      <c r="S87" s="48"/>
      <c r="U87" s="49"/>
      <c r="V87" s="50"/>
      <c r="W87" s="48"/>
      <c r="Y87" s="49"/>
      <c r="Z87" s="50"/>
      <c r="AA87" s="48"/>
      <c r="AC87" s="49"/>
      <c r="AD87" s="50"/>
      <c r="AE87" s="48"/>
      <c r="AJ87" s="48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7"/>
      <c r="O88" s="48"/>
      <c r="Q88" s="49"/>
      <c r="R88" s="50"/>
      <c r="S88" s="48"/>
      <c r="U88" s="49"/>
      <c r="V88" s="50"/>
      <c r="W88" s="48"/>
      <c r="Y88" s="49"/>
      <c r="Z88" s="50"/>
      <c r="AA88" s="48"/>
      <c r="AC88" s="49"/>
      <c r="AD88" s="50"/>
      <c r="AE88" s="48"/>
      <c r="AJ88" s="48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7"/>
      <c r="O89" s="48"/>
      <c r="Q89" s="49"/>
      <c r="R89" s="50"/>
      <c r="S89" s="48"/>
      <c r="U89" s="49"/>
      <c r="V89" s="50"/>
      <c r="W89" s="48"/>
      <c r="Y89" s="49"/>
      <c r="Z89" s="50"/>
      <c r="AA89" s="48"/>
      <c r="AC89" s="49"/>
      <c r="AD89" s="50"/>
      <c r="AE89" s="48"/>
      <c r="AJ89" s="48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7"/>
      <c r="O90" s="48"/>
      <c r="Q90" s="49"/>
      <c r="R90" s="50"/>
      <c r="S90" s="48"/>
      <c r="U90" s="49"/>
      <c r="V90" s="50"/>
      <c r="W90" s="48"/>
      <c r="Y90" s="49"/>
      <c r="Z90" s="50"/>
      <c r="AA90" s="48"/>
      <c r="AC90" s="49"/>
      <c r="AD90" s="50"/>
      <c r="AE90" s="48"/>
      <c r="AJ90" s="48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7"/>
      <c r="O91" s="48"/>
      <c r="Q91" s="49"/>
      <c r="R91" s="50"/>
      <c r="S91" s="48"/>
      <c r="U91" s="49"/>
      <c r="V91" s="50"/>
      <c r="W91" s="48"/>
      <c r="Y91" s="49"/>
      <c r="Z91" s="50"/>
      <c r="AA91" s="48"/>
      <c r="AC91" s="49"/>
      <c r="AD91" s="50"/>
      <c r="AE91" s="48"/>
      <c r="AJ91" s="48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7"/>
      <c r="O92" s="48"/>
      <c r="Q92" s="49"/>
      <c r="R92" s="50"/>
      <c r="S92" s="48"/>
      <c r="U92" s="49"/>
      <c r="V92" s="50"/>
      <c r="W92" s="48"/>
      <c r="Y92" s="49"/>
      <c r="Z92" s="50"/>
      <c r="AA92" s="48"/>
      <c r="AC92" s="49"/>
      <c r="AD92" s="50"/>
      <c r="AE92" s="48"/>
      <c r="AJ92" s="48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7"/>
      <c r="O93" s="48"/>
      <c r="Q93" s="49"/>
      <c r="R93" s="50"/>
      <c r="S93" s="48"/>
      <c r="U93" s="49"/>
      <c r="V93" s="50"/>
      <c r="W93" s="48"/>
      <c r="Y93" s="49"/>
      <c r="Z93" s="50"/>
      <c r="AA93" s="48"/>
      <c r="AC93" s="49"/>
      <c r="AD93" s="50"/>
      <c r="AE93" s="48"/>
      <c r="AJ93" s="48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7"/>
      <c r="O94" s="48"/>
      <c r="Q94" s="49"/>
      <c r="R94" s="50"/>
      <c r="S94" s="48"/>
      <c r="U94" s="49"/>
      <c r="V94" s="50"/>
      <c r="W94" s="48"/>
      <c r="Y94" s="49"/>
      <c r="Z94" s="50"/>
      <c r="AA94" s="48"/>
      <c r="AC94" s="49"/>
      <c r="AD94" s="50"/>
      <c r="AE94" s="48"/>
      <c r="AJ94" s="48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7"/>
      <c r="O95" s="48"/>
      <c r="Q95" s="49"/>
      <c r="R95" s="50"/>
      <c r="S95" s="48"/>
      <c r="U95" s="49"/>
      <c r="V95" s="50"/>
      <c r="W95" s="48"/>
      <c r="Y95" s="49"/>
      <c r="Z95" s="50"/>
      <c r="AA95" s="48"/>
      <c r="AC95" s="49"/>
      <c r="AD95" s="50"/>
      <c r="AE95" s="48"/>
      <c r="AJ95" s="48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7"/>
      <c r="O96" s="48"/>
      <c r="Q96" s="49"/>
      <c r="R96" s="50"/>
      <c r="S96" s="48"/>
      <c r="U96" s="49"/>
      <c r="V96" s="50"/>
      <c r="W96" s="48"/>
      <c r="Y96" s="49"/>
      <c r="Z96" s="50"/>
      <c r="AA96" s="48"/>
      <c r="AC96" s="49"/>
      <c r="AD96" s="50"/>
      <c r="AE96" s="48"/>
      <c r="AJ96" s="48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7"/>
      <c r="O97" s="48"/>
      <c r="Q97" s="49"/>
      <c r="R97" s="50"/>
      <c r="S97" s="48"/>
      <c r="U97" s="49"/>
      <c r="V97" s="50"/>
      <c r="W97" s="48"/>
      <c r="Y97" s="49"/>
      <c r="Z97" s="50"/>
      <c r="AA97" s="48"/>
      <c r="AC97" s="49"/>
      <c r="AD97" s="50"/>
      <c r="AE97" s="48"/>
      <c r="AJ97" s="48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7"/>
      <c r="O98" s="48"/>
      <c r="Q98" s="49"/>
      <c r="R98" s="50"/>
      <c r="S98" s="48"/>
      <c r="U98" s="49"/>
      <c r="V98" s="50"/>
      <c r="W98" s="48"/>
      <c r="Y98" s="49"/>
      <c r="Z98" s="50"/>
      <c r="AA98" s="48"/>
      <c r="AC98" s="49"/>
      <c r="AD98" s="50"/>
      <c r="AE98" s="48"/>
      <c r="AJ98" s="48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7"/>
      <c r="O99" s="48"/>
      <c r="Q99" s="49"/>
      <c r="R99" s="50"/>
      <c r="S99" s="48"/>
      <c r="U99" s="49"/>
      <c r="V99" s="50"/>
      <c r="W99" s="48"/>
      <c r="Y99" s="49"/>
      <c r="Z99" s="50"/>
      <c r="AA99" s="48"/>
      <c r="AC99" s="49"/>
      <c r="AD99" s="50"/>
      <c r="AE99" s="48"/>
      <c r="AJ99" s="48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7"/>
      <c r="O100" s="48"/>
      <c r="Q100" s="49"/>
      <c r="R100" s="50"/>
      <c r="S100" s="48"/>
      <c r="U100" s="49"/>
      <c r="V100" s="50"/>
      <c r="W100" s="48"/>
      <c r="Y100" s="49"/>
      <c r="Z100" s="50"/>
      <c r="AA100" s="48"/>
      <c r="AC100" s="49"/>
      <c r="AD100" s="50"/>
      <c r="AE100" s="48"/>
      <c r="AJ100" s="48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7"/>
      <c r="O101" s="48"/>
      <c r="Q101" s="49"/>
      <c r="R101" s="50"/>
      <c r="S101" s="48"/>
      <c r="U101" s="49"/>
      <c r="V101" s="50"/>
      <c r="W101" s="48"/>
      <c r="Y101" s="49"/>
      <c r="Z101" s="50"/>
      <c r="AA101" s="48"/>
      <c r="AC101" s="49"/>
      <c r="AD101" s="50"/>
      <c r="AE101" s="48"/>
      <c r="AJ101" s="48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7"/>
      <c r="O102" s="48"/>
      <c r="Q102" s="49"/>
      <c r="R102" s="50"/>
      <c r="S102" s="48"/>
      <c r="U102" s="49"/>
      <c r="V102" s="50"/>
      <c r="W102" s="48"/>
      <c r="Y102" s="49"/>
      <c r="Z102" s="50"/>
      <c r="AA102" s="48"/>
      <c r="AC102" s="49"/>
      <c r="AD102" s="50"/>
      <c r="AE102" s="48"/>
      <c r="AJ102" s="48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7"/>
      <c r="O103" s="48"/>
      <c r="Q103" s="49"/>
      <c r="R103" s="50"/>
      <c r="S103" s="48"/>
      <c r="U103" s="49"/>
      <c r="V103" s="50"/>
      <c r="W103" s="48"/>
      <c r="Y103" s="49"/>
      <c r="Z103" s="50"/>
      <c r="AA103" s="48"/>
      <c r="AC103" s="49"/>
      <c r="AD103" s="50"/>
      <c r="AE103" s="48"/>
      <c r="AJ103" s="48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7"/>
      <c r="O104" s="48"/>
      <c r="Q104" s="49"/>
      <c r="R104" s="50"/>
      <c r="S104" s="48"/>
      <c r="U104" s="49"/>
      <c r="V104" s="50"/>
      <c r="W104" s="48"/>
      <c r="Y104" s="49"/>
      <c r="Z104" s="50"/>
      <c r="AA104" s="48"/>
      <c r="AC104" s="49"/>
      <c r="AD104" s="50"/>
      <c r="AE104" s="48"/>
      <c r="AJ104" s="48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7"/>
      <c r="O105" s="48"/>
      <c r="Q105" s="49"/>
      <c r="R105" s="50"/>
      <c r="S105" s="48"/>
      <c r="U105" s="49"/>
      <c r="V105" s="50"/>
      <c r="W105" s="48"/>
      <c r="Y105" s="49"/>
      <c r="Z105" s="50"/>
      <c r="AA105" s="48"/>
      <c r="AC105" s="49"/>
      <c r="AD105" s="50"/>
      <c r="AE105" s="48"/>
      <c r="AJ105" s="48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7"/>
      <c r="O106" s="48"/>
      <c r="Q106" s="49"/>
      <c r="R106" s="50"/>
      <c r="S106" s="48"/>
      <c r="U106" s="49"/>
      <c r="V106" s="50"/>
      <c r="W106" s="48"/>
      <c r="Y106" s="49"/>
      <c r="Z106" s="50"/>
      <c r="AA106" s="48"/>
      <c r="AC106" s="49"/>
      <c r="AD106" s="50"/>
      <c r="AE106" s="48"/>
      <c r="AJ106" s="48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7"/>
      <c r="O107" s="48"/>
      <c r="Q107" s="49"/>
      <c r="R107" s="50"/>
      <c r="S107" s="48"/>
      <c r="U107" s="49"/>
      <c r="V107" s="50"/>
      <c r="W107" s="48"/>
      <c r="Y107" s="49"/>
      <c r="Z107" s="50"/>
      <c r="AA107" s="48"/>
      <c r="AC107" s="49"/>
      <c r="AD107" s="50"/>
      <c r="AE107" s="48"/>
      <c r="AJ107" s="48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7"/>
      <c r="O108" s="48"/>
      <c r="Q108" s="49"/>
      <c r="R108" s="50"/>
      <c r="S108" s="48"/>
      <c r="U108" s="49"/>
      <c r="V108" s="50"/>
      <c r="W108" s="48"/>
      <c r="Y108" s="49"/>
      <c r="Z108" s="50"/>
      <c r="AA108" s="48"/>
      <c r="AC108" s="49"/>
      <c r="AD108" s="50"/>
      <c r="AE108" s="48"/>
      <c r="AJ108" s="48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7"/>
      <c r="O109" s="48"/>
      <c r="Q109" s="49"/>
      <c r="R109" s="50"/>
      <c r="S109" s="48"/>
      <c r="U109" s="49"/>
      <c r="V109" s="50"/>
      <c r="W109" s="48"/>
      <c r="Y109" s="49"/>
      <c r="Z109" s="50"/>
      <c r="AA109" s="48"/>
      <c r="AC109" s="49"/>
      <c r="AD109" s="50"/>
      <c r="AE109" s="48"/>
      <c r="AJ109" s="48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7"/>
      <c r="O110" s="48"/>
      <c r="Q110" s="49"/>
      <c r="R110" s="50"/>
      <c r="S110" s="48"/>
      <c r="U110" s="49"/>
      <c r="V110" s="50"/>
      <c r="W110" s="48"/>
      <c r="Y110" s="49"/>
      <c r="Z110" s="50"/>
      <c r="AA110" s="48"/>
      <c r="AC110" s="49"/>
      <c r="AD110" s="50"/>
      <c r="AE110" s="48"/>
      <c r="AJ110" s="48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7"/>
      <c r="O111" s="48"/>
      <c r="Q111" s="49"/>
      <c r="R111" s="50"/>
      <c r="S111" s="48"/>
      <c r="U111" s="49"/>
      <c r="V111" s="50"/>
      <c r="W111" s="48"/>
      <c r="Y111" s="49"/>
      <c r="Z111" s="50"/>
      <c r="AA111" s="48"/>
      <c r="AC111" s="49"/>
      <c r="AD111" s="50"/>
      <c r="AE111" s="48"/>
      <c r="AJ111" s="48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7"/>
      <c r="O112" s="48"/>
      <c r="Q112" s="49"/>
      <c r="R112" s="50"/>
      <c r="S112" s="48"/>
      <c r="U112" s="49"/>
      <c r="V112" s="50"/>
      <c r="W112" s="48"/>
      <c r="Y112" s="49"/>
      <c r="Z112" s="50"/>
      <c r="AA112" s="48"/>
      <c r="AC112" s="49"/>
      <c r="AD112" s="50"/>
      <c r="AE112" s="48"/>
      <c r="AJ112" s="48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7"/>
      <c r="O113" s="48"/>
      <c r="Q113" s="49"/>
      <c r="R113" s="50"/>
      <c r="S113" s="48"/>
      <c r="U113" s="49"/>
      <c r="V113" s="50"/>
      <c r="W113" s="48"/>
      <c r="Y113" s="49"/>
      <c r="Z113" s="50"/>
      <c r="AA113" s="48"/>
      <c r="AC113" s="49"/>
      <c r="AD113" s="50"/>
      <c r="AE113" s="48"/>
      <c r="AJ113" s="48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7"/>
      <c r="O114" s="48"/>
      <c r="Q114" s="49"/>
      <c r="R114" s="50"/>
      <c r="S114" s="48"/>
      <c r="U114" s="49"/>
      <c r="V114" s="50"/>
      <c r="W114" s="48"/>
      <c r="Y114" s="49"/>
      <c r="Z114" s="50"/>
      <c r="AA114" s="48"/>
      <c r="AC114" s="49"/>
      <c r="AD114" s="50"/>
      <c r="AE114" s="48"/>
      <c r="AJ114" s="48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7"/>
      <c r="O115" s="48"/>
      <c r="Q115" s="49"/>
      <c r="R115" s="50"/>
      <c r="S115" s="48"/>
      <c r="U115" s="49"/>
      <c r="V115" s="50"/>
      <c r="W115" s="48"/>
      <c r="Y115" s="49"/>
      <c r="Z115" s="50"/>
      <c r="AA115" s="48"/>
      <c r="AC115" s="49"/>
      <c r="AD115" s="50"/>
      <c r="AE115" s="48"/>
      <c r="AJ115" s="48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7"/>
      <c r="O116" s="48"/>
      <c r="Q116" s="49"/>
      <c r="R116" s="50"/>
      <c r="S116" s="48"/>
      <c r="U116" s="49"/>
      <c r="V116" s="50"/>
      <c r="W116" s="48"/>
      <c r="Y116" s="49"/>
      <c r="Z116" s="50"/>
      <c r="AA116" s="48"/>
      <c r="AC116" s="49"/>
      <c r="AD116" s="50"/>
      <c r="AE116" s="48"/>
      <c r="AJ116" s="48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7"/>
      <c r="O117" s="48"/>
      <c r="Q117" s="49"/>
      <c r="R117" s="50"/>
      <c r="S117" s="48"/>
      <c r="U117" s="49"/>
      <c r="V117" s="50"/>
      <c r="W117" s="48"/>
      <c r="Y117" s="49"/>
      <c r="Z117" s="50"/>
      <c r="AA117" s="48"/>
      <c r="AC117" s="49"/>
      <c r="AD117" s="50"/>
      <c r="AE117" s="48"/>
      <c r="AJ117" s="48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7"/>
      <c r="O118" s="48"/>
      <c r="Q118" s="49"/>
      <c r="R118" s="50"/>
      <c r="S118" s="48"/>
      <c r="U118" s="49"/>
      <c r="V118" s="50"/>
      <c r="W118" s="48"/>
      <c r="Y118" s="49"/>
      <c r="Z118" s="50"/>
      <c r="AA118" s="48"/>
      <c r="AC118" s="49"/>
      <c r="AD118" s="50"/>
      <c r="AE118" s="48"/>
      <c r="AJ118" s="48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7"/>
      <c r="O119" s="48"/>
      <c r="Q119" s="49"/>
      <c r="R119" s="50"/>
      <c r="S119" s="48"/>
      <c r="U119" s="49"/>
      <c r="V119" s="50"/>
      <c r="W119" s="48"/>
      <c r="Y119" s="49"/>
      <c r="Z119" s="50"/>
      <c r="AA119" s="48"/>
      <c r="AC119" s="49"/>
      <c r="AD119" s="50"/>
      <c r="AE119" s="48"/>
      <c r="AJ119" s="48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7"/>
      <c r="O120" s="48"/>
      <c r="Q120" s="49"/>
      <c r="R120" s="50"/>
      <c r="S120" s="48"/>
      <c r="U120" s="49"/>
      <c r="V120" s="50"/>
      <c r="W120" s="48"/>
      <c r="Y120" s="49"/>
      <c r="Z120" s="50"/>
      <c r="AA120" s="48"/>
      <c r="AC120" s="49"/>
      <c r="AD120" s="50"/>
      <c r="AE120" s="48"/>
      <c r="AJ120" s="48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7"/>
      <c r="O121" s="48"/>
      <c r="Q121" s="49"/>
      <c r="R121" s="50"/>
      <c r="S121" s="48"/>
      <c r="U121" s="49"/>
      <c r="V121" s="50"/>
      <c r="W121" s="48"/>
      <c r="Y121" s="49"/>
      <c r="Z121" s="50"/>
      <c r="AA121" s="48"/>
      <c r="AC121" s="49"/>
      <c r="AD121" s="50"/>
      <c r="AE121" s="48"/>
      <c r="AJ121" s="48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7"/>
      <c r="O122" s="48"/>
      <c r="Q122" s="49"/>
      <c r="R122" s="50"/>
      <c r="S122" s="48"/>
      <c r="U122" s="49"/>
      <c r="V122" s="50"/>
      <c r="W122" s="48"/>
      <c r="Y122" s="49"/>
      <c r="Z122" s="50"/>
      <c r="AA122" s="48"/>
      <c r="AC122" s="49"/>
      <c r="AD122" s="50"/>
      <c r="AE122" s="48"/>
      <c r="AJ122" s="48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7"/>
      <c r="O123" s="48"/>
      <c r="Q123" s="49"/>
      <c r="R123" s="50"/>
      <c r="S123" s="48"/>
      <c r="U123" s="49"/>
      <c r="V123" s="50"/>
      <c r="W123" s="48"/>
      <c r="Y123" s="49"/>
      <c r="Z123" s="50"/>
      <c r="AA123" s="48"/>
      <c r="AC123" s="49"/>
      <c r="AD123" s="50"/>
      <c r="AE123" s="48"/>
      <c r="AJ123" s="48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7"/>
      <c r="O124" s="48"/>
      <c r="Q124" s="49"/>
      <c r="R124" s="50"/>
      <c r="S124" s="48"/>
      <c r="U124" s="49"/>
      <c r="V124" s="50"/>
      <c r="W124" s="48"/>
      <c r="Y124" s="49"/>
      <c r="Z124" s="50"/>
      <c r="AA124" s="48"/>
      <c r="AC124" s="49"/>
      <c r="AD124" s="50"/>
      <c r="AE124" s="48"/>
      <c r="AJ124" s="48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7"/>
      <c r="O125" s="48"/>
      <c r="Q125" s="49"/>
      <c r="R125" s="50"/>
      <c r="S125" s="48"/>
      <c r="U125" s="49"/>
      <c r="V125" s="50"/>
      <c r="W125" s="48"/>
      <c r="Y125" s="49"/>
      <c r="Z125" s="50"/>
      <c r="AA125" s="48"/>
      <c r="AC125" s="49"/>
      <c r="AD125" s="50"/>
      <c r="AE125" s="48"/>
      <c r="AJ125" s="48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7"/>
      <c r="O126" s="48"/>
      <c r="Q126" s="49"/>
      <c r="R126" s="50"/>
      <c r="S126" s="48"/>
      <c r="U126" s="49"/>
      <c r="V126" s="50"/>
      <c r="W126" s="48"/>
      <c r="Y126" s="49"/>
      <c r="Z126" s="50"/>
      <c r="AA126" s="48"/>
      <c r="AC126" s="49"/>
      <c r="AD126" s="50"/>
      <c r="AE126" s="48"/>
      <c r="AJ126" s="48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7"/>
      <c r="O127" s="48"/>
      <c r="Q127" s="49"/>
      <c r="R127" s="50"/>
      <c r="S127" s="48"/>
      <c r="U127" s="49"/>
      <c r="V127" s="50"/>
      <c r="W127" s="48"/>
      <c r="Y127" s="49"/>
      <c r="Z127" s="50"/>
      <c r="AA127" s="48"/>
      <c r="AC127" s="49"/>
      <c r="AD127" s="50"/>
      <c r="AE127" s="48"/>
      <c r="AJ127" s="48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7"/>
      <c r="O128" s="48"/>
      <c r="Q128" s="49"/>
      <c r="R128" s="50"/>
      <c r="S128" s="48"/>
      <c r="U128" s="49"/>
      <c r="V128" s="50"/>
      <c r="W128" s="48"/>
      <c r="Y128" s="49"/>
      <c r="Z128" s="50"/>
      <c r="AA128" s="48"/>
      <c r="AC128" s="49"/>
      <c r="AD128" s="50"/>
      <c r="AE128" s="48"/>
      <c r="AJ128" s="48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7"/>
      <c r="O129" s="48"/>
      <c r="Q129" s="49"/>
      <c r="R129" s="50"/>
      <c r="S129" s="48"/>
      <c r="U129" s="49"/>
      <c r="V129" s="50"/>
      <c r="W129" s="48"/>
      <c r="Y129" s="49"/>
      <c r="Z129" s="50"/>
      <c r="AA129" s="48"/>
      <c r="AC129" s="49"/>
      <c r="AD129" s="50"/>
      <c r="AE129" s="48"/>
      <c r="AJ129" s="48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7"/>
      <c r="O130" s="48"/>
      <c r="Q130" s="49"/>
      <c r="R130" s="50"/>
      <c r="S130" s="48"/>
      <c r="U130" s="49"/>
      <c r="V130" s="50"/>
      <c r="W130" s="48"/>
      <c r="Y130" s="49"/>
      <c r="Z130" s="50"/>
      <c r="AA130" s="48"/>
      <c r="AC130" s="49"/>
      <c r="AD130" s="50"/>
      <c r="AE130" s="48"/>
      <c r="AJ130" s="48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7"/>
      <c r="O131" s="48"/>
      <c r="Q131" s="49"/>
      <c r="R131" s="50"/>
      <c r="S131" s="48"/>
      <c r="U131" s="49"/>
      <c r="V131" s="50"/>
      <c r="W131" s="48"/>
      <c r="Y131" s="49"/>
      <c r="Z131" s="50"/>
      <c r="AA131" s="48"/>
      <c r="AC131" s="49"/>
      <c r="AD131" s="50"/>
      <c r="AE131" s="48"/>
      <c r="AJ131" s="48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7"/>
      <c r="O132" s="48"/>
      <c r="Q132" s="49"/>
      <c r="R132" s="50"/>
      <c r="S132" s="48"/>
      <c r="U132" s="49"/>
      <c r="V132" s="50"/>
      <c r="W132" s="48"/>
      <c r="Y132" s="49"/>
      <c r="Z132" s="50"/>
      <c r="AA132" s="48"/>
      <c r="AC132" s="49"/>
      <c r="AD132" s="50"/>
      <c r="AE132" s="48"/>
      <c r="AJ132" s="48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7"/>
      <c r="O133" s="48"/>
      <c r="Q133" s="49"/>
      <c r="R133" s="50"/>
      <c r="S133" s="48"/>
      <c r="U133" s="49"/>
      <c r="V133" s="50"/>
      <c r="W133" s="48"/>
      <c r="Y133" s="49"/>
      <c r="Z133" s="50"/>
      <c r="AA133" s="48"/>
      <c r="AC133" s="49"/>
      <c r="AD133" s="50"/>
      <c r="AE133" s="48"/>
      <c r="AJ133" s="48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7"/>
      <c r="O134" s="48"/>
      <c r="Q134" s="49"/>
      <c r="R134" s="50"/>
      <c r="S134" s="48"/>
      <c r="U134" s="49"/>
      <c r="V134" s="50"/>
      <c r="W134" s="48"/>
      <c r="Y134" s="49"/>
      <c r="Z134" s="50"/>
      <c r="AA134" s="48"/>
      <c r="AC134" s="49"/>
      <c r="AD134" s="50"/>
      <c r="AE134" s="48"/>
      <c r="AJ134" s="48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7"/>
      <c r="O135" s="48"/>
      <c r="Q135" s="49"/>
      <c r="R135" s="50"/>
      <c r="S135" s="48"/>
      <c r="U135" s="49"/>
      <c r="V135" s="50"/>
      <c r="W135" s="48"/>
      <c r="Y135" s="49"/>
      <c r="Z135" s="50"/>
      <c r="AA135" s="48"/>
      <c r="AC135" s="49"/>
      <c r="AD135" s="50"/>
      <c r="AE135" s="48"/>
      <c r="AJ135" s="48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7"/>
      <c r="O136" s="48"/>
      <c r="Q136" s="49"/>
      <c r="R136" s="50"/>
      <c r="S136" s="48"/>
      <c r="U136" s="49"/>
      <c r="V136" s="50"/>
      <c r="W136" s="48"/>
      <c r="Y136" s="49"/>
      <c r="Z136" s="50"/>
      <c r="AA136" s="48"/>
      <c r="AC136" s="49"/>
      <c r="AD136" s="50"/>
      <c r="AE136" s="48"/>
      <c r="AJ136" s="48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7"/>
      <c r="O137" s="48"/>
      <c r="Q137" s="49"/>
      <c r="R137" s="50"/>
      <c r="S137" s="48"/>
      <c r="U137" s="49"/>
      <c r="V137" s="50"/>
      <c r="W137" s="48"/>
      <c r="Y137" s="49"/>
      <c r="Z137" s="50"/>
      <c r="AA137" s="48"/>
      <c r="AC137" s="49"/>
      <c r="AD137" s="50"/>
      <c r="AE137" s="48"/>
      <c r="AJ137" s="48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7"/>
      <c r="O138" s="48"/>
      <c r="Q138" s="49"/>
      <c r="R138" s="50"/>
      <c r="S138" s="48"/>
      <c r="U138" s="49"/>
      <c r="V138" s="50"/>
      <c r="W138" s="48"/>
      <c r="Y138" s="49"/>
      <c r="Z138" s="50"/>
      <c r="AA138" s="48"/>
      <c r="AC138" s="49"/>
      <c r="AD138" s="50"/>
      <c r="AE138" s="48"/>
      <c r="AJ138" s="48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7"/>
      <c r="O139" s="48"/>
      <c r="Q139" s="49"/>
      <c r="R139" s="50"/>
      <c r="S139" s="48"/>
      <c r="U139" s="49"/>
      <c r="V139" s="50"/>
      <c r="W139" s="48"/>
      <c r="Y139" s="49"/>
      <c r="Z139" s="50"/>
      <c r="AA139" s="48"/>
      <c r="AC139" s="49"/>
      <c r="AD139" s="50"/>
      <c r="AE139" s="48"/>
      <c r="AJ139" s="48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7"/>
      <c r="O140" s="48"/>
      <c r="Q140" s="49"/>
      <c r="R140" s="50"/>
      <c r="S140" s="48"/>
      <c r="U140" s="49"/>
      <c r="V140" s="50"/>
      <c r="W140" s="48"/>
      <c r="Y140" s="49"/>
      <c r="Z140" s="50"/>
      <c r="AA140" s="48"/>
      <c r="AC140" s="49"/>
      <c r="AD140" s="50"/>
      <c r="AE140" s="48"/>
      <c r="AJ140" s="48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7"/>
      <c r="O141" s="48"/>
      <c r="Q141" s="49"/>
      <c r="R141" s="50"/>
      <c r="S141" s="48"/>
      <c r="U141" s="49"/>
      <c r="V141" s="50"/>
      <c r="W141" s="48"/>
      <c r="Y141" s="49"/>
      <c r="Z141" s="50"/>
      <c r="AA141" s="48"/>
      <c r="AC141" s="49"/>
      <c r="AD141" s="50"/>
      <c r="AE141" s="48"/>
      <c r="AJ141" s="48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7"/>
      <c r="O142" s="48"/>
      <c r="Q142" s="49"/>
      <c r="R142" s="50"/>
      <c r="S142" s="48"/>
      <c r="U142" s="49"/>
      <c r="V142" s="50"/>
      <c r="W142" s="48"/>
      <c r="Y142" s="49"/>
      <c r="Z142" s="50"/>
      <c r="AA142" s="48"/>
      <c r="AC142" s="49"/>
      <c r="AD142" s="50"/>
      <c r="AE142" s="48"/>
      <c r="AJ142" s="48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7"/>
      <c r="O143" s="48"/>
      <c r="Q143" s="49"/>
      <c r="R143" s="50"/>
      <c r="S143" s="48"/>
      <c r="U143" s="49"/>
      <c r="V143" s="50"/>
      <c r="W143" s="48"/>
      <c r="Y143" s="49"/>
      <c r="Z143" s="50"/>
      <c r="AA143" s="48"/>
      <c r="AC143" s="49"/>
      <c r="AD143" s="50"/>
      <c r="AE143" s="48"/>
      <c r="AJ143" s="48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7"/>
      <c r="O144" s="48"/>
      <c r="Q144" s="49"/>
      <c r="R144" s="50"/>
      <c r="S144" s="48"/>
      <c r="U144" s="49"/>
      <c r="V144" s="50"/>
      <c r="W144" s="48"/>
      <c r="Y144" s="49"/>
      <c r="Z144" s="50"/>
      <c r="AA144" s="48"/>
      <c r="AC144" s="49"/>
      <c r="AD144" s="50"/>
      <c r="AE144" s="48"/>
      <c r="AJ144" s="48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7"/>
      <c r="O145" s="48"/>
      <c r="Q145" s="49"/>
      <c r="R145" s="50"/>
      <c r="S145" s="48"/>
      <c r="U145" s="49"/>
      <c r="V145" s="50"/>
      <c r="W145" s="48"/>
      <c r="Y145" s="49"/>
      <c r="Z145" s="50"/>
      <c r="AA145" s="48"/>
      <c r="AC145" s="49"/>
      <c r="AD145" s="50"/>
      <c r="AE145" s="48"/>
      <c r="AJ145" s="48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7"/>
      <c r="O146" s="48"/>
      <c r="Q146" s="49"/>
      <c r="R146" s="50"/>
      <c r="S146" s="48"/>
      <c r="U146" s="49"/>
      <c r="V146" s="50"/>
      <c r="W146" s="48"/>
      <c r="Y146" s="49"/>
      <c r="Z146" s="50"/>
      <c r="AA146" s="48"/>
      <c r="AC146" s="49"/>
      <c r="AD146" s="50"/>
      <c r="AE146" s="48"/>
      <c r="AJ146" s="48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7"/>
      <c r="O147" s="48"/>
      <c r="Q147" s="49"/>
      <c r="R147" s="50"/>
      <c r="S147" s="48"/>
      <c r="U147" s="49"/>
      <c r="V147" s="50"/>
      <c r="W147" s="48"/>
      <c r="Y147" s="49"/>
      <c r="Z147" s="50"/>
      <c r="AA147" s="48"/>
      <c r="AC147" s="49"/>
      <c r="AD147" s="50"/>
      <c r="AE147" s="48"/>
      <c r="AJ147" s="48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7"/>
      <c r="O148" s="48"/>
      <c r="Q148" s="49"/>
      <c r="R148" s="50"/>
      <c r="S148" s="48"/>
      <c r="U148" s="49"/>
      <c r="V148" s="50"/>
      <c r="W148" s="48"/>
      <c r="Y148" s="49"/>
      <c r="Z148" s="50"/>
      <c r="AA148" s="48"/>
      <c r="AC148" s="49"/>
      <c r="AD148" s="50"/>
      <c r="AE148" s="48"/>
      <c r="AJ148" s="48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7"/>
      <c r="O149" s="48"/>
      <c r="Q149" s="49"/>
      <c r="R149" s="50"/>
      <c r="S149" s="48"/>
      <c r="U149" s="49"/>
      <c r="V149" s="50"/>
      <c r="W149" s="48"/>
      <c r="Y149" s="49"/>
      <c r="Z149" s="50"/>
      <c r="AA149" s="48"/>
      <c r="AC149" s="49"/>
      <c r="AD149" s="50"/>
      <c r="AE149" s="48"/>
      <c r="AJ149" s="48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7"/>
      <c r="O150" s="48"/>
      <c r="Q150" s="49"/>
      <c r="R150" s="50"/>
      <c r="S150" s="48"/>
      <c r="U150" s="49"/>
      <c r="V150" s="50"/>
      <c r="W150" s="48"/>
      <c r="Y150" s="49"/>
      <c r="Z150" s="50"/>
      <c r="AA150" s="48"/>
      <c r="AC150" s="49"/>
      <c r="AD150" s="50"/>
      <c r="AE150" s="48"/>
      <c r="AJ150" s="48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7"/>
      <c r="O151" s="48"/>
      <c r="Q151" s="49"/>
      <c r="R151" s="50"/>
      <c r="S151" s="48"/>
      <c r="U151" s="49"/>
      <c r="V151" s="50"/>
      <c r="W151" s="48"/>
      <c r="Y151" s="49"/>
      <c r="Z151" s="50"/>
      <c r="AA151" s="48"/>
      <c r="AC151" s="49"/>
      <c r="AD151" s="50"/>
      <c r="AE151" s="48"/>
      <c r="AJ151" s="48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7"/>
      <c r="O152" s="48"/>
      <c r="Q152" s="49"/>
      <c r="R152" s="50"/>
      <c r="S152" s="48"/>
      <c r="U152" s="49"/>
      <c r="V152" s="50"/>
      <c r="W152" s="48"/>
      <c r="Y152" s="49"/>
      <c r="Z152" s="50"/>
      <c r="AA152" s="48"/>
      <c r="AC152" s="49"/>
      <c r="AD152" s="50"/>
      <c r="AE152" s="48"/>
      <c r="AJ152" s="48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7"/>
      <c r="O153" s="48"/>
      <c r="Q153" s="49"/>
      <c r="R153" s="50"/>
      <c r="S153" s="48"/>
      <c r="U153" s="49"/>
      <c r="V153" s="50"/>
      <c r="W153" s="48"/>
      <c r="Y153" s="49"/>
      <c r="Z153" s="50"/>
      <c r="AA153" s="48"/>
      <c r="AC153" s="49"/>
      <c r="AD153" s="50"/>
      <c r="AE153" s="48"/>
      <c r="AJ153" s="48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7"/>
      <c r="O154" s="48"/>
      <c r="Q154" s="49"/>
      <c r="R154" s="50"/>
      <c r="S154" s="48"/>
      <c r="U154" s="49"/>
      <c r="V154" s="50"/>
      <c r="W154" s="48"/>
      <c r="Y154" s="49"/>
      <c r="Z154" s="50"/>
      <c r="AA154" s="48"/>
      <c r="AC154" s="49"/>
      <c r="AD154" s="50"/>
      <c r="AE154" s="48"/>
      <c r="AJ154" s="48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7"/>
      <c r="O155" s="48"/>
      <c r="Q155" s="49"/>
      <c r="R155" s="50"/>
      <c r="S155" s="48"/>
      <c r="U155" s="49"/>
      <c r="V155" s="50"/>
      <c r="W155" s="48"/>
      <c r="Y155" s="49"/>
      <c r="Z155" s="50"/>
      <c r="AA155" s="48"/>
      <c r="AC155" s="49"/>
      <c r="AD155" s="50"/>
      <c r="AE155" s="48"/>
      <c r="AJ155" s="48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7"/>
      <c r="O156" s="48"/>
      <c r="Q156" s="49"/>
      <c r="R156" s="50"/>
      <c r="S156" s="48"/>
      <c r="U156" s="49"/>
      <c r="V156" s="50"/>
      <c r="W156" s="48"/>
      <c r="Y156" s="49"/>
      <c r="Z156" s="50"/>
      <c r="AA156" s="48"/>
      <c r="AC156" s="49"/>
      <c r="AD156" s="50"/>
      <c r="AE156" s="48"/>
      <c r="AJ156" s="48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7"/>
      <c r="O157" s="48"/>
      <c r="Q157" s="49"/>
      <c r="R157" s="50"/>
      <c r="S157" s="48"/>
      <c r="U157" s="49"/>
      <c r="V157" s="50"/>
      <c r="W157" s="48"/>
      <c r="Y157" s="49"/>
      <c r="Z157" s="50"/>
      <c r="AA157" s="48"/>
      <c r="AC157" s="49"/>
      <c r="AD157" s="50"/>
      <c r="AE157" s="48"/>
      <c r="AJ157" s="48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7"/>
      <c r="O158" s="48"/>
      <c r="Q158" s="49"/>
      <c r="R158" s="50"/>
      <c r="S158" s="48"/>
      <c r="U158" s="49"/>
      <c r="V158" s="50"/>
      <c r="W158" s="48"/>
      <c r="Y158" s="49"/>
      <c r="Z158" s="50"/>
      <c r="AA158" s="48"/>
      <c r="AC158" s="49"/>
      <c r="AD158" s="50"/>
      <c r="AE158" s="48"/>
      <c r="AJ158" s="48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7"/>
      <c r="O159" s="48"/>
      <c r="Q159" s="49"/>
      <c r="R159" s="50"/>
      <c r="S159" s="48"/>
      <c r="U159" s="49"/>
      <c r="V159" s="50"/>
      <c r="W159" s="48"/>
      <c r="Y159" s="49"/>
      <c r="Z159" s="50"/>
      <c r="AA159" s="48"/>
      <c r="AC159" s="49"/>
      <c r="AD159" s="50"/>
      <c r="AE159" s="48"/>
      <c r="AJ159" s="48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7"/>
      <c r="O160" s="48"/>
      <c r="Q160" s="49"/>
      <c r="R160" s="50"/>
      <c r="S160" s="48"/>
      <c r="U160" s="49"/>
      <c r="V160" s="50"/>
      <c r="W160" s="48"/>
      <c r="Y160" s="49"/>
      <c r="Z160" s="50"/>
      <c r="AA160" s="48"/>
      <c r="AC160" s="49"/>
      <c r="AD160" s="50"/>
      <c r="AE160" s="48"/>
      <c r="AJ160" s="48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7"/>
      <c r="O161" s="48"/>
      <c r="Q161" s="49"/>
      <c r="R161" s="50"/>
      <c r="S161" s="48"/>
      <c r="U161" s="49"/>
      <c r="V161" s="50"/>
      <c r="W161" s="48"/>
      <c r="Y161" s="49"/>
      <c r="Z161" s="50"/>
      <c r="AA161" s="48"/>
      <c r="AC161" s="49"/>
      <c r="AD161" s="50"/>
      <c r="AE161" s="48"/>
      <c r="AJ161" s="48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7"/>
      <c r="O162" s="48"/>
      <c r="Q162" s="49"/>
      <c r="R162" s="50"/>
      <c r="S162" s="48"/>
      <c r="U162" s="49"/>
      <c r="V162" s="50"/>
      <c r="W162" s="48"/>
      <c r="Y162" s="49"/>
      <c r="Z162" s="50"/>
      <c r="AA162" s="48"/>
      <c r="AC162" s="49"/>
      <c r="AD162" s="50"/>
      <c r="AE162" s="48"/>
      <c r="AJ162" s="48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7"/>
      <c r="O163" s="48"/>
      <c r="Q163" s="49"/>
      <c r="R163" s="50"/>
      <c r="S163" s="48"/>
      <c r="U163" s="49"/>
      <c r="V163" s="50"/>
      <c r="W163" s="48"/>
      <c r="Y163" s="49"/>
      <c r="Z163" s="50"/>
      <c r="AA163" s="48"/>
      <c r="AC163" s="49"/>
      <c r="AD163" s="50"/>
      <c r="AE163" s="48"/>
      <c r="AJ163" s="48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7"/>
      <c r="O164" s="48"/>
      <c r="Q164" s="49"/>
      <c r="R164" s="50"/>
      <c r="S164" s="48"/>
      <c r="U164" s="49"/>
      <c r="V164" s="50"/>
      <c r="W164" s="48"/>
      <c r="Y164" s="49"/>
      <c r="Z164" s="50"/>
      <c r="AA164" s="48"/>
      <c r="AC164" s="49"/>
      <c r="AD164" s="50"/>
      <c r="AE164" s="48"/>
      <c r="AJ164" s="48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7"/>
      <c r="O165" s="48"/>
      <c r="Q165" s="49"/>
      <c r="R165" s="50"/>
      <c r="S165" s="48"/>
      <c r="U165" s="49"/>
      <c r="V165" s="50"/>
      <c r="W165" s="48"/>
      <c r="Y165" s="49"/>
      <c r="Z165" s="50"/>
      <c r="AA165" s="48"/>
      <c r="AC165" s="49"/>
      <c r="AD165" s="50"/>
      <c r="AE165" s="48"/>
      <c r="AJ165" s="48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7"/>
      <c r="O166" s="48"/>
      <c r="Q166" s="49"/>
      <c r="R166" s="50"/>
      <c r="S166" s="48"/>
      <c r="U166" s="49"/>
      <c r="V166" s="50"/>
      <c r="W166" s="48"/>
      <c r="Y166" s="49"/>
      <c r="Z166" s="50"/>
      <c r="AA166" s="48"/>
      <c r="AC166" s="49"/>
      <c r="AD166" s="50"/>
      <c r="AE166" s="48"/>
      <c r="AJ166" s="48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7"/>
      <c r="O167" s="48"/>
      <c r="Q167" s="49"/>
      <c r="R167" s="50"/>
      <c r="S167" s="48"/>
      <c r="U167" s="49"/>
      <c r="V167" s="50"/>
      <c r="W167" s="48"/>
      <c r="Y167" s="49"/>
      <c r="Z167" s="50"/>
      <c r="AA167" s="48"/>
      <c r="AC167" s="49"/>
      <c r="AD167" s="50"/>
      <c r="AE167" s="48"/>
      <c r="AJ167" s="48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7"/>
      <c r="O168" s="48"/>
      <c r="Q168" s="49"/>
      <c r="R168" s="50"/>
      <c r="S168" s="48"/>
      <c r="U168" s="49"/>
      <c r="V168" s="50"/>
      <c r="W168" s="48"/>
      <c r="Y168" s="49"/>
      <c r="Z168" s="50"/>
      <c r="AA168" s="48"/>
      <c r="AC168" s="49"/>
      <c r="AD168" s="50"/>
      <c r="AE168" s="48"/>
      <c r="AJ168" s="48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7"/>
      <c r="O169" s="48"/>
      <c r="Q169" s="49"/>
      <c r="R169" s="50"/>
      <c r="S169" s="48"/>
      <c r="U169" s="49"/>
      <c r="V169" s="50"/>
      <c r="W169" s="48"/>
      <c r="Y169" s="49"/>
      <c r="Z169" s="50"/>
      <c r="AA169" s="48"/>
      <c r="AC169" s="49"/>
      <c r="AD169" s="50"/>
      <c r="AE169" s="48"/>
      <c r="AJ169" s="48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7"/>
      <c r="O170" s="48"/>
      <c r="Q170" s="49"/>
      <c r="R170" s="50"/>
      <c r="S170" s="48"/>
      <c r="U170" s="49"/>
      <c r="V170" s="50"/>
      <c r="W170" s="48"/>
      <c r="Y170" s="49"/>
      <c r="Z170" s="50"/>
      <c r="AA170" s="48"/>
      <c r="AC170" s="49"/>
      <c r="AD170" s="50"/>
      <c r="AE170" s="48"/>
      <c r="AJ170" s="48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7"/>
      <c r="O171" s="48"/>
      <c r="Q171" s="49"/>
      <c r="R171" s="50"/>
      <c r="S171" s="48"/>
      <c r="U171" s="49"/>
      <c r="V171" s="50"/>
      <c r="W171" s="48"/>
      <c r="Y171" s="49"/>
      <c r="Z171" s="50"/>
      <c r="AA171" s="48"/>
      <c r="AC171" s="49"/>
      <c r="AD171" s="50"/>
      <c r="AE171" s="48"/>
      <c r="AJ171" s="48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7"/>
      <c r="O172" s="48"/>
      <c r="Q172" s="49"/>
      <c r="R172" s="50"/>
      <c r="S172" s="48"/>
      <c r="U172" s="49"/>
      <c r="V172" s="50"/>
      <c r="W172" s="48"/>
      <c r="Y172" s="49"/>
      <c r="Z172" s="50"/>
      <c r="AA172" s="48"/>
      <c r="AC172" s="49"/>
      <c r="AD172" s="50"/>
      <c r="AE172" s="48"/>
      <c r="AJ172" s="48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7"/>
      <c r="O173" s="48"/>
      <c r="Q173" s="49"/>
      <c r="R173" s="50"/>
      <c r="S173" s="48"/>
      <c r="U173" s="49"/>
      <c r="V173" s="50"/>
      <c r="W173" s="48"/>
      <c r="Y173" s="49"/>
      <c r="Z173" s="50"/>
      <c r="AA173" s="48"/>
      <c r="AC173" s="49"/>
      <c r="AD173" s="50"/>
      <c r="AE173" s="48"/>
      <c r="AJ173" s="48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7"/>
      <c r="O174" s="48"/>
      <c r="Q174" s="49"/>
      <c r="R174" s="50"/>
      <c r="S174" s="48"/>
      <c r="U174" s="49"/>
      <c r="V174" s="50"/>
      <c r="W174" s="48"/>
      <c r="Y174" s="49"/>
      <c r="Z174" s="50"/>
      <c r="AA174" s="48"/>
      <c r="AC174" s="49"/>
      <c r="AD174" s="50"/>
      <c r="AE174" s="48"/>
      <c r="AJ174" s="48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7"/>
      <c r="O175" s="48"/>
      <c r="Q175" s="49"/>
      <c r="R175" s="50"/>
      <c r="S175" s="48"/>
      <c r="U175" s="49"/>
      <c r="V175" s="50"/>
      <c r="W175" s="48"/>
      <c r="Y175" s="49"/>
      <c r="Z175" s="50"/>
      <c r="AA175" s="48"/>
      <c r="AC175" s="49"/>
      <c r="AD175" s="50"/>
      <c r="AE175" s="48"/>
      <c r="AJ175" s="48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7"/>
      <c r="O176" s="48"/>
      <c r="Q176" s="49"/>
      <c r="R176" s="50"/>
      <c r="S176" s="48"/>
      <c r="U176" s="49"/>
      <c r="V176" s="50"/>
      <c r="W176" s="48"/>
      <c r="Y176" s="49"/>
      <c r="Z176" s="50"/>
      <c r="AA176" s="48"/>
      <c r="AC176" s="49"/>
      <c r="AD176" s="50"/>
      <c r="AE176" s="48"/>
      <c r="AJ176" s="48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7"/>
      <c r="O177" s="48"/>
      <c r="Q177" s="49"/>
      <c r="R177" s="50"/>
      <c r="S177" s="48"/>
      <c r="U177" s="49"/>
      <c r="V177" s="50"/>
      <c r="W177" s="48"/>
      <c r="Y177" s="49"/>
      <c r="Z177" s="50"/>
      <c r="AA177" s="48"/>
      <c r="AC177" s="49"/>
      <c r="AD177" s="50"/>
      <c r="AE177" s="48"/>
      <c r="AJ177" s="48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7"/>
      <c r="O178" s="48"/>
      <c r="Q178" s="49"/>
      <c r="R178" s="50"/>
      <c r="S178" s="48"/>
      <c r="U178" s="49"/>
      <c r="V178" s="50"/>
      <c r="W178" s="48"/>
      <c r="Y178" s="49"/>
      <c r="Z178" s="50"/>
      <c r="AA178" s="48"/>
      <c r="AC178" s="49"/>
      <c r="AD178" s="50"/>
      <c r="AE178" s="48"/>
      <c r="AJ178" s="48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7"/>
      <c r="O179" s="48"/>
      <c r="Q179" s="49"/>
      <c r="R179" s="50"/>
      <c r="S179" s="48"/>
      <c r="U179" s="49"/>
      <c r="V179" s="50"/>
      <c r="W179" s="48"/>
      <c r="Y179" s="49"/>
      <c r="Z179" s="50"/>
      <c r="AA179" s="48"/>
      <c r="AC179" s="49"/>
      <c r="AD179" s="50"/>
      <c r="AE179" s="48"/>
      <c r="AJ179" s="48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7"/>
      <c r="O180" s="48"/>
      <c r="Q180" s="49"/>
      <c r="R180" s="50"/>
      <c r="S180" s="48"/>
      <c r="U180" s="49"/>
      <c r="V180" s="50"/>
      <c r="W180" s="48"/>
      <c r="Y180" s="49"/>
      <c r="Z180" s="50"/>
      <c r="AA180" s="48"/>
      <c r="AC180" s="49"/>
      <c r="AD180" s="50"/>
      <c r="AE180" s="48"/>
      <c r="AJ180" s="48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7"/>
      <c r="O181" s="48"/>
      <c r="Q181" s="49"/>
      <c r="R181" s="50"/>
      <c r="S181" s="48"/>
      <c r="U181" s="49"/>
      <c r="V181" s="50"/>
      <c r="W181" s="48"/>
      <c r="Y181" s="49"/>
      <c r="Z181" s="50"/>
      <c r="AA181" s="48"/>
      <c r="AC181" s="49"/>
      <c r="AD181" s="50"/>
      <c r="AE181" s="48"/>
      <c r="AJ181" s="48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7"/>
      <c r="O182" s="48"/>
      <c r="Q182" s="49"/>
      <c r="R182" s="50"/>
      <c r="S182" s="48"/>
      <c r="U182" s="49"/>
      <c r="V182" s="50"/>
      <c r="W182" s="48"/>
      <c r="Y182" s="49"/>
      <c r="Z182" s="50"/>
      <c r="AA182" s="48"/>
      <c r="AC182" s="49"/>
      <c r="AD182" s="50"/>
      <c r="AE182" s="48"/>
      <c r="AJ182" s="48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7"/>
      <c r="O183" s="48"/>
      <c r="Q183" s="49"/>
      <c r="R183" s="50"/>
      <c r="S183" s="48"/>
      <c r="U183" s="49"/>
      <c r="V183" s="50"/>
      <c r="W183" s="48"/>
      <c r="Y183" s="49"/>
      <c r="Z183" s="50"/>
      <c r="AA183" s="48"/>
      <c r="AC183" s="49"/>
      <c r="AD183" s="50"/>
      <c r="AE183" s="48"/>
      <c r="AJ183" s="48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7"/>
      <c r="O184" s="48"/>
      <c r="Q184" s="49"/>
      <c r="R184" s="50"/>
      <c r="S184" s="48"/>
      <c r="U184" s="49"/>
      <c r="V184" s="50"/>
      <c r="W184" s="48"/>
      <c r="Y184" s="49"/>
      <c r="Z184" s="50"/>
      <c r="AA184" s="48"/>
      <c r="AC184" s="49"/>
      <c r="AD184" s="50"/>
      <c r="AE184" s="48"/>
      <c r="AJ184" s="48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7"/>
      <c r="O185" s="48"/>
      <c r="Q185" s="49"/>
      <c r="R185" s="50"/>
      <c r="S185" s="48"/>
      <c r="U185" s="49"/>
      <c r="V185" s="50"/>
      <c r="W185" s="48"/>
      <c r="Y185" s="49"/>
      <c r="Z185" s="50"/>
      <c r="AA185" s="48"/>
      <c r="AC185" s="49"/>
      <c r="AD185" s="50"/>
      <c r="AE185" s="48"/>
      <c r="AJ185" s="48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7"/>
      <c r="O186" s="48"/>
      <c r="Q186" s="49"/>
      <c r="R186" s="50"/>
      <c r="S186" s="48"/>
      <c r="U186" s="49"/>
      <c r="V186" s="50"/>
      <c r="W186" s="48"/>
      <c r="Y186" s="49"/>
      <c r="Z186" s="50"/>
      <c r="AA186" s="48"/>
      <c r="AC186" s="49"/>
      <c r="AD186" s="50"/>
      <c r="AE186" s="48"/>
      <c r="AJ186" s="48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7"/>
      <c r="O187" s="48"/>
      <c r="Q187" s="49"/>
      <c r="R187" s="50"/>
      <c r="S187" s="48"/>
      <c r="U187" s="49"/>
      <c r="V187" s="50"/>
      <c r="W187" s="48"/>
      <c r="Y187" s="49"/>
      <c r="Z187" s="50"/>
      <c r="AA187" s="48"/>
      <c r="AC187" s="49"/>
      <c r="AD187" s="50"/>
      <c r="AE187" s="48"/>
      <c r="AJ187" s="48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7"/>
      <c r="O188" s="48"/>
      <c r="Q188" s="49"/>
      <c r="R188" s="50"/>
      <c r="S188" s="48"/>
      <c r="U188" s="49"/>
      <c r="V188" s="50"/>
      <c r="W188" s="48"/>
      <c r="Y188" s="49"/>
      <c r="Z188" s="50"/>
      <c r="AA188" s="48"/>
      <c r="AC188" s="49"/>
      <c r="AD188" s="50"/>
      <c r="AE188" s="48"/>
      <c r="AJ188" s="48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7"/>
      <c r="O189" s="48"/>
      <c r="Q189" s="49"/>
      <c r="R189" s="50"/>
      <c r="S189" s="48"/>
      <c r="U189" s="49"/>
      <c r="V189" s="50"/>
      <c r="W189" s="48"/>
      <c r="Y189" s="49"/>
      <c r="Z189" s="50"/>
      <c r="AA189" s="48"/>
      <c r="AC189" s="49"/>
      <c r="AD189" s="50"/>
      <c r="AE189" s="48"/>
      <c r="AJ189" s="48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7"/>
      <c r="O190" s="48"/>
      <c r="Q190" s="49"/>
      <c r="R190" s="50"/>
      <c r="S190" s="48"/>
      <c r="U190" s="49"/>
      <c r="V190" s="50"/>
      <c r="W190" s="48"/>
      <c r="Y190" s="49"/>
      <c r="Z190" s="50"/>
      <c r="AA190" s="48"/>
      <c r="AC190" s="49"/>
      <c r="AD190" s="50"/>
      <c r="AE190" s="48"/>
      <c r="AJ190" s="48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7"/>
      <c r="O191" s="48"/>
      <c r="Q191" s="49"/>
      <c r="R191" s="50"/>
      <c r="S191" s="48"/>
      <c r="U191" s="49"/>
      <c r="V191" s="50"/>
      <c r="W191" s="48"/>
      <c r="Y191" s="49"/>
      <c r="Z191" s="50"/>
      <c r="AA191" s="48"/>
      <c r="AC191" s="49"/>
      <c r="AD191" s="50"/>
      <c r="AE191" s="48"/>
      <c r="AJ191" s="48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7"/>
      <c r="O192" s="48"/>
      <c r="Q192" s="49"/>
      <c r="R192" s="50"/>
      <c r="S192" s="48"/>
      <c r="U192" s="49"/>
      <c r="V192" s="50"/>
      <c r="W192" s="48"/>
      <c r="Y192" s="49"/>
      <c r="Z192" s="50"/>
      <c r="AA192" s="48"/>
      <c r="AC192" s="49"/>
      <c r="AD192" s="50"/>
      <c r="AE192" s="48"/>
      <c r="AJ192" s="48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7"/>
      <c r="O193" s="48"/>
      <c r="Q193" s="49"/>
      <c r="R193" s="50"/>
      <c r="S193" s="48"/>
      <c r="U193" s="49"/>
      <c r="V193" s="50"/>
      <c r="W193" s="48"/>
      <c r="Y193" s="49"/>
      <c r="Z193" s="50"/>
      <c r="AA193" s="48"/>
      <c r="AC193" s="49"/>
      <c r="AD193" s="50"/>
      <c r="AE193" s="48"/>
      <c r="AJ193" s="48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7"/>
      <c r="O194" s="48"/>
      <c r="Q194" s="49"/>
      <c r="R194" s="50"/>
      <c r="S194" s="48"/>
      <c r="U194" s="49"/>
      <c r="V194" s="50"/>
      <c r="W194" s="48"/>
      <c r="Y194" s="49"/>
      <c r="Z194" s="50"/>
      <c r="AA194" s="48"/>
      <c r="AC194" s="49"/>
      <c r="AD194" s="50"/>
      <c r="AE194" s="48"/>
      <c r="AJ194" s="48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7"/>
      <c r="O195" s="48"/>
      <c r="Q195" s="49"/>
      <c r="R195" s="50"/>
      <c r="S195" s="48"/>
      <c r="U195" s="49"/>
      <c r="V195" s="50"/>
      <c r="W195" s="48"/>
      <c r="Y195" s="49"/>
      <c r="Z195" s="50"/>
      <c r="AA195" s="48"/>
      <c r="AC195" s="49"/>
      <c r="AD195" s="50"/>
      <c r="AE195" s="48"/>
      <c r="AJ195" s="48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7"/>
      <c r="O196" s="48"/>
      <c r="Q196" s="49"/>
      <c r="R196" s="50"/>
      <c r="S196" s="48"/>
      <c r="U196" s="49"/>
      <c r="V196" s="50"/>
      <c r="W196" s="48"/>
      <c r="Y196" s="49"/>
      <c r="Z196" s="50"/>
      <c r="AA196" s="48"/>
      <c r="AC196" s="49"/>
      <c r="AD196" s="50"/>
      <c r="AE196" s="48"/>
      <c r="AJ196" s="48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7"/>
      <c r="O197" s="48"/>
      <c r="Q197" s="49"/>
      <c r="R197" s="50"/>
      <c r="S197" s="48"/>
      <c r="U197" s="49"/>
      <c r="V197" s="50"/>
      <c r="W197" s="48"/>
      <c r="Y197" s="49"/>
      <c r="Z197" s="50"/>
      <c r="AA197" s="48"/>
      <c r="AC197" s="49"/>
      <c r="AD197" s="50"/>
      <c r="AE197" s="48"/>
      <c r="AJ197" s="48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7"/>
      <c r="O198" s="48"/>
      <c r="Q198" s="49"/>
      <c r="R198" s="50"/>
      <c r="S198" s="48"/>
      <c r="U198" s="49"/>
      <c r="V198" s="50"/>
      <c r="W198" s="48"/>
      <c r="Y198" s="49"/>
      <c r="Z198" s="50"/>
      <c r="AA198" s="48"/>
      <c r="AC198" s="49"/>
      <c r="AD198" s="50"/>
      <c r="AE198" s="48"/>
      <c r="AJ198" s="48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7"/>
      <c r="O199" s="48"/>
      <c r="Q199" s="49"/>
      <c r="R199" s="50"/>
      <c r="S199" s="48"/>
      <c r="U199" s="49"/>
      <c r="V199" s="50"/>
      <c r="W199" s="48"/>
      <c r="Y199" s="49"/>
      <c r="Z199" s="50"/>
      <c r="AA199" s="48"/>
      <c r="AC199" s="49"/>
      <c r="AD199" s="50"/>
      <c r="AE199" s="48"/>
      <c r="AJ199" s="48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7"/>
      <c r="O200" s="48"/>
      <c r="Q200" s="49"/>
      <c r="R200" s="50"/>
      <c r="S200" s="48"/>
      <c r="U200" s="49"/>
      <c r="V200" s="50"/>
      <c r="W200" s="48"/>
      <c r="Y200" s="49"/>
      <c r="Z200" s="50"/>
      <c r="AA200" s="48"/>
      <c r="AC200" s="49"/>
      <c r="AD200" s="50"/>
      <c r="AE200" s="48"/>
      <c r="AJ200" s="48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7"/>
      <c r="O201" s="48"/>
      <c r="Q201" s="49"/>
      <c r="R201" s="50"/>
      <c r="S201" s="48"/>
      <c r="U201" s="49"/>
      <c r="V201" s="50"/>
      <c r="W201" s="48"/>
      <c r="Y201" s="49"/>
      <c r="Z201" s="50"/>
      <c r="AA201" s="48"/>
      <c r="AC201" s="49"/>
      <c r="AD201" s="50"/>
      <c r="AE201" s="48"/>
      <c r="AJ201" s="48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7"/>
      <c r="O202" s="48"/>
      <c r="Q202" s="49"/>
      <c r="R202" s="50"/>
      <c r="S202" s="48"/>
      <c r="U202" s="49"/>
      <c r="V202" s="50"/>
      <c r="W202" s="48"/>
      <c r="Y202" s="49"/>
      <c r="Z202" s="50"/>
      <c r="AA202" s="48"/>
      <c r="AC202" s="49"/>
      <c r="AD202" s="50"/>
      <c r="AE202" s="48"/>
      <c r="AJ202" s="48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7"/>
      <c r="O203" s="48"/>
      <c r="Q203" s="49"/>
      <c r="R203" s="50"/>
      <c r="S203" s="48"/>
      <c r="U203" s="49"/>
      <c r="V203" s="50"/>
      <c r="W203" s="48"/>
      <c r="Y203" s="49"/>
      <c r="Z203" s="50"/>
      <c r="AA203" s="48"/>
      <c r="AC203" s="49"/>
      <c r="AD203" s="50"/>
      <c r="AE203" s="48"/>
      <c r="AJ203" s="48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7"/>
      <c r="O204" s="48"/>
      <c r="Q204" s="49"/>
      <c r="R204" s="50"/>
      <c r="S204" s="48"/>
      <c r="U204" s="49"/>
      <c r="V204" s="50"/>
      <c r="W204" s="48"/>
      <c r="Y204" s="49"/>
      <c r="Z204" s="50"/>
      <c r="AA204" s="48"/>
      <c r="AC204" s="49"/>
      <c r="AD204" s="50"/>
      <c r="AE204" s="48"/>
      <c r="AJ204" s="48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7"/>
      <c r="O205" s="48"/>
      <c r="Q205" s="49"/>
      <c r="R205" s="50"/>
      <c r="S205" s="48"/>
      <c r="U205" s="49"/>
      <c r="V205" s="50"/>
      <c r="W205" s="48"/>
      <c r="Y205" s="49"/>
      <c r="Z205" s="50"/>
      <c r="AA205" s="48"/>
      <c r="AC205" s="49"/>
      <c r="AD205" s="50"/>
      <c r="AE205" s="48"/>
      <c r="AJ205" s="48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7"/>
      <c r="O206" s="48"/>
      <c r="Q206" s="49"/>
      <c r="R206" s="50"/>
      <c r="S206" s="48"/>
      <c r="U206" s="49"/>
      <c r="V206" s="50"/>
      <c r="W206" s="48"/>
      <c r="Y206" s="49"/>
      <c r="Z206" s="50"/>
      <c r="AA206" s="48"/>
      <c r="AC206" s="49"/>
      <c r="AD206" s="50"/>
      <c r="AE206" s="48"/>
      <c r="AJ206" s="48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7"/>
      <c r="O207" s="48"/>
      <c r="Q207" s="49"/>
      <c r="R207" s="50"/>
      <c r="S207" s="48"/>
      <c r="U207" s="49"/>
      <c r="V207" s="50"/>
      <c r="W207" s="48"/>
      <c r="Y207" s="49"/>
      <c r="Z207" s="50"/>
      <c r="AA207" s="48"/>
      <c r="AC207" s="49"/>
      <c r="AD207" s="50"/>
      <c r="AE207" s="48"/>
      <c r="AJ207" s="48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7"/>
      <c r="O208" s="48"/>
      <c r="Q208" s="49"/>
      <c r="R208" s="50"/>
      <c r="S208" s="48"/>
      <c r="U208" s="49"/>
      <c r="V208" s="50"/>
      <c r="W208" s="48"/>
      <c r="Y208" s="49"/>
      <c r="Z208" s="50"/>
      <c r="AA208" s="48"/>
      <c r="AC208" s="49"/>
      <c r="AD208" s="50"/>
      <c r="AE208" s="48"/>
      <c r="AJ208" s="48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7"/>
      <c r="O209" s="48"/>
      <c r="Q209" s="49"/>
      <c r="R209" s="50"/>
      <c r="S209" s="48"/>
      <c r="U209" s="49"/>
      <c r="V209" s="50"/>
      <c r="W209" s="48"/>
      <c r="Y209" s="49"/>
      <c r="Z209" s="50"/>
      <c r="AA209" s="48"/>
      <c r="AC209" s="49"/>
      <c r="AD209" s="50"/>
      <c r="AE209" s="48"/>
      <c r="AJ209" s="48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7"/>
      <c r="O210" s="48"/>
      <c r="Q210" s="49"/>
      <c r="R210" s="50"/>
      <c r="S210" s="48"/>
      <c r="U210" s="49"/>
      <c r="V210" s="50"/>
      <c r="W210" s="48"/>
      <c r="Y210" s="49"/>
      <c r="Z210" s="50"/>
      <c r="AA210" s="48"/>
      <c r="AC210" s="49"/>
      <c r="AD210" s="50"/>
      <c r="AE210" s="48"/>
      <c r="AJ210" s="48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7"/>
      <c r="O211" s="48"/>
      <c r="Q211" s="49"/>
      <c r="R211" s="50"/>
      <c r="S211" s="48"/>
      <c r="U211" s="49"/>
      <c r="V211" s="50"/>
      <c r="W211" s="48"/>
      <c r="Y211" s="49"/>
      <c r="Z211" s="50"/>
      <c r="AA211" s="48"/>
      <c r="AC211" s="49"/>
      <c r="AD211" s="50"/>
      <c r="AE211" s="48"/>
      <c r="AJ211" s="48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7"/>
      <c r="O212" s="48"/>
      <c r="Q212" s="49"/>
      <c r="R212" s="50"/>
      <c r="S212" s="48"/>
      <c r="U212" s="49"/>
      <c r="V212" s="50"/>
      <c r="W212" s="48"/>
      <c r="Y212" s="49"/>
      <c r="Z212" s="50"/>
      <c r="AA212" s="48"/>
      <c r="AC212" s="49"/>
      <c r="AD212" s="50"/>
      <c r="AE212" s="48"/>
      <c r="AJ212" s="48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7"/>
      <c r="O213" s="48"/>
      <c r="Q213" s="49"/>
      <c r="R213" s="50"/>
      <c r="S213" s="48"/>
      <c r="U213" s="49"/>
      <c r="V213" s="50"/>
      <c r="W213" s="48"/>
      <c r="Y213" s="49"/>
      <c r="Z213" s="50"/>
      <c r="AA213" s="48"/>
      <c r="AC213" s="49"/>
      <c r="AD213" s="50"/>
      <c r="AE213" s="48"/>
      <c r="AJ213" s="48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7"/>
      <c r="O214" s="48"/>
      <c r="Q214" s="49"/>
      <c r="R214" s="50"/>
      <c r="S214" s="48"/>
      <c r="U214" s="49"/>
      <c r="V214" s="50"/>
      <c r="W214" s="48"/>
      <c r="Y214" s="49"/>
      <c r="Z214" s="50"/>
      <c r="AA214" s="48"/>
      <c r="AC214" s="49"/>
      <c r="AD214" s="50"/>
      <c r="AE214" s="48"/>
      <c r="AJ214" s="48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7"/>
      <c r="O215" s="48"/>
      <c r="Q215" s="49"/>
      <c r="R215" s="50"/>
      <c r="S215" s="48"/>
      <c r="U215" s="49"/>
      <c r="V215" s="50"/>
      <c r="W215" s="48"/>
      <c r="Y215" s="49"/>
      <c r="Z215" s="50"/>
      <c r="AA215" s="48"/>
      <c r="AC215" s="49"/>
      <c r="AD215" s="50"/>
      <c r="AE215" s="48"/>
      <c r="AJ215" s="48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7"/>
      <c r="O216" s="48"/>
      <c r="Q216" s="49"/>
      <c r="R216" s="50"/>
      <c r="S216" s="48"/>
      <c r="U216" s="49"/>
      <c r="V216" s="50"/>
      <c r="W216" s="48"/>
      <c r="Y216" s="49"/>
      <c r="Z216" s="50"/>
      <c r="AA216" s="48"/>
      <c r="AC216" s="49"/>
      <c r="AD216" s="50"/>
      <c r="AE216" s="48"/>
      <c r="AJ216" s="48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7"/>
      <c r="O217" s="48"/>
      <c r="Q217" s="49"/>
      <c r="R217" s="50"/>
      <c r="S217" s="48"/>
      <c r="U217" s="49"/>
      <c r="V217" s="50"/>
      <c r="W217" s="48"/>
      <c r="Y217" s="49"/>
      <c r="Z217" s="50"/>
      <c r="AA217" s="48"/>
      <c r="AC217" s="49"/>
      <c r="AD217" s="50"/>
      <c r="AE217" s="48"/>
      <c r="AJ217" s="48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7"/>
      <c r="O218" s="48"/>
      <c r="Q218" s="49"/>
      <c r="R218" s="50"/>
      <c r="S218" s="48"/>
      <c r="U218" s="49"/>
      <c r="V218" s="50"/>
      <c r="W218" s="48"/>
      <c r="Y218" s="49"/>
      <c r="Z218" s="50"/>
      <c r="AA218" s="48"/>
      <c r="AC218" s="49"/>
      <c r="AD218" s="50"/>
      <c r="AE218" s="48"/>
      <c r="AJ218" s="48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7"/>
      <c r="O219" s="48"/>
      <c r="Q219" s="49"/>
      <c r="R219" s="50"/>
      <c r="S219" s="48"/>
      <c r="U219" s="49"/>
      <c r="V219" s="50"/>
      <c r="W219" s="48"/>
      <c r="Y219" s="49"/>
      <c r="Z219" s="50"/>
      <c r="AA219" s="48"/>
      <c r="AC219" s="49"/>
      <c r="AD219" s="50"/>
      <c r="AE219" s="48"/>
      <c r="AJ219" s="48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7"/>
      <c r="O220" s="48"/>
      <c r="Q220" s="49"/>
      <c r="R220" s="50"/>
      <c r="S220" s="48"/>
      <c r="U220" s="49"/>
      <c r="V220" s="50"/>
      <c r="W220" s="48"/>
      <c r="Y220" s="49"/>
      <c r="Z220" s="50"/>
      <c r="AA220" s="48"/>
      <c r="AC220" s="49"/>
      <c r="AD220" s="50"/>
      <c r="AE220" s="48"/>
      <c r="AJ220" s="48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7"/>
      <c r="O221" s="48"/>
      <c r="Q221" s="49"/>
      <c r="R221" s="50"/>
      <c r="S221" s="48"/>
      <c r="U221" s="49"/>
      <c r="V221" s="50"/>
      <c r="W221" s="48"/>
      <c r="Y221" s="49"/>
      <c r="Z221" s="50"/>
      <c r="AA221" s="48"/>
      <c r="AC221" s="49"/>
      <c r="AD221" s="50"/>
      <c r="AE221" s="48"/>
      <c r="AJ221" s="48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7"/>
      <c r="O222" s="48"/>
      <c r="Q222" s="49"/>
      <c r="R222" s="50"/>
      <c r="S222" s="48"/>
      <c r="U222" s="49"/>
      <c r="V222" s="50"/>
      <c r="W222" s="48"/>
      <c r="Y222" s="49"/>
      <c r="Z222" s="50"/>
      <c r="AA222" s="48"/>
      <c r="AC222" s="49"/>
      <c r="AD222" s="50"/>
      <c r="AE222" s="48"/>
      <c r="AJ222" s="48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7"/>
      <c r="O223" s="48"/>
      <c r="Q223" s="49"/>
      <c r="R223" s="50"/>
      <c r="S223" s="48"/>
      <c r="U223" s="49"/>
      <c r="V223" s="50"/>
      <c r="W223" s="48"/>
      <c r="Y223" s="49"/>
      <c r="Z223" s="50"/>
      <c r="AA223" s="48"/>
      <c r="AC223" s="49"/>
      <c r="AD223" s="50"/>
      <c r="AE223" s="48"/>
      <c r="AJ223" s="48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7"/>
      <c r="O224" s="48"/>
      <c r="Q224" s="49"/>
      <c r="R224" s="50"/>
      <c r="S224" s="48"/>
      <c r="U224" s="49"/>
      <c r="V224" s="50"/>
      <c r="W224" s="48"/>
      <c r="Y224" s="49"/>
      <c r="Z224" s="50"/>
      <c r="AA224" s="48"/>
      <c r="AC224" s="49"/>
      <c r="AD224" s="50"/>
      <c r="AE224" s="48"/>
      <c r="AJ224" s="48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7"/>
      <c r="O225" s="48"/>
      <c r="Q225" s="49"/>
      <c r="R225" s="50"/>
      <c r="S225" s="48"/>
      <c r="U225" s="49"/>
      <c r="V225" s="50"/>
      <c r="W225" s="48"/>
      <c r="Y225" s="49"/>
      <c r="Z225" s="50"/>
      <c r="AA225" s="48"/>
      <c r="AC225" s="49"/>
      <c r="AD225" s="50"/>
      <c r="AE225" s="48"/>
      <c r="AJ225" s="48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7"/>
      <c r="O226" s="48"/>
      <c r="Q226" s="49"/>
      <c r="R226" s="50"/>
      <c r="S226" s="48"/>
      <c r="U226" s="49"/>
      <c r="V226" s="50"/>
      <c r="W226" s="48"/>
      <c r="Y226" s="49"/>
      <c r="Z226" s="50"/>
      <c r="AA226" s="48"/>
      <c r="AC226" s="49"/>
      <c r="AD226" s="50"/>
      <c r="AE226" s="48"/>
      <c r="AJ226" s="48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7"/>
      <c r="O227" s="48"/>
      <c r="Q227" s="49"/>
      <c r="R227" s="50"/>
      <c r="S227" s="48"/>
      <c r="U227" s="49"/>
      <c r="V227" s="50"/>
      <c r="W227" s="48"/>
      <c r="Y227" s="49"/>
      <c r="Z227" s="50"/>
      <c r="AA227" s="48"/>
      <c r="AC227" s="49"/>
      <c r="AD227" s="50"/>
      <c r="AE227" s="48"/>
      <c r="AJ227" s="48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7"/>
      <c r="O228" s="48"/>
      <c r="Q228" s="49"/>
      <c r="R228" s="50"/>
      <c r="S228" s="48"/>
      <c r="U228" s="49"/>
      <c r="V228" s="50"/>
      <c r="W228" s="48"/>
      <c r="Y228" s="49"/>
      <c r="Z228" s="50"/>
      <c r="AA228" s="48"/>
      <c r="AC228" s="49"/>
      <c r="AD228" s="50"/>
      <c r="AE228" s="48"/>
      <c r="AJ228" s="48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7"/>
      <c r="O229" s="48"/>
      <c r="Q229" s="49"/>
      <c r="R229" s="50"/>
      <c r="S229" s="48"/>
      <c r="U229" s="49"/>
      <c r="V229" s="50"/>
      <c r="W229" s="48"/>
      <c r="Y229" s="49"/>
      <c r="Z229" s="50"/>
      <c r="AA229" s="48"/>
      <c r="AC229" s="49"/>
      <c r="AD229" s="50"/>
      <c r="AE229" s="48"/>
      <c r="AJ229" s="48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7"/>
      <c r="O230" s="48"/>
      <c r="Q230" s="49"/>
      <c r="R230" s="50"/>
      <c r="S230" s="48"/>
      <c r="U230" s="49"/>
      <c r="V230" s="50"/>
      <c r="W230" s="48"/>
      <c r="Y230" s="49"/>
      <c r="Z230" s="50"/>
      <c r="AA230" s="48"/>
      <c r="AC230" s="49"/>
      <c r="AD230" s="50"/>
      <c r="AE230" s="48"/>
      <c r="AJ230" s="48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7"/>
      <c r="O231" s="48"/>
      <c r="Q231" s="49"/>
      <c r="R231" s="50"/>
      <c r="S231" s="48"/>
      <c r="U231" s="49"/>
      <c r="V231" s="50"/>
      <c r="W231" s="48"/>
      <c r="Y231" s="49"/>
      <c r="Z231" s="50"/>
      <c r="AA231" s="48"/>
      <c r="AC231" s="49"/>
      <c r="AD231" s="50"/>
      <c r="AE231" s="48"/>
      <c r="AJ231" s="48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7"/>
      <c r="O232" s="48"/>
      <c r="Q232" s="49"/>
      <c r="R232" s="50"/>
      <c r="S232" s="48"/>
      <c r="U232" s="49"/>
      <c r="V232" s="50"/>
      <c r="W232" s="48"/>
      <c r="Y232" s="49"/>
      <c r="Z232" s="50"/>
      <c r="AA232" s="48"/>
      <c r="AC232" s="49"/>
      <c r="AD232" s="50"/>
      <c r="AE232" s="48"/>
      <c r="AJ232" s="48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7"/>
      <c r="O233" s="48"/>
      <c r="Q233" s="49"/>
      <c r="R233" s="50"/>
      <c r="S233" s="48"/>
      <c r="U233" s="49"/>
      <c r="V233" s="50"/>
      <c r="W233" s="48"/>
      <c r="Y233" s="49"/>
      <c r="Z233" s="50"/>
      <c r="AA233" s="48"/>
      <c r="AC233" s="49"/>
      <c r="AD233" s="50"/>
      <c r="AE233" s="48"/>
      <c r="AJ233" s="48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7"/>
      <c r="O234" s="48"/>
      <c r="Q234" s="49"/>
      <c r="R234" s="50"/>
      <c r="S234" s="48"/>
      <c r="U234" s="49"/>
      <c r="V234" s="50"/>
      <c r="W234" s="48"/>
      <c r="Y234" s="49"/>
      <c r="Z234" s="50"/>
      <c r="AA234" s="48"/>
      <c r="AC234" s="49"/>
      <c r="AD234" s="50"/>
      <c r="AE234" s="48"/>
      <c r="AJ234" s="48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7"/>
      <c r="O235" s="48"/>
      <c r="Q235" s="49"/>
      <c r="R235" s="50"/>
      <c r="S235" s="48"/>
      <c r="U235" s="49"/>
      <c r="V235" s="50"/>
      <c r="W235" s="48"/>
      <c r="Y235" s="49"/>
      <c r="Z235" s="50"/>
      <c r="AA235" s="48"/>
      <c r="AC235" s="49"/>
      <c r="AD235" s="50"/>
      <c r="AE235" s="48"/>
      <c r="AJ235" s="48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7"/>
      <c r="O236" s="48"/>
      <c r="Q236" s="49"/>
      <c r="R236" s="50"/>
      <c r="S236" s="48"/>
      <c r="U236" s="49"/>
      <c r="V236" s="50"/>
      <c r="W236" s="48"/>
      <c r="Y236" s="49"/>
      <c r="Z236" s="50"/>
      <c r="AA236" s="48"/>
      <c r="AC236" s="49"/>
      <c r="AD236" s="50"/>
      <c r="AE236" s="48"/>
      <c r="AJ236" s="48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7"/>
      <c r="O237" s="48"/>
      <c r="Q237" s="49"/>
      <c r="R237" s="50"/>
      <c r="S237" s="48"/>
      <c r="U237" s="49"/>
      <c r="V237" s="50"/>
      <c r="W237" s="48"/>
      <c r="Y237" s="49"/>
      <c r="Z237" s="50"/>
      <c r="AA237" s="48"/>
      <c r="AC237" s="49"/>
      <c r="AD237" s="50"/>
      <c r="AE237" s="48"/>
      <c r="AJ237" s="48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7"/>
      <c r="O238" s="48"/>
      <c r="Q238" s="49"/>
      <c r="R238" s="50"/>
      <c r="S238" s="48"/>
      <c r="U238" s="49"/>
      <c r="V238" s="50"/>
      <c r="W238" s="48"/>
      <c r="Y238" s="49"/>
      <c r="Z238" s="50"/>
      <c r="AA238" s="48"/>
      <c r="AC238" s="49"/>
      <c r="AD238" s="50"/>
      <c r="AE238" s="48"/>
      <c r="AJ238" s="48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7"/>
      <c r="O239" s="48"/>
      <c r="Q239" s="49"/>
      <c r="R239" s="50"/>
      <c r="S239" s="48"/>
      <c r="U239" s="49"/>
      <c r="V239" s="50"/>
      <c r="W239" s="48"/>
      <c r="Y239" s="49"/>
      <c r="Z239" s="50"/>
      <c r="AA239" s="48"/>
      <c r="AC239" s="49"/>
      <c r="AD239" s="50"/>
      <c r="AE239" s="48"/>
      <c r="AJ239" s="48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7"/>
      <c r="O240" s="48"/>
      <c r="Q240" s="49"/>
      <c r="R240" s="50"/>
      <c r="S240" s="48"/>
      <c r="U240" s="49"/>
      <c r="V240" s="50"/>
      <c r="W240" s="48"/>
      <c r="Y240" s="49"/>
      <c r="Z240" s="50"/>
      <c r="AA240" s="48"/>
      <c r="AC240" s="49"/>
      <c r="AD240" s="50"/>
      <c r="AE240" s="48"/>
      <c r="AJ240" s="48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7"/>
      <c r="O241" s="48"/>
      <c r="Q241" s="49"/>
      <c r="R241" s="50"/>
      <c r="S241" s="48"/>
      <c r="U241" s="49"/>
      <c r="V241" s="50"/>
      <c r="W241" s="48"/>
      <c r="Y241" s="49"/>
      <c r="Z241" s="50"/>
      <c r="AA241" s="48"/>
      <c r="AC241" s="49"/>
      <c r="AD241" s="50"/>
      <c r="AE241" s="48"/>
      <c r="AJ241" s="48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7"/>
      <c r="O242" s="48"/>
      <c r="Q242" s="49"/>
      <c r="R242" s="50"/>
      <c r="S242" s="48"/>
      <c r="U242" s="49"/>
      <c r="V242" s="50"/>
      <c r="W242" s="48"/>
      <c r="Y242" s="49"/>
      <c r="Z242" s="50"/>
      <c r="AA242" s="48"/>
      <c r="AC242" s="49"/>
      <c r="AD242" s="50"/>
      <c r="AE242" s="48"/>
      <c r="AJ242" s="48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7"/>
      <c r="O243" s="48"/>
      <c r="Q243" s="49"/>
      <c r="R243" s="50"/>
      <c r="S243" s="48"/>
      <c r="U243" s="49"/>
      <c r="V243" s="50"/>
      <c r="W243" s="48"/>
      <c r="Y243" s="49"/>
      <c r="Z243" s="50"/>
      <c r="AA243" s="48"/>
      <c r="AC243" s="49"/>
      <c r="AD243" s="50"/>
      <c r="AE243" s="48"/>
      <c r="AJ243" s="48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7"/>
      <c r="O244" s="48"/>
      <c r="Q244" s="49"/>
      <c r="R244" s="50"/>
      <c r="S244" s="48"/>
      <c r="U244" s="49"/>
      <c r="V244" s="50"/>
      <c r="W244" s="48"/>
      <c r="Y244" s="49"/>
      <c r="Z244" s="50"/>
      <c r="AA244" s="48"/>
      <c r="AC244" s="49"/>
      <c r="AD244" s="50"/>
      <c r="AE244" s="48"/>
      <c r="AJ244" s="48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7"/>
      <c r="O245" s="48"/>
      <c r="Q245" s="49"/>
      <c r="R245" s="50"/>
      <c r="S245" s="48"/>
      <c r="U245" s="49"/>
      <c r="V245" s="50"/>
      <c r="W245" s="48"/>
      <c r="Y245" s="49"/>
      <c r="Z245" s="50"/>
      <c r="AA245" s="48"/>
      <c r="AC245" s="49"/>
      <c r="AD245" s="50"/>
      <c r="AE245" s="48"/>
      <c r="AJ245" s="48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7"/>
      <c r="O246" s="48"/>
      <c r="Q246" s="49"/>
      <c r="R246" s="50"/>
      <c r="S246" s="48"/>
      <c r="U246" s="49"/>
      <c r="V246" s="50"/>
      <c r="W246" s="48"/>
      <c r="Y246" s="49"/>
      <c r="Z246" s="50"/>
      <c r="AA246" s="48"/>
      <c r="AC246" s="49"/>
      <c r="AD246" s="50"/>
      <c r="AE246" s="48"/>
      <c r="AJ246" s="48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7"/>
      <c r="O247" s="48"/>
      <c r="Q247" s="49"/>
      <c r="R247" s="50"/>
      <c r="S247" s="48"/>
      <c r="U247" s="49"/>
      <c r="V247" s="50"/>
      <c r="W247" s="48"/>
      <c r="Y247" s="49"/>
      <c r="Z247" s="50"/>
      <c r="AA247" s="48"/>
      <c r="AC247" s="49"/>
      <c r="AD247" s="50"/>
      <c r="AE247" s="48"/>
      <c r="AJ247" s="48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7"/>
      <c r="O248" s="48"/>
      <c r="Q248" s="49"/>
      <c r="R248" s="50"/>
      <c r="S248" s="48"/>
      <c r="U248" s="49"/>
      <c r="V248" s="50"/>
      <c r="W248" s="48"/>
      <c r="Y248" s="49"/>
      <c r="Z248" s="50"/>
      <c r="AA248" s="48"/>
      <c r="AC248" s="49"/>
      <c r="AD248" s="50"/>
      <c r="AE248" s="48"/>
      <c r="AJ248" s="48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7"/>
      <c r="O249" s="48"/>
      <c r="Q249" s="49"/>
      <c r="R249" s="50"/>
      <c r="S249" s="48"/>
      <c r="U249" s="49"/>
      <c r="V249" s="50"/>
      <c r="W249" s="48"/>
      <c r="Y249" s="49"/>
      <c r="Z249" s="50"/>
      <c r="AA249" s="48"/>
      <c r="AC249" s="49"/>
      <c r="AD249" s="50"/>
      <c r="AE249" s="48"/>
      <c r="AJ249" s="48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7"/>
      <c r="O250" s="48"/>
      <c r="Q250" s="49"/>
      <c r="R250" s="50"/>
      <c r="S250" s="48"/>
      <c r="U250" s="49"/>
      <c r="V250" s="50"/>
      <c r="W250" s="48"/>
      <c r="Y250" s="49"/>
      <c r="Z250" s="50"/>
      <c r="AA250" s="48"/>
      <c r="AC250" s="49"/>
      <c r="AD250" s="50"/>
      <c r="AE250" s="48"/>
      <c r="AJ250" s="48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7"/>
      <c r="O251" s="48"/>
      <c r="Q251" s="49"/>
      <c r="R251" s="50"/>
      <c r="S251" s="48"/>
      <c r="U251" s="49"/>
      <c r="V251" s="50"/>
      <c r="W251" s="48"/>
      <c r="Y251" s="49"/>
      <c r="Z251" s="50"/>
      <c r="AA251" s="48"/>
      <c r="AC251" s="49"/>
      <c r="AD251" s="50"/>
      <c r="AE251" s="48"/>
      <c r="AJ251" s="48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7"/>
      <c r="O252" s="48"/>
      <c r="Q252" s="49"/>
      <c r="R252" s="50"/>
      <c r="S252" s="48"/>
      <c r="U252" s="49"/>
      <c r="V252" s="50"/>
      <c r="W252" s="48"/>
      <c r="Y252" s="49"/>
      <c r="Z252" s="50"/>
      <c r="AA252" s="48"/>
      <c r="AC252" s="49"/>
      <c r="AD252" s="50"/>
      <c r="AE252" s="48"/>
      <c r="AJ252" s="48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7"/>
      <c r="O253" s="48"/>
      <c r="Q253" s="49"/>
      <c r="R253" s="50"/>
      <c r="S253" s="48"/>
      <c r="U253" s="49"/>
      <c r="V253" s="50"/>
      <c r="W253" s="48"/>
      <c r="Y253" s="49"/>
      <c r="Z253" s="50"/>
      <c r="AA253" s="48"/>
      <c r="AC253" s="49"/>
      <c r="AD253" s="50"/>
      <c r="AE253" s="48"/>
      <c r="AJ253" s="48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7"/>
      <c r="O254" s="48"/>
      <c r="Q254" s="49"/>
      <c r="R254" s="50"/>
      <c r="S254" s="48"/>
      <c r="U254" s="49"/>
      <c r="V254" s="50"/>
      <c r="W254" s="48"/>
      <c r="Y254" s="49"/>
      <c r="Z254" s="50"/>
      <c r="AA254" s="48"/>
      <c r="AC254" s="49"/>
      <c r="AD254" s="50"/>
      <c r="AE254" s="48"/>
      <c r="AJ254" s="48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7"/>
      <c r="O255" s="48"/>
      <c r="Q255" s="49"/>
      <c r="R255" s="50"/>
      <c r="S255" s="48"/>
      <c r="U255" s="49"/>
      <c r="V255" s="50"/>
      <c r="W255" s="48"/>
      <c r="Y255" s="49"/>
      <c r="Z255" s="50"/>
      <c r="AA255" s="48"/>
      <c r="AC255" s="49"/>
      <c r="AD255" s="50"/>
      <c r="AE255" s="48"/>
      <c r="AJ255" s="48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7"/>
      <c r="O256" s="48"/>
      <c r="Q256" s="49"/>
      <c r="R256" s="50"/>
      <c r="S256" s="48"/>
      <c r="U256" s="49"/>
      <c r="V256" s="50"/>
      <c r="W256" s="48"/>
      <c r="Y256" s="49"/>
      <c r="Z256" s="50"/>
      <c r="AA256" s="48"/>
      <c r="AC256" s="49"/>
      <c r="AD256" s="50"/>
      <c r="AE256" s="48"/>
      <c r="AJ256" s="48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7"/>
      <c r="O257" s="48"/>
      <c r="Q257" s="49"/>
      <c r="R257" s="50"/>
      <c r="S257" s="48"/>
      <c r="U257" s="49"/>
      <c r="V257" s="50"/>
      <c r="W257" s="48"/>
      <c r="Y257" s="49"/>
      <c r="Z257" s="50"/>
      <c r="AA257" s="48"/>
      <c r="AC257" s="49"/>
      <c r="AD257" s="50"/>
      <c r="AE257" s="48"/>
      <c r="AJ257" s="48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7"/>
      <c r="O258" s="48"/>
      <c r="Q258" s="49"/>
      <c r="R258" s="50"/>
      <c r="S258" s="48"/>
      <c r="U258" s="49"/>
      <c r="V258" s="50"/>
      <c r="W258" s="48"/>
      <c r="Y258" s="49"/>
      <c r="Z258" s="50"/>
      <c r="AA258" s="48"/>
      <c r="AC258" s="49"/>
      <c r="AD258" s="50"/>
      <c r="AE258" s="48"/>
      <c r="AJ258" s="48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7"/>
      <c r="O259" s="48"/>
      <c r="Q259" s="49"/>
      <c r="R259" s="50"/>
      <c r="S259" s="48"/>
      <c r="U259" s="49"/>
      <c r="V259" s="50"/>
      <c r="W259" s="48"/>
      <c r="Y259" s="49"/>
      <c r="Z259" s="50"/>
      <c r="AA259" s="48"/>
      <c r="AC259" s="49"/>
      <c r="AD259" s="50"/>
      <c r="AE259" s="48"/>
      <c r="AJ259" s="48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7"/>
      <c r="O260" s="48"/>
      <c r="Q260" s="49"/>
      <c r="R260" s="50"/>
      <c r="S260" s="48"/>
      <c r="U260" s="49"/>
      <c r="V260" s="50"/>
      <c r="W260" s="48"/>
      <c r="Y260" s="49"/>
      <c r="Z260" s="50"/>
      <c r="AA260" s="48"/>
      <c r="AC260" s="49"/>
      <c r="AD260" s="50"/>
      <c r="AE260" s="48"/>
      <c r="AJ260" s="48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7"/>
      <c r="O261" s="48"/>
      <c r="Q261" s="49"/>
      <c r="R261" s="50"/>
      <c r="S261" s="48"/>
      <c r="U261" s="49"/>
      <c r="V261" s="50"/>
      <c r="W261" s="48"/>
      <c r="Y261" s="49"/>
      <c r="Z261" s="50"/>
      <c r="AA261" s="48"/>
      <c r="AC261" s="49"/>
      <c r="AD261" s="50"/>
      <c r="AE261" s="48"/>
      <c r="AJ261" s="48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7"/>
      <c r="O262" s="48"/>
      <c r="Q262" s="49"/>
      <c r="R262" s="50"/>
      <c r="S262" s="48"/>
      <c r="U262" s="49"/>
      <c r="V262" s="50"/>
      <c r="W262" s="48"/>
      <c r="Y262" s="49"/>
      <c r="Z262" s="50"/>
      <c r="AA262" s="48"/>
      <c r="AC262" s="49"/>
      <c r="AD262" s="50"/>
      <c r="AE262" s="48"/>
      <c r="AJ262" s="48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7"/>
      <c r="O263" s="48"/>
      <c r="Q263" s="49"/>
      <c r="R263" s="50"/>
      <c r="S263" s="48"/>
      <c r="U263" s="49"/>
      <c r="V263" s="50"/>
      <c r="W263" s="48"/>
      <c r="Y263" s="49"/>
      <c r="Z263" s="50"/>
      <c r="AA263" s="48"/>
      <c r="AC263" s="49"/>
      <c r="AD263" s="50"/>
      <c r="AE263" s="48"/>
      <c r="AJ263" s="48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7"/>
      <c r="O264" s="48"/>
      <c r="Q264" s="49"/>
      <c r="R264" s="50"/>
      <c r="S264" s="48"/>
      <c r="U264" s="49"/>
      <c r="V264" s="50"/>
      <c r="W264" s="48"/>
      <c r="Y264" s="49"/>
      <c r="Z264" s="50"/>
      <c r="AA264" s="48"/>
      <c r="AC264" s="49"/>
      <c r="AD264" s="50"/>
      <c r="AE264" s="48"/>
      <c r="AJ264" s="48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7"/>
      <c r="O265" s="48"/>
      <c r="Q265" s="49"/>
      <c r="R265" s="50"/>
      <c r="S265" s="48"/>
      <c r="U265" s="49"/>
      <c r="V265" s="50"/>
      <c r="W265" s="48"/>
      <c r="Y265" s="49"/>
      <c r="Z265" s="50"/>
      <c r="AA265" s="48"/>
      <c r="AC265" s="49"/>
      <c r="AD265" s="50"/>
      <c r="AE265" s="48"/>
      <c r="AJ265" s="48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7"/>
      <c r="O266" s="48"/>
      <c r="Q266" s="49"/>
      <c r="R266" s="50"/>
      <c r="S266" s="48"/>
      <c r="U266" s="49"/>
      <c r="V266" s="50"/>
      <c r="W266" s="48"/>
      <c r="Y266" s="49"/>
      <c r="Z266" s="50"/>
      <c r="AA266" s="48"/>
      <c r="AC266" s="49"/>
      <c r="AD266" s="50"/>
      <c r="AE266" s="48"/>
      <c r="AJ266" s="48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7"/>
      <c r="O267" s="48"/>
      <c r="Q267" s="49"/>
      <c r="R267" s="50"/>
      <c r="S267" s="48"/>
      <c r="U267" s="49"/>
      <c r="V267" s="50"/>
      <c r="W267" s="48"/>
      <c r="Y267" s="49"/>
      <c r="Z267" s="50"/>
      <c r="AA267" s="48"/>
      <c r="AC267" s="49"/>
      <c r="AD267" s="50"/>
      <c r="AE267" s="48"/>
      <c r="AJ267" s="48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7"/>
      <c r="O268" s="48"/>
      <c r="Q268" s="49"/>
      <c r="R268" s="50"/>
      <c r="S268" s="48"/>
      <c r="U268" s="49"/>
      <c r="V268" s="50"/>
      <c r="W268" s="48"/>
      <c r="Y268" s="49"/>
      <c r="Z268" s="50"/>
      <c r="AA268" s="48"/>
      <c r="AC268" s="49"/>
      <c r="AD268" s="50"/>
      <c r="AE268" s="48"/>
      <c r="AJ268" s="48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7"/>
      <c r="O269" s="48"/>
      <c r="Q269" s="49"/>
      <c r="R269" s="50"/>
      <c r="S269" s="48"/>
      <c r="U269" s="49"/>
      <c r="V269" s="50"/>
      <c r="W269" s="48"/>
      <c r="Y269" s="49"/>
      <c r="Z269" s="50"/>
      <c r="AA269" s="48"/>
      <c r="AC269" s="49"/>
      <c r="AD269" s="50"/>
      <c r="AE269" s="48"/>
      <c r="AJ269" s="48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7"/>
      <c r="O270" s="48"/>
      <c r="Q270" s="49"/>
      <c r="R270" s="50"/>
      <c r="S270" s="48"/>
      <c r="U270" s="49"/>
      <c r="V270" s="50"/>
      <c r="W270" s="48"/>
      <c r="Y270" s="49"/>
      <c r="Z270" s="50"/>
      <c r="AA270" s="48"/>
      <c r="AC270" s="49"/>
      <c r="AD270" s="50"/>
      <c r="AE270" s="48"/>
      <c r="AJ270" s="48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7"/>
      <c r="O271" s="48"/>
      <c r="Q271" s="49"/>
      <c r="R271" s="50"/>
      <c r="S271" s="48"/>
      <c r="U271" s="49"/>
      <c r="V271" s="50"/>
      <c r="W271" s="48"/>
      <c r="Y271" s="49"/>
      <c r="Z271" s="50"/>
      <c r="AA271" s="48"/>
      <c r="AC271" s="49"/>
      <c r="AD271" s="50"/>
      <c r="AE271" s="48"/>
      <c r="AJ271" s="48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7"/>
      <c r="O272" s="48"/>
      <c r="Q272" s="49"/>
      <c r="R272" s="50"/>
      <c r="S272" s="48"/>
      <c r="U272" s="49"/>
      <c r="V272" s="50"/>
      <c r="W272" s="48"/>
      <c r="Y272" s="49"/>
      <c r="Z272" s="50"/>
      <c r="AA272" s="48"/>
      <c r="AC272" s="49"/>
      <c r="AD272" s="50"/>
      <c r="AE272" s="48"/>
      <c r="AJ272" s="48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7"/>
      <c r="O273" s="48"/>
      <c r="Q273" s="49"/>
      <c r="R273" s="50"/>
      <c r="S273" s="48"/>
      <c r="U273" s="49"/>
      <c r="V273" s="50"/>
      <c r="W273" s="48"/>
      <c r="Y273" s="49"/>
      <c r="Z273" s="50"/>
      <c r="AA273" s="48"/>
      <c r="AC273" s="49"/>
      <c r="AD273" s="50"/>
      <c r="AE273" s="48"/>
      <c r="AJ273" s="48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7"/>
      <c r="O274" s="48"/>
      <c r="Q274" s="49"/>
      <c r="R274" s="50"/>
      <c r="S274" s="48"/>
      <c r="U274" s="49"/>
      <c r="V274" s="50"/>
      <c r="W274" s="48"/>
      <c r="Y274" s="49"/>
      <c r="Z274" s="50"/>
      <c r="AA274" s="48"/>
      <c r="AC274" s="49"/>
      <c r="AD274" s="50"/>
      <c r="AE274" s="48"/>
      <c r="AJ274" s="48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7"/>
      <c r="O275" s="48"/>
      <c r="Q275" s="49"/>
      <c r="R275" s="50"/>
      <c r="S275" s="48"/>
      <c r="U275" s="49"/>
      <c r="V275" s="50"/>
      <c r="W275" s="48"/>
      <c r="Y275" s="49"/>
      <c r="Z275" s="50"/>
      <c r="AA275" s="48"/>
      <c r="AC275" s="49"/>
      <c r="AD275" s="50"/>
      <c r="AE275" s="48"/>
      <c r="AJ275" s="48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7"/>
      <c r="O276" s="48"/>
      <c r="Q276" s="49"/>
      <c r="R276" s="50"/>
      <c r="S276" s="48"/>
      <c r="U276" s="49"/>
      <c r="V276" s="50"/>
      <c r="W276" s="48"/>
      <c r="Y276" s="49"/>
      <c r="Z276" s="50"/>
      <c r="AA276" s="48"/>
      <c r="AC276" s="49"/>
      <c r="AD276" s="50"/>
      <c r="AE276" s="48"/>
      <c r="AJ276" s="48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7"/>
      <c r="O277" s="48"/>
      <c r="Q277" s="49"/>
      <c r="R277" s="50"/>
      <c r="S277" s="48"/>
      <c r="U277" s="49"/>
      <c r="V277" s="50"/>
      <c r="W277" s="48"/>
      <c r="Y277" s="49"/>
      <c r="Z277" s="50"/>
      <c r="AA277" s="48"/>
      <c r="AC277" s="49"/>
      <c r="AD277" s="50"/>
      <c r="AE277" s="48"/>
      <c r="AJ277" s="48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7"/>
      <c r="O278" s="48"/>
      <c r="Q278" s="49"/>
      <c r="R278" s="50"/>
      <c r="S278" s="48"/>
      <c r="U278" s="49"/>
      <c r="V278" s="50"/>
      <c r="W278" s="48"/>
      <c r="Y278" s="49"/>
      <c r="Z278" s="50"/>
      <c r="AA278" s="48"/>
      <c r="AC278" s="49"/>
      <c r="AD278" s="50"/>
      <c r="AE278" s="48"/>
      <c r="AJ278" s="48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7"/>
      <c r="O279" s="48"/>
      <c r="Q279" s="49"/>
      <c r="R279" s="50"/>
      <c r="S279" s="48"/>
      <c r="U279" s="49"/>
      <c r="V279" s="50"/>
      <c r="W279" s="48"/>
      <c r="Y279" s="49"/>
      <c r="Z279" s="50"/>
      <c r="AA279" s="48"/>
      <c r="AC279" s="49"/>
      <c r="AD279" s="50"/>
      <c r="AE279" s="48"/>
      <c r="AJ279" s="48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7"/>
      <c r="O280" s="48"/>
      <c r="Q280" s="49"/>
      <c r="R280" s="50"/>
      <c r="S280" s="48"/>
      <c r="U280" s="49"/>
      <c r="V280" s="50"/>
      <c r="W280" s="48"/>
      <c r="Y280" s="49"/>
      <c r="Z280" s="50"/>
      <c r="AA280" s="48"/>
      <c r="AC280" s="49"/>
      <c r="AD280" s="50"/>
      <c r="AE280" s="48"/>
      <c r="AJ280" s="48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7"/>
      <c r="O281" s="48"/>
      <c r="Q281" s="49"/>
      <c r="R281" s="50"/>
      <c r="S281" s="48"/>
      <c r="U281" s="49"/>
      <c r="V281" s="50"/>
      <c r="W281" s="48"/>
      <c r="Y281" s="49"/>
      <c r="Z281" s="50"/>
      <c r="AA281" s="48"/>
      <c r="AC281" s="49"/>
      <c r="AD281" s="50"/>
      <c r="AE281" s="48"/>
      <c r="AJ281" s="48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7"/>
      <c r="O282" s="48"/>
      <c r="Q282" s="49"/>
      <c r="R282" s="50"/>
      <c r="S282" s="48"/>
      <c r="U282" s="49"/>
      <c r="V282" s="50"/>
      <c r="W282" s="48"/>
      <c r="Y282" s="49"/>
      <c r="Z282" s="50"/>
      <c r="AA282" s="48"/>
      <c r="AC282" s="49"/>
      <c r="AD282" s="50"/>
      <c r="AE282" s="48"/>
      <c r="AJ282" s="48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7"/>
      <c r="O283" s="48"/>
      <c r="Q283" s="49"/>
      <c r="R283" s="50"/>
      <c r="S283" s="48"/>
      <c r="U283" s="49"/>
      <c r="V283" s="50"/>
      <c r="W283" s="48"/>
      <c r="Y283" s="49"/>
      <c r="Z283" s="50"/>
      <c r="AA283" s="48"/>
      <c r="AC283" s="49"/>
      <c r="AD283" s="50"/>
      <c r="AE283" s="48"/>
      <c r="AJ283" s="48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7"/>
      <c r="O284" s="48"/>
      <c r="Q284" s="49"/>
      <c r="R284" s="50"/>
      <c r="S284" s="48"/>
      <c r="U284" s="49"/>
      <c r="V284" s="50"/>
      <c r="W284" s="48"/>
      <c r="Y284" s="49"/>
      <c r="Z284" s="50"/>
      <c r="AA284" s="48"/>
      <c r="AC284" s="49"/>
      <c r="AD284" s="50"/>
      <c r="AE284" s="48"/>
      <c r="AJ284" s="48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7"/>
      <c r="O285" s="48"/>
      <c r="Q285" s="49"/>
      <c r="R285" s="50"/>
      <c r="S285" s="48"/>
      <c r="U285" s="49"/>
      <c r="V285" s="50"/>
      <c r="W285" s="48"/>
      <c r="Y285" s="49"/>
      <c r="Z285" s="50"/>
      <c r="AA285" s="48"/>
      <c r="AC285" s="49"/>
      <c r="AD285" s="50"/>
      <c r="AE285" s="48"/>
      <c r="AJ285" s="48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7"/>
      <c r="O286" s="48"/>
      <c r="Q286" s="49"/>
      <c r="R286" s="50"/>
      <c r="S286" s="48"/>
      <c r="U286" s="49"/>
      <c r="V286" s="50"/>
      <c r="W286" s="48"/>
      <c r="Y286" s="49"/>
      <c r="Z286" s="50"/>
      <c r="AA286" s="48"/>
      <c r="AC286" s="49"/>
      <c r="AD286" s="50"/>
      <c r="AE286" s="48"/>
      <c r="AJ286" s="48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7"/>
      <c r="O287" s="48"/>
      <c r="Q287" s="49"/>
      <c r="R287" s="50"/>
      <c r="S287" s="48"/>
      <c r="U287" s="49"/>
      <c r="V287" s="50"/>
      <c r="W287" s="48"/>
      <c r="Y287" s="49"/>
      <c r="Z287" s="50"/>
      <c r="AA287" s="48"/>
      <c r="AC287" s="49"/>
      <c r="AD287" s="50"/>
      <c r="AE287" s="48"/>
      <c r="AJ287" s="48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7"/>
      <c r="O288" s="48"/>
      <c r="Q288" s="49"/>
      <c r="R288" s="50"/>
      <c r="S288" s="48"/>
      <c r="U288" s="49"/>
      <c r="V288" s="50"/>
      <c r="W288" s="48"/>
      <c r="Y288" s="49"/>
      <c r="Z288" s="50"/>
      <c r="AA288" s="48"/>
      <c r="AC288" s="49"/>
      <c r="AD288" s="50"/>
      <c r="AE288" s="48"/>
      <c r="AJ288" s="48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7"/>
      <c r="O289" s="48"/>
      <c r="Q289" s="49"/>
      <c r="R289" s="50"/>
      <c r="S289" s="48"/>
      <c r="U289" s="49"/>
      <c r="V289" s="50"/>
      <c r="W289" s="48"/>
      <c r="Y289" s="49"/>
      <c r="Z289" s="50"/>
      <c r="AA289" s="48"/>
      <c r="AC289" s="49"/>
      <c r="AD289" s="50"/>
      <c r="AE289" s="48"/>
      <c r="AJ289" s="48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7"/>
      <c r="O290" s="48"/>
      <c r="Q290" s="49"/>
      <c r="R290" s="50"/>
      <c r="S290" s="48"/>
      <c r="U290" s="49"/>
      <c r="V290" s="50"/>
      <c r="W290" s="48"/>
      <c r="Y290" s="49"/>
      <c r="Z290" s="50"/>
      <c r="AA290" s="48"/>
      <c r="AC290" s="49"/>
      <c r="AD290" s="50"/>
      <c r="AE290" s="48"/>
      <c r="AJ290" s="48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7"/>
      <c r="O291" s="48"/>
      <c r="Q291" s="49"/>
      <c r="R291" s="50"/>
      <c r="S291" s="48"/>
      <c r="U291" s="49"/>
      <c r="V291" s="50"/>
      <c r="W291" s="48"/>
      <c r="Y291" s="49"/>
      <c r="Z291" s="50"/>
      <c r="AA291" s="48"/>
      <c r="AC291" s="49"/>
      <c r="AD291" s="50"/>
      <c r="AE291" s="48"/>
      <c r="AJ291" s="48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7"/>
      <c r="O292" s="48"/>
      <c r="Q292" s="49"/>
      <c r="R292" s="50"/>
      <c r="S292" s="48"/>
      <c r="U292" s="49"/>
      <c r="V292" s="50"/>
      <c r="W292" s="48"/>
      <c r="Y292" s="49"/>
      <c r="Z292" s="50"/>
      <c r="AA292" s="48"/>
      <c r="AC292" s="49"/>
      <c r="AD292" s="50"/>
      <c r="AE292" s="48"/>
      <c r="AJ292" s="48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7"/>
      <c r="O293" s="48"/>
      <c r="Q293" s="49"/>
      <c r="R293" s="50"/>
      <c r="S293" s="48"/>
      <c r="U293" s="49"/>
      <c r="V293" s="50"/>
      <c r="W293" s="48"/>
      <c r="Y293" s="49"/>
      <c r="Z293" s="50"/>
      <c r="AA293" s="48"/>
      <c r="AC293" s="49"/>
      <c r="AD293" s="50"/>
      <c r="AE293" s="48"/>
      <c r="AJ293" s="48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7"/>
      <c r="O294" s="48"/>
      <c r="Q294" s="49"/>
      <c r="R294" s="50"/>
      <c r="S294" s="48"/>
      <c r="U294" s="49"/>
      <c r="V294" s="50"/>
      <c r="W294" s="48"/>
      <c r="Y294" s="49"/>
      <c r="Z294" s="50"/>
      <c r="AA294" s="48"/>
      <c r="AC294" s="49"/>
      <c r="AD294" s="50"/>
      <c r="AE294" s="48"/>
      <c r="AJ294" s="48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7"/>
      <c r="O295" s="48"/>
      <c r="Q295" s="49"/>
      <c r="R295" s="50"/>
      <c r="S295" s="48"/>
      <c r="U295" s="49"/>
      <c r="V295" s="50"/>
      <c r="W295" s="48"/>
      <c r="Y295" s="49"/>
      <c r="Z295" s="50"/>
      <c r="AA295" s="48"/>
      <c r="AC295" s="49"/>
      <c r="AD295" s="50"/>
      <c r="AE295" s="48"/>
      <c r="AJ295" s="48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7"/>
      <c r="O296" s="48"/>
      <c r="Q296" s="49"/>
      <c r="R296" s="50"/>
      <c r="S296" s="48"/>
      <c r="U296" s="49"/>
      <c r="V296" s="50"/>
      <c r="W296" s="48"/>
      <c r="Y296" s="49"/>
      <c r="Z296" s="50"/>
      <c r="AA296" s="48"/>
      <c r="AC296" s="49"/>
      <c r="AD296" s="50"/>
      <c r="AE296" s="48"/>
      <c r="AJ296" s="48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7"/>
      <c r="O297" s="48"/>
      <c r="Q297" s="49"/>
      <c r="R297" s="50"/>
      <c r="S297" s="48"/>
      <c r="U297" s="49"/>
      <c r="V297" s="50"/>
      <c r="W297" s="48"/>
      <c r="Y297" s="49"/>
      <c r="Z297" s="50"/>
      <c r="AA297" s="48"/>
      <c r="AC297" s="49"/>
      <c r="AD297" s="50"/>
      <c r="AE297" s="48"/>
      <c r="AJ297" s="48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7"/>
      <c r="O298" s="48"/>
      <c r="Q298" s="49"/>
      <c r="R298" s="50"/>
      <c r="S298" s="48"/>
      <c r="U298" s="49"/>
      <c r="V298" s="50"/>
      <c r="W298" s="48"/>
      <c r="Y298" s="49"/>
      <c r="Z298" s="50"/>
      <c r="AA298" s="48"/>
      <c r="AC298" s="49"/>
      <c r="AD298" s="50"/>
      <c r="AE298" s="48"/>
      <c r="AJ298" s="48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7"/>
      <c r="O299" s="48"/>
      <c r="Q299" s="49"/>
      <c r="R299" s="50"/>
      <c r="S299" s="48"/>
      <c r="U299" s="49"/>
      <c r="V299" s="50"/>
      <c r="W299" s="48"/>
      <c r="Y299" s="49"/>
      <c r="Z299" s="50"/>
      <c r="AA299" s="48"/>
      <c r="AC299" s="49"/>
      <c r="AD299" s="50"/>
      <c r="AE299" s="48"/>
      <c r="AJ299" s="48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7"/>
      <c r="O300" s="48"/>
      <c r="Q300" s="49"/>
      <c r="R300" s="50"/>
      <c r="S300" s="48"/>
      <c r="U300" s="49"/>
      <c r="V300" s="50"/>
      <c r="W300" s="48"/>
      <c r="Y300" s="49"/>
      <c r="Z300" s="50"/>
      <c r="AA300" s="48"/>
      <c r="AC300" s="49"/>
      <c r="AD300" s="50"/>
      <c r="AE300" s="48"/>
      <c r="AJ300" s="48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7"/>
      <c r="O301" s="48"/>
      <c r="Q301" s="49"/>
      <c r="R301" s="50"/>
      <c r="S301" s="48"/>
      <c r="U301" s="49"/>
      <c r="V301" s="50"/>
      <c r="W301" s="48"/>
      <c r="Y301" s="49"/>
      <c r="Z301" s="50"/>
      <c r="AA301" s="48"/>
      <c r="AC301" s="49"/>
      <c r="AD301" s="50"/>
      <c r="AE301" s="48"/>
      <c r="AJ301" s="48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7"/>
      <c r="O302" s="48"/>
      <c r="Q302" s="49"/>
      <c r="R302" s="50"/>
      <c r="S302" s="48"/>
      <c r="U302" s="49"/>
      <c r="V302" s="50"/>
      <c r="W302" s="48"/>
      <c r="Y302" s="49"/>
      <c r="Z302" s="50"/>
      <c r="AA302" s="48"/>
      <c r="AC302" s="49"/>
      <c r="AD302" s="50"/>
      <c r="AE302" s="48"/>
      <c r="AJ302" s="48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7"/>
      <c r="O303" s="48"/>
      <c r="Q303" s="49"/>
      <c r="R303" s="50"/>
      <c r="S303" s="48"/>
      <c r="U303" s="49"/>
      <c r="V303" s="50"/>
      <c r="W303" s="48"/>
      <c r="Y303" s="49"/>
      <c r="Z303" s="50"/>
      <c r="AA303" s="48"/>
      <c r="AC303" s="49"/>
      <c r="AD303" s="50"/>
      <c r="AE303" s="48"/>
      <c r="AJ303" s="48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7"/>
      <c r="O304" s="48"/>
      <c r="Q304" s="49"/>
      <c r="R304" s="50"/>
      <c r="S304" s="48"/>
      <c r="U304" s="49"/>
      <c r="V304" s="50"/>
      <c r="W304" s="48"/>
      <c r="Y304" s="49"/>
      <c r="Z304" s="50"/>
      <c r="AA304" s="48"/>
      <c r="AC304" s="49"/>
      <c r="AD304" s="50"/>
      <c r="AE304" s="48"/>
      <c r="AJ304" s="48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7"/>
      <c r="O305" s="48"/>
      <c r="Q305" s="49"/>
      <c r="R305" s="50"/>
      <c r="S305" s="48"/>
      <c r="U305" s="49"/>
      <c r="V305" s="50"/>
      <c r="W305" s="48"/>
      <c r="Y305" s="49"/>
      <c r="Z305" s="50"/>
      <c r="AA305" s="48"/>
      <c r="AC305" s="49"/>
      <c r="AD305" s="50"/>
      <c r="AE305" s="48"/>
      <c r="AJ305" s="48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7"/>
      <c r="O306" s="48"/>
      <c r="Q306" s="49"/>
      <c r="R306" s="50"/>
      <c r="S306" s="48"/>
      <c r="U306" s="49"/>
      <c r="V306" s="50"/>
      <c r="W306" s="48"/>
      <c r="Y306" s="49"/>
      <c r="Z306" s="50"/>
      <c r="AA306" s="48"/>
      <c r="AC306" s="49"/>
      <c r="AD306" s="50"/>
      <c r="AE306" s="48"/>
      <c r="AJ306" s="48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7"/>
      <c r="O307" s="48"/>
      <c r="Q307" s="49"/>
      <c r="R307" s="50"/>
      <c r="S307" s="48"/>
      <c r="U307" s="49"/>
      <c r="V307" s="50"/>
      <c r="W307" s="48"/>
      <c r="Y307" s="49"/>
      <c r="Z307" s="50"/>
      <c r="AA307" s="48"/>
      <c r="AC307" s="49"/>
      <c r="AD307" s="50"/>
      <c r="AE307" s="48"/>
      <c r="AJ307" s="48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7"/>
      <c r="O308" s="48"/>
      <c r="Q308" s="49"/>
      <c r="R308" s="50"/>
      <c r="S308" s="48"/>
      <c r="U308" s="49"/>
      <c r="V308" s="50"/>
      <c r="W308" s="48"/>
      <c r="Y308" s="49"/>
      <c r="Z308" s="50"/>
      <c r="AA308" s="48"/>
      <c r="AC308" s="49"/>
      <c r="AD308" s="50"/>
      <c r="AE308" s="48"/>
      <c r="AJ308" s="48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7"/>
      <c r="O309" s="48"/>
      <c r="Q309" s="49"/>
      <c r="R309" s="50"/>
      <c r="S309" s="48"/>
      <c r="U309" s="49"/>
      <c r="V309" s="50"/>
      <c r="W309" s="48"/>
      <c r="Y309" s="49"/>
      <c r="Z309" s="50"/>
      <c r="AA309" s="48"/>
      <c r="AC309" s="49"/>
      <c r="AD309" s="50"/>
      <c r="AE309" s="48"/>
      <c r="AJ309" s="48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7"/>
      <c r="O310" s="48"/>
      <c r="Q310" s="49"/>
      <c r="R310" s="50"/>
      <c r="S310" s="48"/>
      <c r="U310" s="49"/>
      <c r="V310" s="50"/>
      <c r="W310" s="48"/>
      <c r="Y310" s="49"/>
      <c r="Z310" s="50"/>
      <c r="AA310" s="48"/>
      <c r="AC310" s="49"/>
      <c r="AD310" s="50"/>
      <c r="AE310" s="48"/>
      <c r="AJ310" s="48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7"/>
      <c r="O311" s="48"/>
      <c r="Q311" s="49"/>
      <c r="R311" s="50"/>
      <c r="S311" s="48"/>
      <c r="U311" s="49"/>
      <c r="V311" s="50"/>
      <c r="W311" s="48"/>
      <c r="Y311" s="49"/>
      <c r="Z311" s="50"/>
      <c r="AA311" s="48"/>
      <c r="AC311" s="49"/>
      <c r="AD311" s="50"/>
      <c r="AE311" s="48"/>
      <c r="AJ311" s="48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7"/>
      <c r="O312" s="48"/>
      <c r="Q312" s="49"/>
      <c r="R312" s="50"/>
      <c r="S312" s="48"/>
      <c r="U312" s="49"/>
      <c r="V312" s="50"/>
      <c r="W312" s="48"/>
      <c r="Y312" s="49"/>
      <c r="Z312" s="50"/>
      <c r="AA312" s="48"/>
      <c r="AC312" s="49"/>
      <c r="AD312" s="50"/>
      <c r="AE312" s="48"/>
      <c r="AJ312" s="48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7"/>
      <c r="O313" s="48"/>
      <c r="Q313" s="49"/>
      <c r="R313" s="50"/>
      <c r="S313" s="48"/>
      <c r="U313" s="49"/>
      <c r="V313" s="50"/>
      <c r="W313" s="48"/>
      <c r="Y313" s="49"/>
      <c r="Z313" s="50"/>
      <c r="AA313" s="48"/>
      <c r="AC313" s="49"/>
      <c r="AD313" s="50"/>
      <c r="AE313" s="48"/>
      <c r="AJ313" s="48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7"/>
      <c r="O314" s="48"/>
      <c r="Q314" s="49"/>
      <c r="R314" s="50"/>
      <c r="S314" s="48"/>
      <c r="U314" s="49"/>
      <c r="V314" s="50"/>
      <c r="W314" s="48"/>
      <c r="Y314" s="49"/>
      <c r="Z314" s="50"/>
      <c r="AA314" s="48"/>
      <c r="AC314" s="49"/>
      <c r="AD314" s="50"/>
      <c r="AE314" s="48"/>
      <c r="AJ314" s="48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7"/>
      <c r="O315" s="48"/>
      <c r="Q315" s="49"/>
      <c r="R315" s="50"/>
      <c r="S315" s="48"/>
      <c r="U315" s="49"/>
      <c r="V315" s="50"/>
      <c r="W315" s="48"/>
      <c r="Y315" s="49"/>
      <c r="Z315" s="50"/>
      <c r="AA315" s="48"/>
      <c r="AC315" s="49"/>
      <c r="AD315" s="50"/>
      <c r="AE315" s="48"/>
      <c r="AJ315" s="48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7"/>
      <c r="O316" s="48"/>
      <c r="Q316" s="49"/>
      <c r="R316" s="50"/>
      <c r="S316" s="48"/>
      <c r="U316" s="49"/>
      <c r="V316" s="50"/>
      <c r="W316" s="48"/>
      <c r="Y316" s="49"/>
      <c r="Z316" s="50"/>
      <c r="AA316" s="48"/>
      <c r="AC316" s="49"/>
      <c r="AD316" s="50"/>
      <c r="AE316" s="48"/>
      <c r="AJ316" s="48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7"/>
      <c r="O317" s="48"/>
      <c r="Q317" s="49"/>
      <c r="R317" s="50"/>
      <c r="S317" s="48"/>
      <c r="U317" s="49"/>
      <c r="V317" s="50"/>
      <c r="W317" s="48"/>
      <c r="Y317" s="49"/>
      <c r="Z317" s="50"/>
      <c r="AA317" s="48"/>
      <c r="AC317" s="49"/>
      <c r="AD317" s="50"/>
      <c r="AE317" s="48"/>
      <c r="AJ317" s="48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7"/>
      <c r="O318" s="48"/>
      <c r="Q318" s="49"/>
      <c r="R318" s="50"/>
      <c r="S318" s="48"/>
      <c r="U318" s="49"/>
      <c r="V318" s="50"/>
      <c r="W318" s="48"/>
      <c r="Y318" s="49"/>
      <c r="Z318" s="50"/>
      <c r="AA318" s="48"/>
      <c r="AC318" s="49"/>
      <c r="AD318" s="50"/>
      <c r="AE318" s="48"/>
      <c r="AJ318" s="48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7"/>
      <c r="O319" s="48"/>
      <c r="Q319" s="49"/>
      <c r="R319" s="50"/>
      <c r="S319" s="48"/>
      <c r="U319" s="49"/>
      <c r="V319" s="50"/>
      <c r="W319" s="48"/>
      <c r="Y319" s="49"/>
      <c r="Z319" s="50"/>
      <c r="AA319" s="48"/>
      <c r="AC319" s="49"/>
      <c r="AD319" s="50"/>
      <c r="AE319" s="48"/>
      <c r="AJ319" s="48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7"/>
      <c r="O320" s="48"/>
      <c r="Q320" s="49"/>
      <c r="R320" s="50"/>
      <c r="S320" s="48"/>
      <c r="U320" s="49"/>
      <c r="V320" s="50"/>
      <c r="W320" s="48"/>
      <c r="Y320" s="49"/>
      <c r="Z320" s="50"/>
      <c r="AA320" s="48"/>
      <c r="AC320" s="49"/>
      <c r="AD320" s="50"/>
      <c r="AE320" s="48"/>
      <c r="AJ320" s="48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7"/>
      <c r="O321" s="48"/>
      <c r="Q321" s="49"/>
      <c r="R321" s="50"/>
      <c r="S321" s="48"/>
      <c r="U321" s="49"/>
      <c r="V321" s="50"/>
      <c r="W321" s="48"/>
      <c r="Y321" s="49"/>
      <c r="Z321" s="50"/>
      <c r="AA321" s="48"/>
      <c r="AC321" s="49"/>
      <c r="AD321" s="50"/>
      <c r="AE321" s="48"/>
      <c r="AJ321" s="48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7"/>
      <c r="O322" s="48"/>
      <c r="Q322" s="49"/>
      <c r="R322" s="50"/>
      <c r="S322" s="48"/>
      <c r="U322" s="49"/>
      <c r="V322" s="50"/>
      <c r="W322" s="48"/>
      <c r="Y322" s="49"/>
      <c r="Z322" s="50"/>
      <c r="AA322" s="48"/>
      <c r="AC322" s="49"/>
      <c r="AD322" s="50"/>
      <c r="AE322" s="48"/>
      <c r="AJ322" s="48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7"/>
      <c r="O323" s="48"/>
      <c r="Q323" s="49"/>
      <c r="R323" s="50"/>
      <c r="S323" s="48"/>
      <c r="U323" s="49"/>
      <c r="V323" s="50"/>
      <c r="W323" s="48"/>
      <c r="Y323" s="49"/>
      <c r="Z323" s="50"/>
      <c r="AA323" s="48"/>
      <c r="AC323" s="49"/>
      <c r="AD323" s="50"/>
      <c r="AE323" s="48"/>
      <c r="AJ323" s="48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7"/>
      <c r="O324" s="48"/>
      <c r="Q324" s="49"/>
      <c r="R324" s="50"/>
      <c r="S324" s="48"/>
      <c r="U324" s="49"/>
      <c r="V324" s="50"/>
      <c r="W324" s="48"/>
      <c r="Y324" s="49"/>
      <c r="Z324" s="50"/>
      <c r="AA324" s="48"/>
      <c r="AC324" s="49"/>
      <c r="AD324" s="50"/>
      <c r="AE324" s="48"/>
      <c r="AJ324" s="48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7"/>
      <c r="O325" s="48"/>
      <c r="Q325" s="49"/>
      <c r="R325" s="50"/>
      <c r="S325" s="48"/>
      <c r="U325" s="49"/>
      <c r="V325" s="50"/>
      <c r="W325" s="48"/>
      <c r="Y325" s="49"/>
      <c r="Z325" s="50"/>
      <c r="AA325" s="48"/>
      <c r="AC325" s="49"/>
      <c r="AD325" s="50"/>
      <c r="AE325" s="48"/>
      <c r="AJ325" s="48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7"/>
      <c r="O326" s="48"/>
      <c r="Q326" s="49"/>
      <c r="R326" s="50"/>
      <c r="S326" s="48"/>
      <c r="U326" s="49"/>
      <c r="V326" s="50"/>
      <c r="W326" s="48"/>
      <c r="Y326" s="49"/>
      <c r="Z326" s="50"/>
      <c r="AA326" s="48"/>
      <c r="AC326" s="49"/>
      <c r="AD326" s="50"/>
      <c r="AE326" s="48"/>
      <c r="AJ326" s="48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7"/>
      <c r="O327" s="48"/>
      <c r="Q327" s="49"/>
      <c r="R327" s="50"/>
      <c r="S327" s="48"/>
      <c r="U327" s="49"/>
      <c r="V327" s="50"/>
      <c r="W327" s="48"/>
      <c r="Y327" s="49"/>
      <c r="Z327" s="50"/>
      <c r="AA327" s="48"/>
      <c r="AC327" s="49"/>
      <c r="AD327" s="50"/>
      <c r="AE327" s="48"/>
      <c r="AJ327" s="48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7"/>
      <c r="O328" s="48"/>
      <c r="Q328" s="49"/>
      <c r="R328" s="50"/>
      <c r="S328" s="48"/>
      <c r="U328" s="49"/>
      <c r="V328" s="50"/>
      <c r="W328" s="48"/>
      <c r="Y328" s="49"/>
      <c r="Z328" s="50"/>
      <c r="AA328" s="48"/>
      <c r="AC328" s="49"/>
      <c r="AD328" s="50"/>
      <c r="AE328" s="48"/>
      <c r="AJ328" s="48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7"/>
      <c r="O329" s="48"/>
      <c r="Q329" s="49"/>
      <c r="R329" s="50"/>
      <c r="S329" s="48"/>
      <c r="U329" s="49"/>
      <c r="V329" s="50"/>
      <c r="W329" s="48"/>
      <c r="Y329" s="49"/>
      <c r="Z329" s="50"/>
      <c r="AA329" s="48"/>
      <c r="AC329" s="49"/>
      <c r="AD329" s="50"/>
      <c r="AE329" s="48"/>
      <c r="AJ329" s="48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7"/>
      <c r="O330" s="48"/>
      <c r="Q330" s="49"/>
      <c r="R330" s="50"/>
      <c r="S330" s="48"/>
      <c r="U330" s="49"/>
      <c r="V330" s="50"/>
      <c r="W330" s="48"/>
      <c r="Y330" s="49"/>
      <c r="Z330" s="50"/>
      <c r="AA330" s="48"/>
      <c r="AC330" s="49"/>
      <c r="AD330" s="50"/>
      <c r="AE330" s="48"/>
      <c r="AJ330" s="48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7"/>
      <c r="O331" s="48"/>
      <c r="Q331" s="49"/>
      <c r="R331" s="50"/>
      <c r="S331" s="48"/>
      <c r="U331" s="49"/>
      <c r="V331" s="50"/>
      <c r="W331" s="48"/>
      <c r="Y331" s="49"/>
      <c r="Z331" s="50"/>
      <c r="AA331" s="48"/>
      <c r="AC331" s="49"/>
      <c r="AD331" s="50"/>
      <c r="AE331" s="48"/>
      <c r="AJ331" s="48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7"/>
      <c r="O332" s="48"/>
      <c r="Q332" s="49"/>
      <c r="R332" s="50"/>
      <c r="S332" s="48"/>
      <c r="U332" s="49"/>
      <c r="V332" s="50"/>
      <c r="W332" s="48"/>
      <c r="Y332" s="49"/>
      <c r="Z332" s="50"/>
      <c r="AA332" s="48"/>
      <c r="AC332" s="49"/>
      <c r="AD332" s="50"/>
      <c r="AE332" s="48"/>
      <c r="AJ332" s="48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7"/>
      <c r="O333" s="48"/>
      <c r="Q333" s="49"/>
      <c r="R333" s="50"/>
      <c r="S333" s="48"/>
      <c r="U333" s="49"/>
      <c r="V333" s="50"/>
      <c r="W333" s="48"/>
      <c r="Y333" s="49"/>
      <c r="Z333" s="50"/>
      <c r="AA333" s="48"/>
      <c r="AC333" s="49"/>
      <c r="AD333" s="50"/>
      <c r="AE333" s="48"/>
      <c r="AJ333" s="48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7"/>
      <c r="O334" s="48"/>
      <c r="Q334" s="49"/>
      <c r="R334" s="50"/>
      <c r="S334" s="48"/>
      <c r="U334" s="49"/>
      <c r="V334" s="50"/>
      <c r="W334" s="48"/>
      <c r="Y334" s="49"/>
      <c r="Z334" s="50"/>
      <c r="AA334" s="48"/>
      <c r="AC334" s="49"/>
      <c r="AD334" s="50"/>
      <c r="AE334" s="48"/>
      <c r="AJ334" s="48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7"/>
      <c r="O335" s="48"/>
      <c r="Q335" s="49"/>
      <c r="R335" s="50"/>
      <c r="S335" s="48"/>
      <c r="U335" s="49"/>
      <c r="V335" s="50"/>
      <c r="W335" s="48"/>
      <c r="Y335" s="49"/>
      <c r="Z335" s="50"/>
      <c r="AA335" s="48"/>
      <c r="AC335" s="49"/>
      <c r="AD335" s="50"/>
      <c r="AE335" s="48"/>
      <c r="AJ335" s="48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7"/>
      <c r="O336" s="48"/>
      <c r="Q336" s="49"/>
      <c r="R336" s="50"/>
      <c r="S336" s="48"/>
      <c r="U336" s="49"/>
      <c r="V336" s="50"/>
      <c r="W336" s="48"/>
      <c r="Y336" s="49"/>
      <c r="Z336" s="50"/>
      <c r="AA336" s="48"/>
      <c r="AC336" s="49"/>
      <c r="AD336" s="50"/>
      <c r="AE336" s="48"/>
      <c r="AJ336" s="48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7"/>
      <c r="O337" s="48"/>
      <c r="Q337" s="49"/>
      <c r="R337" s="50"/>
      <c r="S337" s="48"/>
      <c r="U337" s="49"/>
      <c r="V337" s="50"/>
      <c r="W337" s="48"/>
      <c r="Y337" s="49"/>
      <c r="Z337" s="50"/>
      <c r="AA337" s="48"/>
      <c r="AC337" s="49"/>
      <c r="AD337" s="50"/>
      <c r="AE337" s="48"/>
      <c r="AJ337" s="48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7"/>
      <c r="O338" s="48"/>
      <c r="Q338" s="49"/>
      <c r="R338" s="50"/>
      <c r="S338" s="48"/>
      <c r="U338" s="49"/>
      <c r="V338" s="50"/>
      <c r="W338" s="48"/>
      <c r="Y338" s="49"/>
      <c r="Z338" s="50"/>
      <c r="AA338" s="48"/>
      <c r="AC338" s="49"/>
      <c r="AD338" s="50"/>
      <c r="AE338" s="48"/>
      <c r="AJ338" s="48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7"/>
      <c r="O339" s="48"/>
      <c r="Q339" s="49"/>
      <c r="R339" s="50"/>
      <c r="S339" s="48"/>
      <c r="U339" s="49"/>
      <c r="V339" s="50"/>
      <c r="W339" s="48"/>
      <c r="Y339" s="49"/>
      <c r="Z339" s="50"/>
      <c r="AA339" s="48"/>
      <c r="AC339" s="49"/>
      <c r="AD339" s="50"/>
      <c r="AE339" s="48"/>
      <c r="AJ339" s="48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7"/>
      <c r="O340" s="48"/>
      <c r="Q340" s="49"/>
      <c r="R340" s="50"/>
      <c r="S340" s="48"/>
      <c r="U340" s="49"/>
      <c r="V340" s="50"/>
      <c r="W340" s="48"/>
      <c r="Y340" s="49"/>
      <c r="Z340" s="50"/>
      <c r="AA340" s="48"/>
      <c r="AC340" s="49"/>
      <c r="AD340" s="50"/>
      <c r="AE340" s="48"/>
      <c r="AJ340" s="48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7"/>
      <c r="O341" s="48"/>
      <c r="Q341" s="49"/>
      <c r="R341" s="50"/>
      <c r="S341" s="48"/>
      <c r="U341" s="49"/>
      <c r="V341" s="50"/>
      <c r="W341" s="48"/>
      <c r="Y341" s="49"/>
      <c r="Z341" s="50"/>
      <c r="AA341" s="48"/>
      <c r="AC341" s="49"/>
      <c r="AD341" s="50"/>
      <c r="AE341" s="48"/>
      <c r="AJ341" s="48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7"/>
      <c r="O342" s="48"/>
      <c r="Q342" s="49"/>
      <c r="R342" s="50"/>
      <c r="S342" s="48"/>
      <c r="U342" s="49"/>
      <c r="V342" s="50"/>
      <c r="W342" s="48"/>
      <c r="Y342" s="49"/>
      <c r="Z342" s="50"/>
      <c r="AA342" s="48"/>
      <c r="AC342" s="49"/>
      <c r="AD342" s="50"/>
      <c r="AE342" s="48"/>
      <c r="AJ342" s="48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7"/>
      <c r="O343" s="48"/>
      <c r="Q343" s="49"/>
      <c r="R343" s="50"/>
      <c r="S343" s="48"/>
      <c r="U343" s="49"/>
      <c r="V343" s="50"/>
      <c r="W343" s="48"/>
      <c r="Y343" s="49"/>
      <c r="Z343" s="50"/>
      <c r="AA343" s="48"/>
      <c r="AC343" s="49"/>
      <c r="AD343" s="50"/>
      <c r="AE343" s="48"/>
      <c r="AJ343" s="48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7"/>
      <c r="O344" s="48"/>
      <c r="Q344" s="49"/>
      <c r="R344" s="50"/>
      <c r="S344" s="48"/>
      <c r="U344" s="49"/>
      <c r="V344" s="50"/>
      <c r="W344" s="48"/>
      <c r="Y344" s="49"/>
      <c r="Z344" s="50"/>
      <c r="AA344" s="48"/>
      <c r="AC344" s="49"/>
      <c r="AD344" s="50"/>
      <c r="AE344" s="48"/>
      <c r="AJ344" s="48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7"/>
      <c r="O345" s="48"/>
      <c r="Q345" s="49"/>
      <c r="R345" s="50"/>
      <c r="S345" s="48"/>
      <c r="U345" s="49"/>
      <c r="V345" s="50"/>
      <c r="W345" s="48"/>
      <c r="Y345" s="49"/>
      <c r="Z345" s="50"/>
      <c r="AA345" s="48"/>
      <c r="AC345" s="49"/>
      <c r="AD345" s="50"/>
      <c r="AE345" s="48"/>
      <c r="AJ345" s="48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7"/>
      <c r="O346" s="48"/>
      <c r="Q346" s="49"/>
      <c r="R346" s="50"/>
      <c r="S346" s="48"/>
      <c r="U346" s="49"/>
      <c r="V346" s="50"/>
      <c r="W346" s="48"/>
      <c r="Y346" s="49"/>
      <c r="Z346" s="50"/>
      <c r="AA346" s="48"/>
      <c r="AC346" s="49"/>
      <c r="AD346" s="50"/>
      <c r="AE346" s="48"/>
      <c r="AJ346" s="48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7"/>
      <c r="O347" s="48"/>
      <c r="Q347" s="49"/>
      <c r="R347" s="50"/>
      <c r="S347" s="48"/>
      <c r="U347" s="49"/>
      <c r="V347" s="50"/>
      <c r="W347" s="48"/>
      <c r="Y347" s="49"/>
      <c r="Z347" s="50"/>
      <c r="AA347" s="48"/>
      <c r="AC347" s="49"/>
      <c r="AD347" s="50"/>
      <c r="AE347" s="48"/>
      <c r="AJ347" s="48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7"/>
      <c r="O348" s="48"/>
      <c r="Q348" s="49"/>
      <c r="R348" s="50"/>
      <c r="S348" s="48"/>
      <c r="U348" s="49"/>
      <c r="V348" s="50"/>
      <c r="W348" s="48"/>
      <c r="Y348" s="49"/>
      <c r="Z348" s="50"/>
      <c r="AA348" s="48"/>
      <c r="AC348" s="49"/>
      <c r="AD348" s="50"/>
      <c r="AE348" s="48"/>
      <c r="AJ348" s="48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7"/>
      <c r="O349" s="48"/>
      <c r="Q349" s="49"/>
      <c r="R349" s="50"/>
      <c r="S349" s="48"/>
      <c r="U349" s="49"/>
      <c r="V349" s="50"/>
      <c r="W349" s="48"/>
      <c r="Y349" s="49"/>
      <c r="Z349" s="50"/>
      <c r="AA349" s="48"/>
      <c r="AC349" s="49"/>
      <c r="AD349" s="50"/>
      <c r="AE349" s="48"/>
      <c r="AJ349" s="48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7"/>
      <c r="O350" s="48"/>
      <c r="Q350" s="49"/>
      <c r="R350" s="50"/>
      <c r="S350" s="48"/>
      <c r="U350" s="49"/>
      <c r="V350" s="50"/>
      <c r="W350" s="48"/>
      <c r="Y350" s="49"/>
      <c r="Z350" s="50"/>
      <c r="AA350" s="48"/>
      <c r="AC350" s="49"/>
      <c r="AD350" s="50"/>
      <c r="AE350" s="48"/>
      <c r="AJ350" s="48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7"/>
      <c r="O351" s="48"/>
      <c r="Q351" s="49"/>
      <c r="R351" s="50"/>
      <c r="S351" s="48"/>
      <c r="U351" s="49"/>
      <c r="V351" s="50"/>
      <c r="W351" s="48"/>
      <c r="Y351" s="49"/>
      <c r="Z351" s="50"/>
      <c r="AA351" s="48"/>
      <c r="AC351" s="49"/>
      <c r="AD351" s="50"/>
      <c r="AE351" s="48"/>
      <c r="AJ351" s="48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7"/>
      <c r="O352" s="48"/>
      <c r="Q352" s="49"/>
      <c r="R352" s="50"/>
      <c r="S352" s="48"/>
      <c r="U352" s="49"/>
      <c r="V352" s="50"/>
      <c r="W352" s="48"/>
      <c r="Y352" s="49"/>
      <c r="Z352" s="50"/>
      <c r="AA352" s="48"/>
      <c r="AC352" s="49"/>
      <c r="AD352" s="50"/>
      <c r="AE352" s="48"/>
      <c r="AJ352" s="48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7"/>
      <c r="O353" s="48"/>
      <c r="Q353" s="49"/>
      <c r="R353" s="50"/>
      <c r="S353" s="48"/>
      <c r="U353" s="49"/>
      <c r="V353" s="50"/>
      <c r="W353" s="48"/>
      <c r="Y353" s="49"/>
      <c r="Z353" s="50"/>
      <c r="AA353" s="48"/>
      <c r="AC353" s="49"/>
      <c r="AD353" s="50"/>
      <c r="AE353" s="48"/>
      <c r="AJ353" s="48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7"/>
      <c r="O354" s="48"/>
      <c r="Q354" s="49"/>
      <c r="R354" s="50"/>
      <c r="S354" s="48"/>
      <c r="U354" s="49"/>
      <c r="V354" s="50"/>
      <c r="W354" s="48"/>
      <c r="Y354" s="49"/>
      <c r="Z354" s="50"/>
      <c r="AA354" s="48"/>
      <c r="AC354" s="49"/>
      <c r="AD354" s="50"/>
      <c r="AE354" s="48"/>
      <c r="AJ354" s="48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7"/>
      <c r="O355" s="48"/>
      <c r="Q355" s="49"/>
      <c r="R355" s="50"/>
      <c r="S355" s="48"/>
      <c r="U355" s="49"/>
      <c r="V355" s="50"/>
      <c r="W355" s="48"/>
      <c r="Y355" s="49"/>
      <c r="Z355" s="50"/>
      <c r="AA355" s="48"/>
      <c r="AC355" s="49"/>
      <c r="AD355" s="50"/>
      <c r="AE355" s="48"/>
      <c r="AJ355" s="48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7"/>
      <c r="O356" s="48"/>
      <c r="Q356" s="49"/>
      <c r="R356" s="50"/>
      <c r="S356" s="48"/>
      <c r="U356" s="49"/>
      <c r="V356" s="50"/>
      <c r="W356" s="48"/>
      <c r="Y356" s="49"/>
      <c r="Z356" s="50"/>
      <c r="AA356" s="48"/>
      <c r="AC356" s="49"/>
      <c r="AD356" s="50"/>
      <c r="AE356" s="48"/>
      <c r="AJ356" s="48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7"/>
      <c r="O357" s="48"/>
      <c r="Q357" s="49"/>
      <c r="R357" s="50"/>
      <c r="S357" s="48"/>
      <c r="U357" s="49"/>
      <c r="V357" s="50"/>
      <c r="W357" s="48"/>
      <c r="Y357" s="49"/>
      <c r="Z357" s="50"/>
      <c r="AA357" s="48"/>
      <c r="AC357" s="49"/>
      <c r="AD357" s="50"/>
      <c r="AE357" s="48"/>
      <c r="AJ357" s="48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7"/>
      <c r="O358" s="48"/>
      <c r="Q358" s="49"/>
      <c r="R358" s="50"/>
      <c r="S358" s="48"/>
      <c r="U358" s="49"/>
      <c r="V358" s="50"/>
      <c r="W358" s="48"/>
      <c r="Y358" s="49"/>
      <c r="Z358" s="50"/>
      <c r="AA358" s="48"/>
      <c r="AC358" s="49"/>
      <c r="AD358" s="50"/>
      <c r="AE358" s="48"/>
      <c r="AJ358" s="48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7"/>
      <c r="O359" s="48"/>
      <c r="Q359" s="49"/>
      <c r="R359" s="50"/>
      <c r="S359" s="48"/>
      <c r="U359" s="49"/>
      <c r="V359" s="50"/>
      <c r="W359" s="48"/>
      <c r="Y359" s="49"/>
      <c r="Z359" s="50"/>
      <c r="AA359" s="48"/>
      <c r="AC359" s="49"/>
      <c r="AD359" s="50"/>
      <c r="AE359" s="48"/>
      <c r="AJ359" s="48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7"/>
      <c r="O360" s="48"/>
      <c r="Q360" s="49"/>
      <c r="R360" s="50"/>
      <c r="S360" s="48"/>
      <c r="U360" s="49"/>
      <c r="V360" s="50"/>
      <c r="W360" s="48"/>
      <c r="Y360" s="49"/>
      <c r="Z360" s="50"/>
      <c r="AA360" s="48"/>
      <c r="AC360" s="49"/>
      <c r="AD360" s="50"/>
      <c r="AE360" s="48"/>
      <c r="AJ360" s="48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7"/>
      <c r="O361" s="48"/>
      <c r="Q361" s="49"/>
      <c r="R361" s="50"/>
      <c r="S361" s="48"/>
      <c r="U361" s="49"/>
      <c r="V361" s="50"/>
      <c r="W361" s="48"/>
      <c r="Y361" s="49"/>
      <c r="Z361" s="50"/>
      <c r="AA361" s="48"/>
      <c r="AC361" s="49"/>
      <c r="AD361" s="50"/>
      <c r="AE361" s="48"/>
      <c r="AJ361" s="48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7"/>
      <c r="O362" s="48"/>
      <c r="Q362" s="49"/>
      <c r="R362" s="50"/>
      <c r="S362" s="48"/>
      <c r="U362" s="49"/>
      <c r="V362" s="50"/>
      <c r="W362" s="48"/>
      <c r="Y362" s="49"/>
      <c r="Z362" s="50"/>
      <c r="AA362" s="48"/>
      <c r="AC362" s="49"/>
      <c r="AD362" s="50"/>
      <c r="AE362" s="48"/>
      <c r="AJ362" s="48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7"/>
      <c r="O363" s="48"/>
      <c r="Q363" s="49"/>
      <c r="R363" s="50"/>
      <c r="S363" s="48"/>
      <c r="U363" s="49"/>
      <c r="V363" s="50"/>
      <c r="W363" s="48"/>
      <c r="Y363" s="49"/>
      <c r="Z363" s="50"/>
      <c r="AA363" s="48"/>
      <c r="AC363" s="49"/>
      <c r="AD363" s="50"/>
      <c r="AE363" s="48"/>
      <c r="AJ363" s="48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7"/>
      <c r="O364" s="48"/>
      <c r="Q364" s="49"/>
      <c r="R364" s="50"/>
      <c r="S364" s="48"/>
      <c r="U364" s="49"/>
      <c r="V364" s="50"/>
      <c r="W364" s="48"/>
      <c r="Y364" s="49"/>
      <c r="Z364" s="50"/>
      <c r="AA364" s="48"/>
      <c r="AC364" s="49"/>
      <c r="AD364" s="50"/>
      <c r="AE364" s="48"/>
      <c r="AJ364" s="48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7"/>
      <c r="O365" s="48"/>
      <c r="Q365" s="49"/>
      <c r="R365" s="50"/>
      <c r="S365" s="48"/>
      <c r="U365" s="49"/>
      <c r="V365" s="50"/>
      <c r="W365" s="48"/>
      <c r="Y365" s="49"/>
      <c r="Z365" s="50"/>
      <c r="AA365" s="48"/>
      <c r="AC365" s="49"/>
      <c r="AD365" s="50"/>
      <c r="AE365" s="48"/>
      <c r="AJ365" s="48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7"/>
      <c r="O366" s="48"/>
      <c r="Q366" s="49"/>
      <c r="R366" s="50"/>
      <c r="S366" s="48"/>
      <c r="U366" s="49"/>
      <c r="V366" s="50"/>
      <c r="W366" s="48"/>
      <c r="Y366" s="49"/>
      <c r="Z366" s="50"/>
      <c r="AA366" s="48"/>
      <c r="AC366" s="49"/>
      <c r="AD366" s="50"/>
      <c r="AE366" s="48"/>
      <c r="AJ366" s="48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7"/>
      <c r="O367" s="48"/>
      <c r="Q367" s="49"/>
      <c r="R367" s="50"/>
      <c r="S367" s="48"/>
      <c r="U367" s="49"/>
      <c r="V367" s="50"/>
      <c r="W367" s="48"/>
      <c r="Y367" s="49"/>
      <c r="Z367" s="50"/>
      <c r="AA367" s="48"/>
      <c r="AC367" s="49"/>
      <c r="AD367" s="50"/>
      <c r="AE367" s="48"/>
      <c r="AJ367" s="48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7"/>
      <c r="O368" s="48"/>
      <c r="Q368" s="49"/>
      <c r="R368" s="50"/>
      <c r="S368" s="48"/>
      <c r="U368" s="49"/>
      <c r="V368" s="50"/>
      <c r="W368" s="48"/>
      <c r="Y368" s="49"/>
      <c r="Z368" s="50"/>
      <c r="AA368" s="48"/>
      <c r="AC368" s="49"/>
      <c r="AD368" s="50"/>
      <c r="AE368" s="48"/>
      <c r="AJ368" s="48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7"/>
      <c r="O369" s="48"/>
      <c r="Q369" s="49"/>
      <c r="R369" s="50"/>
      <c r="S369" s="48"/>
      <c r="U369" s="49"/>
      <c r="V369" s="50"/>
      <c r="W369" s="48"/>
      <c r="Y369" s="49"/>
      <c r="Z369" s="50"/>
      <c r="AA369" s="48"/>
      <c r="AC369" s="49"/>
      <c r="AD369" s="50"/>
      <c r="AE369" s="48"/>
      <c r="AJ369" s="48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7"/>
      <c r="O370" s="48"/>
      <c r="Q370" s="49"/>
      <c r="R370" s="50"/>
      <c r="S370" s="48"/>
      <c r="U370" s="49"/>
      <c r="V370" s="50"/>
      <c r="W370" s="48"/>
      <c r="Y370" s="49"/>
      <c r="Z370" s="50"/>
      <c r="AA370" s="48"/>
      <c r="AC370" s="49"/>
      <c r="AD370" s="50"/>
      <c r="AE370" s="48"/>
      <c r="AJ370" s="48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7"/>
      <c r="O371" s="48"/>
      <c r="Q371" s="49"/>
      <c r="R371" s="50"/>
      <c r="S371" s="48"/>
      <c r="U371" s="49"/>
      <c r="V371" s="50"/>
      <c r="W371" s="48"/>
      <c r="Y371" s="49"/>
      <c r="Z371" s="50"/>
      <c r="AA371" s="48"/>
      <c r="AC371" s="49"/>
      <c r="AD371" s="50"/>
      <c r="AE371" s="48"/>
      <c r="AJ371" s="48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7"/>
      <c r="O372" s="48"/>
      <c r="Q372" s="49"/>
      <c r="R372" s="50"/>
      <c r="S372" s="48"/>
      <c r="U372" s="49"/>
      <c r="V372" s="50"/>
      <c r="W372" s="48"/>
      <c r="Y372" s="49"/>
      <c r="Z372" s="50"/>
      <c r="AA372" s="48"/>
      <c r="AC372" s="49"/>
      <c r="AD372" s="50"/>
      <c r="AE372" s="48"/>
      <c r="AJ372" s="48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7"/>
      <c r="O373" s="48"/>
      <c r="Q373" s="49"/>
      <c r="R373" s="50"/>
      <c r="S373" s="48"/>
      <c r="U373" s="49"/>
      <c r="V373" s="50"/>
      <c r="W373" s="48"/>
      <c r="Y373" s="49"/>
      <c r="Z373" s="50"/>
      <c r="AA373" s="48"/>
      <c r="AC373" s="49"/>
      <c r="AD373" s="50"/>
      <c r="AE373" s="48"/>
      <c r="AJ373" s="48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7"/>
      <c r="O374" s="48"/>
      <c r="Q374" s="49"/>
      <c r="R374" s="50"/>
      <c r="S374" s="48"/>
      <c r="U374" s="49"/>
      <c r="V374" s="50"/>
      <c r="W374" s="48"/>
      <c r="Y374" s="49"/>
      <c r="Z374" s="50"/>
      <c r="AA374" s="48"/>
      <c r="AC374" s="49"/>
      <c r="AD374" s="50"/>
      <c r="AE374" s="48"/>
      <c r="AJ374" s="48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7"/>
      <c r="O375" s="48"/>
      <c r="Q375" s="49"/>
      <c r="R375" s="50"/>
      <c r="S375" s="48"/>
      <c r="U375" s="49"/>
      <c r="V375" s="50"/>
      <c r="W375" s="48"/>
      <c r="Y375" s="49"/>
      <c r="Z375" s="50"/>
      <c r="AA375" s="48"/>
      <c r="AC375" s="49"/>
      <c r="AD375" s="50"/>
      <c r="AE375" s="48"/>
      <c r="AJ375" s="48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7"/>
      <c r="O376" s="48"/>
      <c r="Q376" s="49"/>
      <c r="R376" s="50"/>
      <c r="S376" s="48"/>
      <c r="U376" s="49"/>
      <c r="V376" s="50"/>
      <c r="W376" s="48"/>
      <c r="Y376" s="49"/>
      <c r="Z376" s="50"/>
      <c r="AA376" s="48"/>
      <c r="AC376" s="49"/>
      <c r="AD376" s="50"/>
      <c r="AE376" s="48"/>
      <c r="AJ376" s="48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7"/>
      <c r="O377" s="48"/>
      <c r="Q377" s="49"/>
      <c r="R377" s="50"/>
      <c r="S377" s="48"/>
      <c r="U377" s="49"/>
      <c r="V377" s="50"/>
      <c r="W377" s="48"/>
      <c r="Y377" s="49"/>
      <c r="Z377" s="50"/>
      <c r="AA377" s="48"/>
      <c r="AC377" s="49"/>
      <c r="AD377" s="50"/>
      <c r="AE377" s="48"/>
      <c r="AJ377" s="48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7"/>
      <c r="O378" s="48"/>
      <c r="Q378" s="49"/>
      <c r="R378" s="50"/>
      <c r="S378" s="48"/>
      <c r="U378" s="49"/>
      <c r="V378" s="50"/>
      <c r="W378" s="48"/>
      <c r="Y378" s="49"/>
      <c r="Z378" s="50"/>
      <c r="AA378" s="48"/>
      <c r="AC378" s="49"/>
      <c r="AD378" s="50"/>
      <c r="AE378" s="48"/>
      <c r="AJ378" s="48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7"/>
      <c r="O379" s="48"/>
      <c r="Q379" s="49"/>
      <c r="R379" s="50"/>
      <c r="S379" s="48"/>
      <c r="U379" s="49"/>
      <c r="V379" s="50"/>
      <c r="W379" s="48"/>
      <c r="Y379" s="49"/>
      <c r="Z379" s="50"/>
      <c r="AA379" s="48"/>
      <c r="AC379" s="49"/>
      <c r="AD379" s="50"/>
      <c r="AE379" s="48"/>
      <c r="AJ379" s="48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7"/>
      <c r="O380" s="48"/>
      <c r="Q380" s="49"/>
      <c r="R380" s="50"/>
      <c r="S380" s="48"/>
      <c r="U380" s="49"/>
      <c r="V380" s="50"/>
      <c r="W380" s="48"/>
      <c r="Y380" s="49"/>
      <c r="Z380" s="50"/>
      <c r="AA380" s="48"/>
      <c r="AC380" s="49"/>
      <c r="AD380" s="50"/>
      <c r="AE380" s="48"/>
      <c r="AJ380" s="48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7"/>
      <c r="O381" s="48"/>
      <c r="Q381" s="49"/>
      <c r="R381" s="50"/>
      <c r="S381" s="48"/>
      <c r="U381" s="49"/>
      <c r="V381" s="50"/>
      <c r="W381" s="48"/>
      <c r="Y381" s="49"/>
      <c r="Z381" s="50"/>
      <c r="AA381" s="48"/>
      <c r="AC381" s="49"/>
      <c r="AD381" s="50"/>
      <c r="AE381" s="48"/>
      <c r="AJ381" s="48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7"/>
      <c r="O382" s="48"/>
      <c r="Q382" s="49"/>
      <c r="R382" s="50"/>
      <c r="S382" s="48"/>
      <c r="U382" s="49"/>
      <c r="V382" s="50"/>
      <c r="W382" s="48"/>
      <c r="Y382" s="49"/>
      <c r="Z382" s="50"/>
      <c r="AA382" s="48"/>
      <c r="AC382" s="49"/>
      <c r="AD382" s="50"/>
      <c r="AE382" s="48"/>
      <c r="AJ382" s="48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7"/>
      <c r="O383" s="48"/>
      <c r="Q383" s="49"/>
      <c r="R383" s="50"/>
      <c r="S383" s="48"/>
      <c r="U383" s="49"/>
      <c r="V383" s="50"/>
      <c r="W383" s="48"/>
      <c r="Y383" s="49"/>
      <c r="Z383" s="50"/>
      <c r="AA383" s="48"/>
      <c r="AC383" s="49"/>
      <c r="AD383" s="50"/>
      <c r="AE383" s="48"/>
      <c r="AJ383" s="48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7"/>
      <c r="O384" s="48"/>
      <c r="Q384" s="49"/>
      <c r="R384" s="50"/>
      <c r="S384" s="48"/>
      <c r="U384" s="49"/>
      <c r="V384" s="50"/>
      <c r="W384" s="48"/>
      <c r="Y384" s="49"/>
      <c r="Z384" s="50"/>
      <c r="AA384" s="48"/>
      <c r="AC384" s="49"/>
      <c r="AD384" s="50"/>
      <c r="AE384" s="48"/>
      <c r="AJ384" s="48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7"/>
      <c r="O385" s="48"/>
      <c r="Q385" s="49"/>
      <c r="R385" s="50"/>
      <c r="S385" s="48"/>
      <c r="U385" s="49"/>
      <c r="V385" s="50"/>
      <c r="W385" s="48"/>
      <c r="Y385" s="49"/>
      <c r="Z385" s="50"/>
      <c r="AA385" s="48"/>
      <c r="AC385" s="49"/>
      <c r="AD385" s="50"/>
      <c r="AE385" s="48"/>
      <c r="AJ385" s="48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7"/>
      <c r="O386" s="48"/>
      <c r="Q386" s="49"/>
      <c r="R386" s="50"/>
      <c r="S386" s="48"/>
      <c r="U386" s="49"/>
      <c r="V386" s="50"/>
      <c r="W386" s="48"/>
      <c r="Y386" s="49"/>
      <c r="Z386" s="50"/>
      <c r="AA386" s="48"/>
      <c r="AC386" s="49"/>
      <c r="AD386" s="50"/>
      <c r="AE386" s="48"/>
      <c r="AJ386" s="48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7"/>
      <c r="O387" s="48"/>
      <c r="Q387" s="49"/>
      <c r="R387" s="50"/>
      <c r="S387" s="48"/>
      <c r="U387" s="49"/>
      <c r="V387" s="50"/>
      <c r="W387" s="48"/>
      <c r="Y387" s="49"/>
      <c r="Z387" s="50"/>
      <c r="AA387" s="48"/>
      <c r="AC387" s="49"/>
      <c r="AD387" s="50"/>
      <c r="AE387" s="48"/>
      <c r="AJ387" s="48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7"/>
      <c r="O388" s="48"/>
      <c r="Q388" s="49"/>
      <c r="R388" s="50"/>
      <c r="S388" s="48"/>
      <c r="U388" s="49"/>
      <c r="V388" s="50"/>
      <c r="W388" s="48"/>
      <c r="Y388" s="49"/>
      <c r="Z388" s="50"/>
      <c r="AA388" s="48"/>
      <c r="AC388" s="49"/>
      <c r="AD388" s="50"/>
      <c r="AE388" s="48"/>
      <c r="AJ388" s="48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7"/>
      <c r="O389" s="48"/>
      <c r="Q389" s="49"/>
      <c r="R389" s="50"/>
      <c r="S389" s="48"/>
      <c r="U389" s="49"/>
      <c r="V389" s="50"/>
      <c r="W389" s="48"/>
      <c r="Y389" s="49"/>
      <c r="Z389" s="50"/>
      <c r="AA389" s="48"/>
      <c r="AC389" s="49"/>
      <c r="AD389" s="50"/>
      <c r="AE389" s="48"/>
      <c r="AJ389" s="48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7"/>
      <c r="O390" s="48"/>
      <c r="Q390" s="49"/>
      <c r="R390" s="50"/>
      <c r="S390" s="48"/>
      <c r="U390" s="49"/>
      <c r="V390" s="50"/>
      <c r="W390" s="48"/>
      <c r="Y390" s="49"/>
      <c r="Z390" s="50"/>
      <c r="AA390" s="48"/>
      <c r="AC390" s="49"/>
      <c r="AD390" s="50"/>
      <c r="AE390" s="48"/>
      <c r="AJ390" s="48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7"/>
      <c r="O391" s="48"/>
      <c r="Q391" s="49"/>
      <c r="R391" s="50"/>
      <c r="S391" s="48"/>
      <c r="U391" s="49"/>
      <c r="V391" s="50"/>
      <c r="W391" s="48"/>
      <c r="Y391" s="49"/>
      <c r="Z391" s="50"/>
      <c r="AA391" s="48"/>
      <c r="AC391" s="49"/>
      <c r="AD391" s="50"/>
      <c r="AE391" s="48"/>
      <c r="AJ391" s="48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7"/>
      <c r="O392" s="48"/>
      <c r="Q392" s="49"/>
      <c r="R392" s="50"/>
      <c r="S392" s="48"/>
      <c r="U392" s="49"/>
      <c r="V392" s="50"/>
      <c r="W392" s="48"/>
      <c r="Y392" s="49"/>
      <c r="Z392" s="50"/>
      <c r="AA392" s="48"/>
      <c r="AC392" s="49"/>
      <c r="AD392" s="50"/>
      <c r="AE392" s="48"/>
      <c r="AJ392" s="48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7"/>
      <c r="O393" s="48"/>
      <c r="Q393" s="49"/>
      <c r="R393" s="50"/>
      <c r="S393" s="48"/>
      <c r="U393" s="49"/>
      <c r="V393" s="50"/>
      <c r="W393" s="48"/>
      <c r="Y393" s="49"/>
      <c r="Z393" s="50"/>
      <c r="AA393" s="48"/>
      <c r="AC393" s="49"/>
      <c r="AD393" s="50"/>
      <c r="AE393" s="48"/>
      <c r="AJ393" s="48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7"/>
      <c r="O394" s="48"/>
      <c r="Q394" s="49"/>
      <c r="R394" s="50"/>
      <c r="S394" s="48"/>
      <c r="U394" s="49"/>
      <c r="V394" s="50"/>
      <c r="W394" s="48"/>
      <c r="Y394" s="49"/>
      <c r="Z394" s="50"/>
      <c r="AA394" s="48"/>
      <c r="AC394" s="49"/>
      <c r="AD394" s="50"/>
      <c r="AE394" s="48"/>
      <c r="AJ394" s="48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7"/>
      <c r="O395" s="48"/>
      <c r="Q395" s="49"/>
      <c r="R395" s="50"/>
      <c r="S395" s="48"/>
      <c r="U395" s="49"/>
      <c r="V395" s="50"/>
      <c r="W395" s="48"/>
      <c r="Y395" s="49"/>
      <c r="Z395" s="50"/>
      <c r="AA395" s="48"/>
      <c r="AC395" s="49"/>
      <c r="AD395" s="50"/>
      <c r="AE395" s="48"/>
      <c r="AJ395" s="48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7"/>
      <c r="O396" s="48"/>
      <c r="Q396" s="49"/>
      <c r="R396" s="50"/>
      <c r="S396" s="48"/>
      <c r="U396" s="49"/>
      <c r="V396" s="50"/>
      <c r="W396" s="48"/>
      <c r="Y396" s="49"/>
      <c r="Z396" s="50"/>
      <c r="AA396" s="48"/>
      <c r="AC396" s="49"/>
      <c r="AD396" s="50"/>
      <c r="AE396" s="48"/>
      <c r="AJ396" s="48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7"/>
      <c r="O397" s="48"/>
      <c r="Q397" s="49"/>
      <c r="R397" s="50"/>
      <c r="S397" s="48"/>
      <c r="U397" s="49"/>
      <c r="V397" s="50"/>
      <c r="W397" s="48"/>
      <c r="Y397" s="49"/>
      <c r="Z397" s="50"/>
      <c r="AA397" s="48"/>
      <c r="AC397" s="49"/>
      <c r="AD397" s="50"/>
      <c r="AE397" s="48"/>
      <c r="AJ397" s="48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7"/>
      <c r="O398" s="48"/>
      <c r="Q398" s="49"/>
      <c r="R398" s="50"/>
      <c r="S398" s="48"/>
      <c r="U398" s="49"/>
      <c r="V398" s="50"/>
      <c r="W398" s="48"/>
      <c r="Y398" s="49"/>
      <c r="Z398" s="50"/>
      <c r="AA398" s="48"/>
      <c r="AC398" s="49"/>
      <c r="AD398" s="50"/>
      <c r="AE398" s="48"/>
      <c r="AJ398" s="48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7"/>
      <c r="O399" s="48"/>
      <c r="Q399" s="49"/>
      <c r="R399" s="50"/>
      <c r="S399" s="48"/>
      <c r="U399" s="49"/>
      <c r="V399" s="50"/>
      <c r="W399" s="48"/>
      <c r="Y399" s="49"/>
      <c r="Z399" s="50"/>
      <c r="AA399" s="48"/>
      <c r="AC399" s="49"/>
      <c r="AD399" s="50"/>
      <c r="AE399" s="48"/>
      <c r="AJ399" s="48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7"/>
      <c r="O400" s="48"/>
      <c r="Q400" s="49"/>
      <c r="R400" s="50"/>
      <c r="S400" s="48"/>
      <c r="U400" s="49"/>
      <c r="V400" s="50"/>
      <c r="W400" s="48"/>
      <c r="Y400" s="49"/>
      <c r="Z400" s="50"/>
      <c r="AA400" s="48"/>
      <c r="AC400" s="49"/>
      <c r="AD400" s="50"/>
      <c r="AE400" s="48"/>
      <c r="AJ400" s="48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7"/>
      <c r="O401" s="48"/>
      <c r="Q401" s="49"/>
      <c r="R401" s="50"/>
      <c r="S401" s="48"/>
      <c r="U401" s="49"/>
      <c r="V401" s="50"/>
      <c r="W401" s="48"/>
      <c r="Y401" s="49"/>
      <c r="Z401" s="50"/>
      <c r="AA401" s="48"/>
      <c r="AC401" s="49"/>
      <c r="AD401" s="50"/>
      <c r="AE401" s="48"/>
      <c r="AJ401" s="48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7"/>
      <c r="O402" s="48"/>
      <c r="Q402" s="49"/>
      <c r="R402" s="50"/>
      <c r="S402" s="48"/>
      <c r="U402" s="49"/>
      <c r="V402" s="50"/>
      <c r="W402" s="48"/>
      <c r="Y402" s="49"/>
      <c r="Z402" s="50"/>
      <c r="AA402" s="48"/>
      <c r="AC402" s="49"/>
      <c r="AD402" s="50"/>
      <c r="AE402" s="48"/>
      <c r="AJ402" s="48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7"/>
      <c r="O403" s="48"/>
      <c r="Q403" s="49"/>
      <c r="R403" s="50"/>
      <c r="S403" s="48"/>
      <c r="U403" s="49"/>
      <c r="V403" s="50"/>
      <c r="W403" s="48"/>
      <c r="Y403" s="49"/>
      <c r="Z403" s="50"/>
      <c r="AA403" s="48"/>
      <c r="AC403" s="49"/>
      <c r="AD403" s="50"/>
      <c r="AE403" s="48"/>
      <c r="AJ403" s="48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7"/>
      <c r="O404" s="48"/>
      <c r="Q404" s="49"/>
      <c r="R404" s="50"/>
      <c r="S404" s="48"/>
      <c r="U404" s="49"/>
      <c r="V404" s="50"/>
      <c r="W404" s="48"/>
      <c r="Y404" s="49"/>
      <c r="Z404" s="50"/>
      <c r="AA404" s="48"/>
      <c r="AC404" s="49"/>
      <c r="AD404" s="50"/>
      <c r="AE404" s="48"/>
      <c r="AJ404" s="48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7"/>
      <c r="O405" s="48"/>
      <c r="Q405" s="49"/>
      <c r="R405" s="50"/>
      <c r="S405" s="48"/>
      <c r="U405" s="49"/>
      <c r="V405" s="50"/>
      <c r="W405" s="48"/>
      <c r="Y405" s="49"/>
      <c r="Z405" s="50"/>
      <c r="AA405" s="48"/>
      <c r="AC405" s="49"/>
      <c r="AD405" s="50"/>
      <c r="AE405" s="48"/>
      <c r="AJ405" s="48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7"/>
      <c r="O406" s="48"/>
      <c r="Q406" s="49"/>
      <c r="R406" s="50"/>
      <c r="S406" s="48"/>
      <c r="U406" s="49"/>
      <c r="V406" s="50"/>
      <c r="W406" s="48"/>
      <c r="Y406" s="49"/>
      <c r="Z406" s="50"/>
      <c r="AA406" s="48"/>
      <c r="AC406" s="49"/>
      <c r="AD406" s="50"/>
      <c r="AE406" s="48"/>
      <c r="AJ406" s="48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7"/>
      <c r="O407" s="48"/>
      <c r="Q407" s="49"/>
      <c r="R407" s="50"/>
      <c r="S407" s="48"/>
      <c r="U407" s="49"/>
      <c r="V407" s="50"/>
      <c r="W407" s="48"/>
      <c r="Y407" s="49"/>
      <c r="Z407" s="50"/>
      <c r="AA407" s="48"/>
      <c r="AC407" s="49"/>
      <c r="AD407" s="50"/>
      <c r="AE407" s="48"/>
      <c r="AJ407" s="48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7"/>
      <c r="O408" s="48"/>
      <c r="Q408" s="49"/>
      <c r="R408" s="50"/>
      <c r="S408" s="48"/>
      <c r="U408" s="49"/>
      <c r="V408" s="50"/>
      <c r="W408" s="48"/>
      <c r="Y408" s="49"/>
      <c r="Z408" s="50"/>
      <c r="AA408" s="48"/>
      <c r="AC408" s="49"/>
      <c r="AD408" s="50"/>
      <c r="AE408" s="48"/>
      <c r="AJ408" s="48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7"/>
      <c r="O409" s="48"/>
      <c r="Q409" s="49"/>
      <c r="R409" s="50"/>
      <c r="S409" s="48"/>
      <c r="U409" s="49"/>
      <c r="V409" s="50"/>
      <c r="W409" s="48"/>
      <c r="Y409" s="49"/>
      <c r="Z409" s="50"/>
      <c r="AA409" s="48"/>
      <c r="AC409" s="49"/>
      <c r="AD409" s="50"/>
      <c r="AE409" s="48"/>
      <c r="AJ409" s="48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7"/>
      <c r="O410" s="48"/>
      <c r="Q410" s="49"/>
      <c r="R410" s="50"/>
      <c r="S410" s="48"/>
      <c r="U410" s="49"/>
      <c r="V410" s="50"/>
      <c r="W410" s="48"/>
      <c r="Y410" s="49"/>
      <c r="Z410" s="50"/>
      <c r="AA410" s="48"/>
      <c r="AC410" s="49"/>
      <c r="AD410" s="50"/>
      <c r="AE410" s="48"/>
      <c r="AJ410" s="48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7"/>
      <c r="O411" s="48"/>
      <c r="Q411" s="49"/>
      <c r="R411" s="50"/>
      <c r="S411" s="48"/>
      <c r="U411" s="49"/>
      <c r="V411" s="50"/>
      <c r="W411" s="48"/>
      <c r="Y411" s="49"/>
      <c r="Z411" s="50"/>
      <c r="AA411" s="48"/>
      <c r="AC411" s="49"/>
      <c r="AD411" s="50"/>
      <c r="AE411" s="48"/>
      <c r="AJ411" s="48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7"/>
      <c r="O412" s="48"/>
      <c r="Q412" s="49"/>
      <c r="R412" s="50"/>
      <c r="S412" s="48"/>
      <c r="U412" s="49"/>
      <c r="V412" s="50"/>
      <c r="W412" s="48"/>
      <c r="Y412" s="49"/>
      <c r="Z412" s="50"/>
      <c r="AA412" s="48"/>
      <c r="AC412" s="49"/>
      <c r="AD412" s="50"/>
      <c r="AE412" s="48"/>
      <c r="AJ412" s="48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7"/>
      <c r="O413" s="48"/>
      <c r="Q413" s="49"/>
      <c r="R413" s="50"/>
      <c r="S413" s="48"/>
      <c r="U413" s="49"/>
      <c r="V413" s="50"/>
      <c r="W413" s="48"/>
      <c r="Y413" s="49"/>
      <c r="Z413" s="50"/>
      <c r="AA413" s="48"/>
      <c r="AC413" s="49"/>
      <c r="AD413" s="50"/>
      <c r="AE413" s="48"/>
      <c r="AJ413" s="48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7"/>
      <c r="O414" s="48"/>
      <c r="Q414" s="49"/>
      <c r="R414" s="50"/>
      <c r="S414" s="48"/>
      <c r="U414" s="49"/>
      <c r="V414" s="50"/>
      <c r="W414" s="48"/>
      <c r="Y414" s="49"/>
      <c r="Z414" s="50"/>
      <c r="AA414" s="48"/>
      <c r="AC414" s="49"/>
      <c r="AD414" s="50"/>
      <c r="AE414" s="48"/>
      <c r="AJ414" s="48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7"/>
      <c r="O415" s="48"/>
      <c r="Q415" s="49"/>
      <c r="R415" s="50"/>
      <c r="S415" s="48"/>
      <c r="U415" s="49"/>
      <c r="V415" s="50"/>
      <c r="W415" s="48"/>
      <c r="Y415" s="49"/>
      <c r="Z415" s="50"/>
      <c r="AA415" s="48"/>
      <c r="AC415" s="49"/>
      <c r="AD415" s="50"/>
      <c r="AE415" s="48"/>
      <c r="AJ415" s="48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7"/>
      <c r="O416" s="48"/>
      <c r="Q416" s="49"/>
      <c r="R416" s="50"/>
      <c r="S416" s="48"/>
      <c r="U416" s="49"/>
      <c r="V416" s="50"/>
      <c r="W416" s="48"/>
      <c r="Y416" s="49"/>
      <c r="Z416" s="50"/>
      <c r="AA416" s="48"/>
      <c r="AC416" s="49"/>
      <c r="AD416" s="50"/>
      <c r="AE416" s="48"/>
      <c r="AJ416" s="48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7"/>
      <c r="O417" s="48"/>
      <c r="Q417" s="49"/>
      <c r="R417" s="50"/>
      <c r="S417" s="48"/>
      <c r="U417" s="49"/>
      <c r="V417" s="50"/>
      <c r="W417" s="48"/>
      <c r="Y417" s="49"/>
      <c r="Z417" s="50"/>
      <c r="AA417" s="48"/>
      <c r="AC417" s="49"/>
      <c r="AD417" s="50"/>
      <c r="AE417" s="48"/>
      <c r="AJ417" s="48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7"/>
      <c r="O418" s="48"/>
      <c r="Q418" s="49"/>
      <c r="R418" s="50"/>
      <c r="S418" s="48"/>
      <c r="U418" s="49"/>
      <c r="V418" s="50"/>
      <c r="W418" s="48"/>
      <c r="Y418" s="49"/>
      <c r="Z418" s="50"/>
      <c r="AA418" s="48"/>
      <c r="AC418" s="49"/>
      <c r="AD418" s="50"/>
      <c r="AE418" s="48"/>
      <c r="AJ418" s="48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7"/>
      <c r="O419" s="48"/>
      <c r="Q419" s="49"/>
      <c r="R419" s="50"/>
      <c r="S419" s="48"/>
      <c r="U419" s="49"/>
      <c r="V419" s="50"/>
      <c r="W419" s="48"/>
      <c r="Y419" s="49"/>
      <c r="Z419" s="50"/>
      <c r="AA419" s="48"/>
      <c r="AC419" s="49"/>
      <c r="AD419" s="50"/>
      <c r="AE419" s="48"/>
      <c r="AJ419" s="48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7"/>
      <c r="O420" s="48"/>
      <c r="Q420" s="49"/>
      <c r="R420" s="50"/>
      <c r="S420" s="48"/>
      <c r="U420" s="49"/>
      <c r="V420" s="50"/>
      <c r="W420" s="48"/>
      <c r="Y420" s="49"/>
      <c r="Z420" s="50"/>
      <c r="AA420" s="48"/>
      <c r="AC420" s="49"/>
      <c r="AD420" s="50"/>
      <c r="AE420" s="48"/>
      <c r="AJ420" s="48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7"/>
      <c r="O421" s="48"/>
      <c r="Q421" s="49"/>
      <c r="R421" s="50"/>
      <c r="S421" s="48"/>
      <c r="U421" s="49"/>
      <c r="V421" s="50"/>
      <c r="W421" s="48"/>
      <c r="Y421" s="49"/>
      <c r="Z421" s="50"/>
      <c r="AA421" s="48"/>
      <c r="AC421" s="49"/>
      <c r="AD421" s="50"/>
      <c r="AE421" s="48"/>
      <c r="AJ421" s="48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7"/>
      <c r="O422" s="48"/>
      <c r="Q422" s="49"/>
      <c r="R422" s="50"/>
      <c r="S422" s="48"/>
      <c r="U422" s="49"/>
      <c r="V422" s="50"/>
      <c r="W422" s="48"/>
      <c r="Y422" s="49"/>
      <c r="Z422" s="50"/>
      <c r="AA422" s="48"/>
      <c r="AC422" s="49"/>
      <c r="AD422" s="50"/>
      <c r="AE422" s="48"/>
      <c r="AJ422" s="48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7"/>
      <c r="O423" s="48"/>
      <c r="Q423" s="49"/>
      <c r="R423" s="50"/>
      <c r="S423" s="48"/>
      <c r="U423" s="49"/>
      <c r="V423" s="50"/>
      <c r="W423" s="48"/>
      <c r="Y423" s="49"/>
      <c r="Z423" s="50"/>
      <c r="AA423" s="48"/>
      <c r="AC423" s="49"/>
      <c r="AD423" s="50"/>
      <c r="AE423" s="48"/>
      <c r="AJ423" s="48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7"/>
      <c r="O424" s="48"/>
      <c r="Q424" s="49"/>
      <c r="R424" s="50"/>
      <c r="S424" s="48"/>
      <c r="U424" s="49"/>
      <c r="V424" s="50"/>
      <c r="W424" s="48"/>
      <c r="Y424" s="49"/>
      <c r="Z424" s="50"/>
      <c r="AA424" s="48"/>
      <c r="AC424" s="49"/>
      <c r="AD424" s="50"/>
      <c r="AE424" s="48"/>
      <c r="AJ424" s="48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7"/>
      <c r="O425" s="48"/>
      <c r="Q425" s="49"/>
      <c r="R425" s="50"/>
      <c r="S425" s="48"/>
      <c r="U425" s="49"/>
      <c r="V425" s="50"/>
      <c r="W425" s="48"/>
      <c r="Y425" s="49"/>
      <c r="Z425" s="50"/>
      <c r="AA425" s="48"/>
      <c r="AC425" s="49"/>
      <c r="AD425" s="50"/>
      <c r="AE425" s="48"/>
      <c r="AJ425" s="48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7"/>
      <c r="O426" s="48"/>
      <c r="Q426" s="49"/>
      <c r="R426" s="50"/>
      <c r="S426" s="48"/>
      <c r="U426" s="49"/>
      <c r="V426" s="50"/>
      <c r="W426" s="48"/>
      <c r="Y426" s="49"/>
      <c r="Z426" s="50"/>
      <c r="AA426" s="48"/>
      <c r="AC426" s="49"/>
      <c r="AD426" s="50"/>
      <c r="AE426" s="48"/>
      <c r="AJ426" s="48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7"/>
      <c r="O427" s="48"/>
      <c r="Q427" s="49"/>
      <c r="R427" s="50"/>
      <c r="S427" s="48"/>
      <c r="U427" s="49"/>
      <c r="V427" s="50"/>
      <c r="W427" s="48"/>
      <c r="Y427" s="49"/>
      <c r="Z427" s="50"/>
      <c r="AA427" s="48"/>
      <c r="AC427" s="49"/>
      <c r="AD427" s="50"/>
      <c r="AE427" s="48"/>
      <c r="AJ427" s="48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7"/>
      <c r="O428" s="48"/>
      <c r="Q428" s="49"/>
      <c r="R428" s="50"/>
      <c r="S428" s="48"/>
      <c r="U428" s="49"/>
      <c r="V428" s="50"/>
      <c r="W428" s="48"/>
      <c r="Y428" s="49"/>
      <c r="Z428" s="50"/>
      <c r="AA428" s="48"/>
      <c r="AC428" s="49"/>
      <c r="AD428" s="50"/>
      <c r="AE428" s="48"/>
      <c r="AJ428" s="48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7"/>
      <c r="O429" s="48"/>
      <c r="Q429" s="49"/>
      <c r="R429" s="50"/>
      <c r="S429" s="48"/>
      <c r="U429" s="49"/>
      <c r="V429" s="50"/>
      <c r="W429" s="48"/>
      <c r="Y429" s="49"/>
      <c r="Z429" s="50"/>
      <c r="AA429" s="48"/>
      <c r="AC429" s="49"/>
      <c r="AD429" s="50"/>
      <c r="AE429" s="48"/>
      <c r="AJ429" s="48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7"/>
      <c r="O430" s="48"/>
      <c r="Q430" s="49"/>
      <c r="R430" s="50"/>
      <c r="S430" s="48"/>
      <c r="U430" s="49"/>
      <c r="V430" s="50"/>
      <c r="W430" s="48"/>
      <c r="Y430" s="49"/>
      <c r="Z430" s="50"/>
      <c r="AA430" s="48"/>
      <c r="AC430" s="49"/>
      <c r="AD430" s="50"/>
      <c r="AE430" s="48"/>
      <c r="AJ430" s="48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7"/>
      <c r="O431" s="48"/>
      <c r="Q431" s="49"/>
      <c r="R431" s="50"/>
      <c r="S431" s="48"/>
      <c r="U431" s="49"/>
      <c r="V431" s="50"/>
      <c r="W431" s="48"/>
      <c r="Y431" s="49"/>
      <c r="Z431" s="50"/>
      <c r="AA431" s="48"/>
      <c r="AC431" s="49"/>
      <c r="AD431" s="50"/>
      <c r="AE431" s="48"/>
      <c r="AJ431" s="48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7"/>
      <c r="O432" s="48"/>
      <c r="Q432" s="49"/>
      <c r="R432" s="50"/>
      <c r="S432" s="48"/>
      <c r="U432" s="49"/>
      <c r="V432" s="50"/>
      <c r="W432" s="48"/>
      <c r="Y432" s="49"/>
      <c r="Z432" s="50"/>
      <c r="AA432" s="48"/>
      <c r="AC432" s="49"/>
      <c r="AD432" s="50"/>
      <c r="AE432" s="48"/>
      <c r="AJ432" s="48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7"/>
      <c r="O433" s="48"/>
      <c r="Q433" s="49"/>
      <c r="R433" s="50"/>
      <c r="S433" s="48"/>
      <c r="U433" s="49"/>
      <c r="V433" s="50"/>
      <c r="W433" s="48"/>
      <c r="Y433" s="49"/>
      <c r="Z433" s="50"/>
      <c r="AA433" s="48"/>
      <c r="AC433" s="49"/>
      <c r="AD433" s="50"/>
      <c r="AE433" s="48"/>
      <c r="AJ433" s="48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7"/>
      <c r="O434" s="48"/>
      <c r="Q434" s="49"/>
      <c r="R434" s="50"/>
      <c r="S434" s="48"/>
      <c r="U434" s="49"/>
      <c r="V434" s="50"/>
      <c r="W434" s="48"/>
      <c r="Y434" s="49"/>
      <c r="Z434" s="50"/>
      <c r="AA434" s="48"/>
      <c r="AC434" s="49"/>
      <c r="AD434" s="50"/>
      <c r="AE434" s="48"/>
      <c r="AJ434" s="48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7"/>
      <c r="O435" s="48"/>
      <c r="Q435" s="49"/>
      <c r="R435" s="50"/>
      <c r="S435" s="48"/>
      <c r="U435" s="49"/>
      <c r="V435" s="50"/>
      <c r="W435" s="48"/>
      <c r="Y435" s="49"/>
      <c r="Z435" s="50"/>
      <c r="AA435" s="48"/>
      <c r="AC435" s="49"/>
      <c r="AD435" s="50"/>
      <c r="AE435" s="48"/>
      <c r="AJ435" s="48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7"/>
      <c r="O436" s="48"/>
      <c r="Q436" s="49"/>
      <c r="R436" s="50"/>
      <c r="S436" s="48"/>
      <c r="U436" s="49"/>
      <c r="V436" s="50"/>
      <c r="W436" s="48"/>
      <c r="Y436" s="49"/>
      <c r="Z436" s="50"/>
      <c r="AA436" s="48"/>
      <c r="AC436" s="49"/>
      <c r="AD436" s="50"/>
      <c r="AE436" s="48"/>
      <c r="AJ436" s="48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7"/>
      <c r="O437" s="48"/>
      <c r="Q437" s="49"/>
      <c r="R437" s="50"/>
      <c r="S437" s="48"/>
      <c r="U437" s="49"/>
      <c r="V437" s="50"/>
      <c r="W437" s="48"/>
      <c r="Y437" s="49"/>
      <c r="Z437" s="50"/>
      <c r="AA437" s="48"/>
      <c r="AC437" s="49"/>
      <c r="AD437" s="50"/>
      <c r="AE437" s="48"/>
      <c r="AJ437" s="48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7"/>
      <c r="O438" s="48"/>
      <c r="Q438" s="49"/>
      <c r="R438" s="50"/>
      <c r="S438" s="48"/>
      <c r="U438" s="49"/>
      <c r="V438" s="50"/>
      <c r="W438" s="48"/>
      <c r="Y438" s="49"/>
      <c r="Z438" s="50"/>
      <c r="AA438" s="48"/>
      <c r="AC438" s="49"/>
      <c r="AD438" s="50"/>
      <c r="AE438" s="48"/>
      <c r="AJ438" s="48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7"/>
      <c r="O439" s="48"/>
      <c r="Q439" s="49"/>
      <c r="R439" s="50"/>
      <c r="S439" s="48"/>
      <c r="U439" s="49"/>
      <c r="V439" s="50"/>
      <c r="W439" s="48"/>
      <c r="Y439" s="49"/>
      <c r="Z439" s="50"/>
      <c r="AA439" s="48"/>
      <c r="AC439" s="49"/>
      <c r="AD439" s="50"/>
      <c r="AE439" s="48"/>
      <c r="AJ439" s="48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7"/>
      <c r="O440" s="48"/>
      <c r="Q440" s="49"/>
      <c r="R440" s="50"/>
      <c r="S440" s="48"/>
      <c r="U440" s="49"/>
      <c r="V440" s="50"/>
      <c r="W440" s="48"/>
      <c r="Y440" s="49"/>
      <c r="Z440" s="50"/>
      <c r="AA440" s="48"/>
      <c r="AC440" s="49"/>
      <c r="AD440" s="50"/>
      <c r="AE440" s="48"/>
      <c r="AJ440" s="48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7"/>
      <c r="O441" s="48"/>
      <c r="Q441" s="49"/>
      <c r="R441" s="50"/>
      <c r="S441" s="48"/>
      <c r="U441" s="49"/>
      <c r="V441" s="50"/>
      <c r="W441" s="48"/>
      <c r="Y441" s="49"/>
      <c r="Z441" s="50"/>
      <c r="AA441" s="48"/>
      <c r="AC441" s="49"/>
      <c r="AD441" s="50"/>
      <c r="AE441" s="48"/>
      <c r="AJ441" s="48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7"/>
      <c r="O442" s="48"/>
      <c r="Q442" s="49"/>
      <c r="R442" s="50"/>
      <c r="S442" s="48"/>
      <c r="U442" s="49"/>
      <c r="V442" s="50"/>
      <c r="W442" s="48"/>
      <c r="Y442" s="49"/>
      <c r="Z442" s="50"/>
      <c r="AA442" s="48"/>
      <c r="AC442" s="49"/>
      <c r="AD442" s="50"/>
      <c r="AE442" s="48"/>
      <c r="AJ442" s="48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7"/>
      <c r="O443" s="48"/>
      <c r="Q443" s="49"/>
      <c r="R443" s="50"/>
      <c r="S443" s="48"/>
      <c r="U443" s="49"/>
      <c r="V443" s="50"/>
      <c r="W443" s="48"/>
      <c r="Y443" s="49"/>
      <c r="Z443" s="50"/>
      <c r="AA443" s="48"/>
      <c r="AC443" s="49"/>
      <c r="AD443" s="50"/>
      <c r="AE443" s="48"/>
      <c r="AJ443" s="48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7"/>
      <c r="O444" s="48"/>
      <c r="Q444" s="49"/>
      <c r="R444" s="50"/>
      <c r="S444" s="48"/>
      <c r="U444" s="49"/>
      <c r="V444" s="50"/>
      <c r="W444" s="48"/>
      <c r="Y444" s="49"/>
      <c r="Z444" s="50"/>
      <c r="AA444" s="48"/>
      <c r="AC444" s="49"/>
      <c r="AD444" s="50"/>
      <c r="AE444" s="48"/>
      <c r="AJ444" s="48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7"/>
      <c r="O445" s="48"/>
      <c r="Q445" s="49"/>
      <c r="R445" s="50"/>
      <c r="S445" s="48"/>
      <c r="U445" s="49"/>
      <c r="V445" s="50"/>
      <c r="W445" s="48"/>
      <c r="Y445" s="49"/>
      <c r="Z445" s="50"/>
      <c r="AA445" s="48"/>
      <c r="AC445" s="49"/>
      <c r="AD445" s="50"/>
      <c r="AE445" s="48"/>
      <c r="AJ445" s="48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7"/>
      <c r="O446" s="48"/>
      <c r="Q446" s="49"/>
      <c r="R446" s="50"/>
      <c r="S446" s="48"/>
      <c r="U446" s="49"/>
      <c r="V446" s="50"/>
      <c r="W446" s="48"/>
      <c r="Y446" s="49"/>
      <c r="Z446" s="50"/>
      <c r="AA446" s="48"/>
      <c r="AC446" s="49"/>
      <c r="AD446" s="50"/>
      <c r="AE446" s="48"/>
      <c r="AJ446" s="48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7"/>
      <c r="O447" s="48"/>
      <c r="Q447" s="49"/>
      <c r="R447" s="50"/>
      <c r="S447" s="48"/>
      <c r="U447" s="49"/>
      <c r="V447" s="50"/>
      <c r="W447" s="48"/>
      <c r="Y447" s="49"/>
      <c r="Z447" s="50"/>
      <c r="AA447" s="48"/>
      <c r="AC447" s="49"/>
      <c r="AD447" s="50"/>
      <c r="AE447" s="48"/>
      <c r="AJ447" s="48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7"/>
      <c r="O448" s="48"/>
      <c r="Q448" s="49"/>
      <c r="R448" s="50"/>
      <c r="S448" s="48"/>
      <c r="U448" s="49"/>
      <c r="V448" s="50"/>
      <c r="W448" s="48"/>
      <c r="Y448" s="49"/>
      <c r="Z448" s="50"/>
      <c r="AA448" s="48"/>
      <c r="AC448" s="49"/>
      <c r="AD448" s="50"/>
      <c r="AE448" s="48"/>
      <c r="AJ448" s="48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7"/>
      <c r="O449" s="48"/>
      <c r="Q449" s="49"/>
      <c r="R449" s="50"/>
      <c r="S449" s="48"/>
      <c r="U449" s="49"/>
      <c r="V449" s="50"/>
      <c r="W449" s="48"/>
      <c r="Y449" s="49"/>
      <c r="Z449" s="50"/>
      <c r="AA449" s="48"/>
      <c r="AC449" s="49"/>
      <c r="AD449" s="50"/>
      <c r="AE449" s="48"/>
      <c r="AJ449" s="48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7"/>
      <c r="O450" s="48"/>
      <c r="Q450" s="49"/>
      <c r="R450" s="50"/>
      <c r="S450" s="48"/>
      <c r="U450" s="49"/>
      <c r="V450" s="50"/>
      <c r="W450" s="48"/>
      <c r="Y450" s="49"/>
      <c r="Z450" s="50"/>
      <c r="AA450" s="48"/>
      <c r="AC450" s="49"/>
      <c r="AD450" s="50"/>
      <c r="AE450" s="48"/>
      <c r="AJ450" s="48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7"/>
      <c r="O451" s="48"/>
      <c r="Q451" s="49"/>
      <c r="R451" s="50"/>
      <c r="S451" s="48"/>
      <c r="U451" s="49"/>
      <c r="V451" s="50"/>
      <c r="W451" s="48"/>
      <c r="Y451" s="49"/>
      <c r="Z451" s="50"/>
      <c r="AA451" s="48"/>
      <c r="AC451" s="49"/>
      <c r="AD451" s="50"/>
      <c r="AE451" s="48"/>
      <c r="AJ451" s="48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7"/>
      <c r="O452" s="48"/>
      <c r="Q452" s="49"/>
      <c r="R452" s="50"/>
      <c r="S452" s="48"/>
      <c r="U452" s="49"/>
      <c r="V452" s="50"/>
      <c r="W452" s="48"/>
      <c r="Y452" s="49"/>
      <c r="Z452" s="50"/>
      <c r="AA452" s="48"/>
      <c r="AC452" s="49"/>
      <c r="AD452" s="50"/>
      <c r="AE452" s="48"/>
      <c r="AJ452" s="48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7"/>
      <c r="O453" s="48"/>
      <c r="Q453" s="49"/>
      <c r="R453" s="50"/>
      <c r="S453" s="48"/>
      <c r="U453" s="49"/>
      <c r="V453" s="50"/>
      <c r="W453" s="48"/>
      <c r="Y453" s="49"/>
      <c r="Z453" s="50"/>
      <c r="AA453" s="48"/>
      <c r="AC453" s="49"/>
      <c r="AD453" s="50"/>
      <c r="AE453" s="48"/>
      <c r="AJ453" s="48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7"/>
      <c r="O454" s="48"/>
      <c r="Q454" s="49"/>
      <c r="R454" s="50"/>
      <c r="S454" s="48"/>
      <c r="U454" s="49"/>
      <c r="V454" s="50"/>
      <c r="W454" s="48"/>
      <c r="Y454" s="49"/>
      <c r="Z454" s="50"/>
      <c r="AA454" s="48"/>
      <c r="AC454" s="49"/>
      <c r="AD454" s="50"/>
      <c r="AE454" s="48"/>
      <c r="AJ454" s="48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7"/>
      <c r="O455" s="48"/>
      <c r="Q455" s="49"/>
      <c r="R455" s="50"/>
      <c r="S455" s="48"/>
      <c r="U455" s="49"/>
      <c r="V455" s="50"/>
      <c r="W455" s="48"/>
      <c r="Y455" s="49"/>
      <c r="Z455" s="50"/>
      <c r="AA455" s="48"/>
      <c r="AC455" s="49"/>
      <c r="AD455" s="50"/>
      <c r="AE455" s="48"/>
      <c r="AJ455" s="48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7"/>
      <c r="O456" s="48"/>
      <c r="Q456" s="49"/>
      <c r="R456" s="50"/>
      <c r="S456" s="48"/>
      <c r="U456" s="49"/>
      <c r="V456" s="50"/>
      <c r="W456" s="48"/>
      <c r="Y456" s="49"/>
      <c r="Z456" s="50"/>
      <c r="AA456" s="48"/>
      <c r="AC456" s="49"/>
      <c r="AD456" s="50"/>
      <c r="AE456" s="48"/>
      <c r="AJ456" s="48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7"/>
      <c r="O457" s="48"/>
      <c r="Q457" s="49"/>
      <c r="R457" s="50"/>
      <c r="S457" s="48"/>
      <c r="U457" s="49"/>
      <c r="V457" s="50"/>
      <c r="W457" s="48"/>
      <c r="Y457" s="49"/>
      <c r="Z457" s="50"/>
      <c r="AA457" s="48"/>
      <c r="AC457" s="49"/>
      <c r="AD457" s="50"/>
      <c r="AE457" s="48"/>
      <c r="AJ457" s="48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7"/>
      <c r="O458" s="48"/>
      <c r="Q458" s="49"/>
      <c r="R458" s="50"/>
      <c r="S458" s="48"/>
      <c r="U458" s="49"/>
      <c r="V458" s="50"/>
      <c r="W458" s="48"/>
      <c r="Y458" s="49"/>
      <c r="Z458" s="50"/>
      <c r="AA458" s="48"/>
      <c r="AC458" s="49"/>
      <c r="AD458" s="50"/>
      <c r="AE458" s="48"/>
      <c r="AJ458" s="48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7"/>
      <c r="O459" s="48"/>
      <c r="Q459" s="49"/>
      <c r="R459" s="50"/>
      <c r="S459" s="48"/>
      <c r="U459" s="49"/>
      <c r="V459" s="50"/>
      <c r="W459" s="48"/>
      <c r="Y459" s="49"/>
      <c r="Z459" s="50"/>
      <c r="AA459" s="48"/>
      <c r="AC459" s="49"/>
      <c r="AD459" s="50"/>
      <c r="AE459" s="48"/>
      <c r="AJ459" s="48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7"/>
      <c r="O460" s="48"/>
      <c r="Q460" s="49"/>
      <c r="R460" s="50"/>
      <c r="S460" s="48"/>
      <c r="U460" s="49"/>
      <c r="V460" s="50"/>
      <c r="W460" s="48"/>
      <c r="Y460" s="49"/>
      <c r="Z460" s="50"/>
      <c r="AA460" s="48"/>
      <c r="AC460" s="49"/>
      <c r="AD460" s="50"/>
      <c r="AE460" s="48"/>
      <c r="AJ460" s="48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7"/>
      <c r="O461" s="48"/>
      <c r="Q461" s="49"/>
      <c r="R461" s="50"/>
      <c r="S461" s="48"/>
      <c r="U461" s="49"/>
      <c r="V461" s="50"/>
      <c r="W461" s="48"/>
      <c r="Y461" s="49"/>
      <c r="Z461" s="50"/>
      <c r="AA461" s="48"/>
      <c r="AC461" s="49"/>
      <c r="AD461" s="50"/>
      <c r="AE461" s="48"/>
      <c r="AJ461" s="48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7"/>
      <c r="O462" s="48"/>
      <c r="Q462" s="49"/>
      <c r="R462" s="50"/>
      <c r="S462" s="48"/>
      <c r="U462" s="49"/>
      <c r="V462" s="50"/>
      <c r="W462" s="48"/>
      <c r="Y462" s="49"/>
      <c r="Z462" s="50"/>
      <c r="AA462" s="48"/>
      <c r="AC462" s="49"/>
      <c r="AD462" s="50"/>
      <c r="AE462" s="48"/>
      <c r="AJ462" s="48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7"/>
      <c r="O463" s="48"/>
      <c r="Q463" s="49"/>
      <c r="R463" s="50"/>
      <c r="S463" s="48"/>
      <c r="U463" s="49"/>
      <c r="V463" s="50"/>
      <c r="W463" s="48"/>
      <c r="Y463" s="49"/>
      <c r="Z463" s="50"/>
      <c r="AA463" s="48"/>
      <c r="AC463" s="49"/>
      <c r="AD463" s="50"/>
      <c r="AE463" s="48"/>
      <c r="AJ463" s="48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7"/>
      <c r="O464" s="48"/>
      <c r="Q464" s="49"/>
      <c r="R464" s="50"/>
      <c r="S464" s="48"/>
      <c r="U464" s="49"/>
      <c r="V464" s="50"/>
      <c r="W464" s="48"/>
      <c r="Y464" s="49"/>
      <c r="Z464" s="50"/>
      <c r="AA464" s="48"/>
      <c r="AC464" s="49"/>
      <c r="AD464" s="50"/>
      <c r="AE464" s="48"/>
      <c r="AJ464" s="48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7"/>
      <c r="O465" s="48"/>
      <c r="Q465" s="49"/>
      <c r="R465" s="50"/>
      <c r="S465" s="48"/>
      <c r="U465" s="49"/>
      <c r="V465" s="50"/>
      <c r="W465" s="48"/>
      <c r="Y465" s="49"/>
      <c r="Z465" s="50"/>
      <c r="AA465" s="48"/>
      <c r="AC465" s="49"/>
      <c r="AD465" s="50"/>
      <c r="AE465" s="48"/>
      <c r="AJ465" s="48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7"/>
      <c r="O466" s="48"/>
      <c r="Q466" s="49"/>
      <c r="R466" s="50"/>
      <c r="S466" s="48"/>
      <c r="U466" s="49"/>
      <c r="V466" s="50"/>
      <c r="W466" s="48"/>
      <c r="Y466" s="49"/>
      <c r="Z466" s="50"/>
      <c r="AA466" s="48"/>
      <c r="AC466" s="49"/>
      <c r="AD466" s="50"/>
      <c r="AE466" s="48"/>
      <c r="AJ466" s="48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7"/>
      <c r="O467" s="48"/>
      <c r="Q467" s="49"/>
      <c r="R467" s="50"/>
      <c r="S467" s="48"/>
      <c r="U467" s="49"/>
      <c r="V467" s="50"/>
      <c r="W467" s="48"/>
      <c r="Y467" s="49"/>
      <c r="Z467" s="50"/>
      <c r="AA467" s="48"/>
      <c r="AC467" s="49"/>
      <c r="AD467" s="50"/>
      <c r="AE467" s="48"/>
      <c r="AJ467" s="48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7"/>
      <c r="O468" s="48"/>
      <c r="Q468" s="49"/>
      <c r="R468" s="50"/>
      <c r="S468" s="48"/>
      <c r="U468" s="49"/>
      <c r="V468" s="50"/>
      <c r="W468" s="48"/>
      <c r="Y468" s="49"/>
      <c r="Z468" s="50"/>
      <c r="AA468" s="48"/>
      <c r="AC468" s="49"/>
      <c r="AD468" s="50"/>
      <c r="AE468" s="48"/>
      <c r="AJ468" s="48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7"/>
      <c r="O469" s="48"/>
      <c r="Q469" s="49"/>
      <c r="R469" s="50"/>
      <c r="S469" s="48"/>
      <c r="U469" s="49"/>
      <c r="V469" s="50"/>
      <c r="W469" s="48"/>
      <c r="Y469" s="49"/>
      <c r="Z469" s="50"/>
      <c r="AA469" s="48"/>
      <c r="AC469" s="49"/>
      <c r="AD469" s="50"/>
      <c r="AE469" s="48"/>
      <c r="AJ469" s="48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7"/>
      <c r="O470" s="48"/>
      <c r="Q470" s="49"/>
      <c r="R470" s="50"/>
      <c r="S470" s="48"/>
      <c r="U470" s="49"/>
      <c r="V470" s="50"/>
      <c r="W470" s="48"/>
      <c r="Y470" s="49"/>
      <c r="Z470" s="50"/>
      <c r="AA470" s="48"/>
      <c r="AC470" s="49"/>
      <c r="AD470" s="50"/>
      <c r="AE470" s="48"/>
      <c r="AJ470" s="48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7"/>
      <c r="O471" s="48"/>
      <c r="Q471" s="49"/>
      <c r="R471" s="50"/>
      <c r="S471" s="48"/>
      <c r="U471" s="49"/>
      <c r="V471" s="50"/>
      <c r="W471" s="48"/>
      <c r="Y471" s="49"/>
      <c r="Z471" s="50"/>
      <c r="AA471" s="48"/>
      <c r="AC471" s="49"/>
      <c r="AD471" s="50"/>
      <c r="AE471" s="48"/>
      <c r="AJ471" s="48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7"/>
      <c r="O472" s="48"/>
      <c r="Q472" s="49"/>
      <c r="R472" s="50"/>
      <c r="S472" s="48"/>
      <c r="U472" s="49"/>
      <c r="V472" s="50"/>
      <c r="W472" s="48"/>
      <c r="Y472" s="49"/>
      <c r="Z472" s="50"/>
      <c r="AA472" s="48"/>
      <c r="AC472" s="49"/>
      <c r="AD472" s="50"/>
      <c r="AE472" s="48"/>
      <c r="AJ472" s="48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7"/>
      <c r="O473" s="48"/>
      <c r="Q473" s="49"/>
      <c r="R473" s="50"/>
      <c r="S473" s="48"/>
      <c r="U473" s="49"/>
      <c r="V473" s="50"/>
      <c r="W473" s="48"/>
      <c r="Y473" s="49"/>
      <c r="Z473" s="50"/>
      <c r="AA473" s="48"/>
      <c r="AC473" s="49"/>
      <c r="AD473" s="50"/>
      <c r="AE473" s="48"/>
      <c r="AJ473" s="48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7"/>
      <c r="O474" s="48"/>
      <c r="Q474" s="49"/>
      <c r="R474" s="50"/>
      <c r="S474" s="48"/>
      <c r="U474" s="49"/>
      <c r="V474" s="50"/>
      <c r="W474" s="48"/>
      <c r="Y474" s="49"/>
      <c r="Z474" s="50"/>
      <c r="AA474" s="48"/>
      <c r="AC474" s="49"/>
      <c r="AD474" s="50"/>
      <c r="AE474" s="48"/>
      <c r="AJ474" s="48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7"/>
      <c r="O475" s="48"/>
      <c r="Q475" s="49"/>
      <c r="R475" s="50"/>
      <c r="S475" s="48"/>
      <c r="U475" s="49"/>
      <c r="V475" s="50"/>
      <c r="W475" s="48"/>
      <c r="Y475" s="49"/>
      <c r="Z475" s="50"/>
      <c r="AA475" s="48"/>
      <c r="AC475" s="49"/>
      <c r="AD475" s="50"/>
      <c r="AE475" s="48"/>
      <c r="AJ475" s="48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7"/>
      <c r="O476" s="48"/>
      <c r="Q476" s="49"/>
      <c r="R476" s="50"/>
      <c r="S476" s="48"/>
      <c r="U476" s="49"/>
      <c r="V476" s="50"/>
      <c r="W476" s="48"/>
      <c r="Y476" s="49"/>
      <c r="Z476" s="50"/>
      <c r="AA476" s="48"/>
      <c r="AC476" s="49"/>
      <c r="AD476" s="50"/>
      <c r="AE476" s="48"/>
      <c r="AJ476" s="48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7"/>
      <c r="O477" s="48"/>
      <c r="Q477" s="49"/>
      <c r="R477" s="50"/>
      <c r="S477" s="48"/>
      <c r="U477" s="49"/>
      <c r="V477" s="50"/>
      <c r="W477" s="48"/>
      <c r="Y477" s="49"/>
      <c r="Z477" s="50"/>
      <c r="AA477" s="48"/>
      <c r="AC477" s="49"/>
      <c r="AD477" s="50"/>
      <c r="AE477" s="48"/>
      <c r="AJ477" s="48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7"/>
      <c r="O478" s="48"/>
      <c r="Q478" s="49"/>
      <c r="R478" s="50"/>
      <c r="S478" s="48"/>
      <c r="U478" s="49"/>
      <c r="V478" s="50"/>
      <c r="W478" s="48"/>
      <c r="Y478" s="49"/>
      <c r="Z478" s="50"/>
      <c r="AA478" s="48"/>
      <c r="AC478" s="49"/>
      <c r="AD478" s="50"/>
      <c r="AE478" s="48"/>
      <c r="AJ478" s="48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7"/>
      <c r="O479" s="48"/>
      <c r="Q479" s="49"/>
      <c r="R479" s="50"/>
      <c r="S479" s="48"/>
      <c r="U479" s="49"/>
      <c r="V479" s="50"/>
      <c r="W479" s="48"/>
      <c r="Y479" s="49"/>
      <c r="Z479" s="50"/>
      <c r="AA479" s="48"/>
      <c r="AC479" s="49"/>
      <c r="AD479" s="50"/>
      <c r="AE479" s="48"/>
      <c r="AJ479" s="48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7"/>
      <c r="O480" s="48"/>
      <c r="Q480" s="49"/>
      <c r="R480" s="50"/>
      <c r="S480" s="48"/>
      <c r="U480" s="49"/>
      <c r="V480" s="50"/>
      <c r="W480" s="48"/>
      <c r="Y480" s="49"/>
      <c r="Z480" s="50"/>
      <c r="AA480" s="48"/>
      <c r="AC480" s="49"/>
      <c r="AD480" s="50"/>
      <c r="AE480" s="48"/>
      <c r="AJ480" s="48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7"/>
      <c r="O481" s="48"/>
      <c r="Q481" s="49"/>
      <c r="R481" s="50"/>
      <c r="S481" s="48"/>
      <c r="U481" s="49"/>
      <c r="V481" s="50"/>
      <c r="W481" s="48"/>
      <c r="Y481" s="49"/>
      <c r="Z481" s="50"/>
      <c r="AA481" s="48"/>
      <c r="AC481" s="49"/>
      <c r="AD481" s="50"/>
      <c r="AE481" s="48"/>
      <c r="AJ481" s="48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7"/>
      <c r="O482" s="48"/>
      <c r="Q482" s="49"/>
      <c r="R482" s="50"/>
      <c r="S482" s="48"/>
      <c r="U482" s="49"/>
      <c r="V482" s="50"/>
      <c r="W482" s="48"/>
      <c r="Y482" s="49"/>
      <c r="Z482" s="50"/>
      <c r="AA482" s="48"/>
      <c r="AC482" s="49"/>
      <c r="AD482" s="50"/>
      <c r="AE482" s="48"/>
      <c r="AJ482" s="48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7"/>
      <c r="O483" s="48"/>
      <c r="Q483" s="49"/>
      <c r="R483" s="50"/>
      <c r="S483" s="48"/>
      <c r="U483" s="49"/>
      <c r="V483" s="50"/>
      <c r="W483" s="48"/>
      <c r="Y483" s="49"/>
      <c r="Z483" s="50"/>
      <c r="AA483" s="48"/>
      <c r="AC483" s="49"/>
      <c r="AD483" s="50"/>
      <c r="AE483" s="48"/>
      <c r="AJ483" s="48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7"/>
      <c r="O484" s="48"/>
      <c r="Q484" s="49"/>
      <c r="R484" s="50"/>
      <c r="S484" s="48"/>
      <c r="U484" s="49"/>
      <c r="V484" s="50"/>
      <c r="W484" s="48"/>
      <c r="Y484" s="49"/>
      <c r="Z484" s="50"/>
      <c r="AA484" s="48"/>
      <c r="AC484" s="49"/>
      <c r="AD484" s="50"/>
      <c r="AE484" s="48"/>
      <c r="AJ484" s="48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7"/>
      <c r="O485" s="48"/>
      <c r="Q485" s="49"/>
      <c r="R485" s="50"/>
      <c r="S485" s="48"/>
      <c r="U485" s="49"/>
      <c r="V485" s="50"/>
      <c r="W485" s="48"/>
      <c r="Y485" s="49"/>
      <c r="Z485" s="50"/>
      <c r="AA485" s="48"/>
      <c r="AC485" s="49"/>
      <c r="AD485" s="50"/>
      <c r="AE485" s="48"/>
      <c r="AJ485" s="48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7"/>
      <c r="O486" s="48"/>
      <c r="Q486" s="49"/>
      <c r="R486" s="50"/>
      <c r="S486" s="48"/>
      <c r="U486" s="49"/>
      <c r="V486" s="50"/>
      <c r="W486" s="48"/>
      <c r="Y486" s="49"/>
      <c r="Z486" s="50"/>
      <c r="AA486" s="48"/>
      <c r="AC486" s="49"/>
      <c r="AD486" s="50"/>
      <c r="AE486" s="48"/>
      <c r="AJ486" s="48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7"/>
      <c r="O487" s="48"/>
      <c r="Q487" s="49"/>
      <c r="R487" s="50"/>
      <c r="S487" s="48"/>
      <c r="U487" s="49"/>
      <c r="V487" s="50"/>
      <c r="W487" s="48"/>
      <c r="Y487" s="49"/>
      <c r="Z487" s="50"/>
      <c r="AA487" s="48"/>
      <c r="AC487" s="49"/>
      <c r="AD487" s="50"/>
      <c r="AE487" s="48"/>
      <c r="AJ487" s="48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7"/>
      <c r="O488" s="48"/>
      <c r="Q488" s="49"/>
      <c r="R488" s="50"/>
      <c r="S488" s="48"/>
      <c r="U488" s="49"/>
      <c r="V488" s="50"/>
      <c r="W488" s="48"/>
      <c r="Y488" s="49"/>
      <c r="Z488" s="50"/>
      <c r="AA488" s="48"/>
      <c r="AC488" s="49"/>
      <c r="AD488" s="50"/>
      <c r="AE488" s="48"/>
      <c r="AJ488" s="48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7"/>
      <c r="O489" s="48"/>
      <c r="Q489" s="49"/>
      <c r="R489" s="50"/>
      <c r="S489" s="48"/>
      <c r="U489" s="49"/>
      <c r="V489" s="50"/>
      <c r="W489" s="48"/>
      <c r="Y489" s="49"/>
      <c r="Z489" s="50"/>
      <c r="AA489" s="48"/>
      <c r="AC489" s="49"/>
      <c r="AD489" s="50"/>
      <c r="AE489" s="48"/>
      <c r="AJ489" s="48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7"/>
      <c r="O490" s="48"/>
      <c r="Q490" s="49"/>
      <c r="R490" s="50"/>
      <c r="S490" s="48"/>
      <c r="U490" s="49"/>
      <c r="V490" s="50"/>
      <c r="W490" s="48"/>
      <c r="Y490" s="49"/>
      <c r="Z490" s="50"/>
      <c r="AA490" s="48"/>
      <c r="AC490" s="49"/>
      <c r="AD490" s="50"/>
      <c r="AE490" s="48"/>
      <c r="AJ490" s="48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7"/>
      <c r="O491" s="48"/>
      <c r="Q491" s="49"/>
      <c r="R491" s="50"/>
      <c r="S491" s="48"/>
      <c r="U491" s="49"/>
      <c r="V491" s="50"/>
      <c r="W491" s="48"/>
      <c r="Y491" s="49"/>
      <c r="Z491" s="50"/>
      <c r="AA491" s="48"/>
      <c r="AC491" s="49"/>
      <c r="AD491" s="50"/>
      <c r="AE491" s="48"/>
      <c r="AJ491" s="48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7"/>
      <c r="O492" s="48"/>
      <c r="Q492" s="49"/>
      <c r="R492" s="50"/>
      <c r="S492" s="48"/>
      <c r="U492" s="49"/>
      <c r="V492" s="50"/>
      <c r="W492" s="48"/>
      <c r="Y492" s="49"/>
      <c r="Z492" s="50"/>
      <c r="AA492" s="48"/>
      <c r="AC492" s="49"/>
      <c r="AD492" s="50"/>
      <c r="AE492" s="48"/>
      <c r="AJ492" s="48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7"/>
      <c r="O493" s="48"/>
      <c r="Q493" s="49"/>
      <c r="R493" s="50"/>
      <c r="S493" s="48"/>
      <c r="U493" s="49"/>
      <c r="V493" s="50"/>
      <c r="W493" s="48"/>
      <c r="Y493" s="49"/>
      <c r="Z493" s="50"/>
      <c r="AA493" s="48"/>
      <c r="AC493" s="49"/>
      <c r="AD493" s="50"/>
      <c r="AE493" s="48"/>
      <c r="AJ493" s="48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7"/>
      <c r="O494" s="48"/>
      <c r="Q494" s="49"/>
      <c r="R494" s="50"/>
      <c r="S494" s="48"/>
      <c r="U494" s="49"/>
      <c r="V494" s="50"/>
      <c r="W494" s="48"/>
      <c r="Y494" s="49"/>
      <c r="Z494" s="50"/>
      <c r="AA494" s="48"/>
      <c r="AC494" s="49"/>
      <c r="AD494" s="50"/>
      <c r="AE494" s="48"/>
      <c r="AJ494" s="48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7"/>
      <c r="O495" s="48"/>
      <c r="Q495" s="49"/>
      <c r="R495" s="50"/>
      <c r="S495" s="48"/>
      <c r="U495" s="49"/>
      <c r="V495" s="50"/>
      <c r="W495" s="48"/>
      <c r="Y495" s="49"/>
      <c r="Z495" s="50"/>
      <c r="AA495" s="48"/>
      <c r="AC495" s="49"/>
      <c r="AD495" s="50"/>
      <c r="AE495" s="48"/>
      <c r="AJ495" s="48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7"/>
      <c r="O496" s="48"/>
      <c r="Q496" s="49"/>
      <c r="R496" s="50"/>
      <c r="S496" s="48"/>
      <c r="U496" s="49"/>
      <c r="V496" s="50"/>
      <c r="W496" s="48"/>
      <c r="Y496" s="49"/>
      <c r="Z496" s="50"/>
      <c r="AA496" s="48"/>
      <c r="AC496" s="49"/>
      <c r="AD496" s="50"/>
      <c r="AE496" s="48"/>
      <c r="AJ496" s="48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7"/>
      <c r="O497" s="48"/>
      <c r="Q497" s="49"/>
      <c r="R497" s="50"/>
      <c r="S497" s="48"/>
      <c r="U497" s="49"/>
      <c r="V497" s="50"/>
      <c r="W497" s="48"/>
      <c r="Y497" s="49"/>
      <c r="Z497" s="50"/>
      <c r="AA497" s="48"/>
      <c r="AC497" s="49"/>
      <c r="AD497" s="50"/>
      <c r="AE497" s="48"/>
      <c r="AJ497" s="48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7"/>
      <c r="O498" s="48"/>
      <c r="Q498" s="49"/>
      <c r="R498" s="50"/>
      <c r="S498" s="48"/>
      <c r="U498" s="49"/>
      <c r="V498" s="50"/>
      <c r="W498" s="48"/>
      <c r="Y498" s="49"/>
      <c r="Z498" s="50"/>
      <c r="AA498" s="48"/>
      <c r="AC498" s="49"/>
      <c r="AD498" s="50"/>
      <c r="AE498" s="48"/>
      <c r="AJ498" s="48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7"/>
      <c r="O499" s="48"/>
      <c r="Q499" s="49"/>
      <c r="R499" s="50"/>
      <c r="S499" s="48"/>
      <c r="U499" s="49"/>
      <c r="V499" s="50"/>
      <c r="W499" s="48"/>
      <c r="Y499" s="49"/>
      <c r="Z499" s="50"/>
      <c r="AA499" s="48"/>
      <c r="AC499" s="49"/>
      <c r="AD499" s="50"/>
      <c r="AE499" s="48"/>
      <c r="AJ499" s="48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7"/>
      <c r="O500" s="48"/>
      <c r="Q500" s="49"/>
      <c r="R500" s="50"/>
      <c r="S500" s="48"/>
      <c r="U500" s="49"/>
      <c r="V500" s="50"/>
      <c r="W500" s="48"/>
      <c r="Y500" s="49"/>
      <c r="Z500" s="50"/>
      <c r="AA500" s="48"/>
      <c r="AC500" s="49"/>
      <c r="AD500" s="50"/>
      <c r="AE500" s="48"/>
      <c r="AJ500" s="48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7"/>
      <c r="O501" s="48"/>
      <c r="Q501" s="49"/>
      <c r="R501" s="50"/>
      <c r="S501" s="48"/>
      <c r="U501" s="49"/>
      <c r="V501" s="50"/>
      <c r="W501" s="48"/>
      <c r="Y501" s="49"/>
      <c r="Z501" s="50"/>
      <c r="AA501" s="48"/>
      <c r="AC501" s="49"/>
      <c r="AD501" s="50"/>
      <c r="AE501" s="48"/>
      <c r="AJ501" s="48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7"/>
      <c r="O502" s="48"/>
      <c r="Q502" s="49"/>
      <c r="R502" s="50"/>
      <c r="S502" s="48"/>
      <c r="U502" s="49"/>
      <c r="V502" s="50"/>
      <c r="W502" s="48"/>
      <c r="Y502" s="49"/>
      <c r="Z502" s="50"/>
      <c r="AA502" s="48"/>
      <c r="AC502" s="49"/>
      <c r="AD502" s="50"/>
      <c r="AE502" s="48"/>
      <c r="AJ502" s="48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7"/>
      <c r="O503" s="48"/>
      <c r="Q503" s="49"/>
      <c r="R503" s="50"/>
      <c r="S503" s="48"/>
      <c r="U503" s="49"/>
      <c r="V503" s="50"/>
      <c r="W503" s="48"/>
      <c r="Y503" s="49"/>
      <c r="Z503" s="50"/>
      <c r="AA503" s="48"/>
      <c r="AC503" s="49"/>
      <c r="AD503" s="50"/>
      <c r="AE503" s="48"/>
      <c r="AJ503" s="48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7"/>
      <c r="O504" s="48"/>
      <c r="Q504" s="49"/>
      <c r="R504" s="50"/>
      <c r="S504" s="48"/>
      <c r="U504" s="49"/>
      <c r="V504" s="50"/>
      <c r="W504" s="48"/>
      <c r="Y504" s="49"/>
      <c r="Z504" s="50"/>
      <c r="AA504" s="48"/>
      <c r="AC504" s="49"/>
      <c r="AD504" s="50"/>
      <c r="AE504" s="48"/>
      <c r="AJ504" s="48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7"/>
      <c r="O505" s="48"/>
      <c r="Q505" s="49"/>
      <c r="R505" s="50"/>
      <c r="S505" s="48"/>
      <c r="U505" s="49"/>
      <c r="V505" s="50"/>
      <c r="W505" s="48"/>
      <c r="Y505" s="49"/>
      <c r="Z505" s="50"/>
      <c r="AA505" s="48"/>
      <c r="AC505" s="49"/>
      <c r="AD505" s="50"/>
      <c r="AE505" s="48"/>
      <c r="AJ505" s="48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7"/>
      <c r="O506" s="48"/>
      <c r="Q506" s="49"/>
      <c r="R506" s="50"/>
      <c r="S506" s="48"/>
      <c r="U506" s="49"/>
      <c r="V506" s="50"/>
      <c r="W506" s="48"/>
      <c r="Y506" s="49"/>
      <c r="Z506" s="50"/>
      <c r="AA506" s="48"/>
      <c r="AC506" s="49"/>
      <c r="AD506" s="50"/>
      <c r="AE506" s="48"/>
      <c r="AJ506" s="48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7"/>
      <c r="O507" s="48"/>
      <c r="Q507" s="49"/>
      <c r="R507" s="50"/>
      <c r="S507" s="48"/>
      <c r="U507" s="49"/>
      <c r="V507" s="50"/>
      <c r="W507" s="48"/>
      <c r="Y507" s="49"/>
      <c r="Z507" s="50"/>
      <c r="AA507" s="48"/>
      <c r="AC507" s="49"/>
      <c r="AD507" s="50"/>
      <c r="AE507" s="48"/>
      <c r="AJ507" s="48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7"/>
      <c r="O508" s="48"/>
      <c r="Q508" s="49"/>
      <c r="R508" s="50"/>
      <c r="S508" s="48"/>
      <c r="U508" s="49"/>
      <c r="V508" s="50"/>
      <c r="W508" s="48"/>
      <c r="Y508" s="49"/>
      <c r="Z508" s="50"/>
      <c r="AA508" s="48"/>
      <c r="AC508" s="49"/>
      <c r="AD508" s="50"/>
      <c r="AE508" s="48"/>
      <c r="AJ508" s="48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7"/>
      <c r="O509" s="48"/>
      <c r="Q509" s="49"/>
      <c r="R509" s="50"/>
      <c r="S509" s="48"/>
      <c r="U509" s="49"/>
      <c r="V509" s="50"/>
      <c r="W509" s="48"/>
      <c r="Y509" s="49"/>
      <c r="Z509" s="50"/>
      <c r="AA509" s="48"/>
      <c r="AC509" s="49"/>
      <c r="AD509" s="50"/>
      <c r="AE509" s="48"/>
      <c r="AJ509" s="48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7"/>
      <c r="O510" s="48"/>
      <c r="Q510" s="49"/>
      <c r="R510" s="50"/>
      <c r="S510" s="48"/>
      <c r="U510" s="49"/>
      <c r="V510" s="50"/>
      <c r="W510" s="48"/>
      <c r="Y510" s="49"/>
      <c r="Z510" s="50"/>
      <c r="AA510" s="48"/>
      <c r="AC510" s="49"/>
      <c r="AD510" s="50"/>
      <c r="AE510" s="48"/>
      <c r="AJ510" s="48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7"/>
      <c r="O511" s="48"/>
      <c r="Q511" s="49"/>
      <c r="R511" s="50"/>
      <c r="S511" s="48"/>
      <c r="U511" s="49"/>
      <c r="V511" s="50"/>
      <c r="W511" s="48"/>
      <c r="Y511" s="49"/>
      <c r="Z511" s="50"/>
      <c r="AA511" s="48"/>
      <c r="AC511" s="49"/>
      <c r="AD511" s="50"/>
      <c r="AE511" s="48"/>
      <c r="AJ511" s="48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7"/>
      <c r="O512" s="48"/>
      <c r="Q512" s="49"/>
      <c r="R512" s="50"/>
      <c r="S512" s="48"/>
      <c r="U512" s="49"/>
      <c r="V512" s="50"/>
      <c r="W512" s="48"/>
      <c r="Y512" s="49"/>
      <c r="Z512" s="50"/>
      <c r="AA512" s="48"/>
      <c r="AC512" s="49"/>
      <c r="AD512" s="50"/>
      <c r="AE512" s="48"/>
      <c r="AJ512" s="48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7"/>
      <c r="O513" s="48"/>
      <c r="Q513" s="49"/>
      <c r="R513" s="50"/>
      <c r="S513" s="48"/>
      <c r="U513" s="49"/>
      <c r="V513" s="50"/>
      <c r="W513" s="48"/>
      <c r="Y513" s="49"/>
      <c r="Z513" s="50"/>
      <c r="AA513" s="48"/>
      <c r="AC513" s="49"/>
      <c r="AD513" s="50"/>
      <c r="AE513" s="48"/>
      <c r="AJ513" s="48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7"/>
      <c r="O514" s="48"/>
      <c r="Q514" s="49"/>
      <c r="R514" s="50"/>
      <c r="S514" s="48"/>
      <c r="U514" s="49"/>
      <c r="V514" s="50"/>
      <c r="W514" s="48"/>
      <c r="Y514" s="49"/>
      <c r="Z514" s="50"/>
      <c r="AA514" s="48"/>
      <c r="AC514" s="49"/>
      <c r="AD514" s="50"/>
      <c r="AE514" s="48"/>
      <c r="AJ514" s="48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7"/>
      <c r="O515" s="48"/>
      <c r="Q515" s="49"/>
      <c r="R515" s="50"/>
      <c r="S515" s="48"/>
      <c r="U515" s="49"/>
      <c r="V515" s="50"/>
      <c r="W515" s="48"/>
      <c r="Y515" s="49"/>
      <c r="Z515" s="50"/>
      <c r="AA515" s="48"/>
      <c r="AC515" s="49"/>
      <c r="AD515" s="50"/>
      <c r="AE515" s="48"/>
      <c r="AJ515" s="48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7"/>
      <c r="O516" s="48"/>
      <c r="Q516" s="49"/>
      <c r="R516" s="50"/>
      <c r="S516" s="48"/>
      <c r="U516" s="49"/>
      <c r="V516" s="50"/>
      <c r="W516" s="48"/>
      <c r="Y516" s="49"/>
      <c r="Z516" s="50"/>
      <c r="AA516" s="48"/>
      <c r="AC516" s="49"/>
      <c r="AD516" s="50"/>
      <c r="AE516" s="48"/>
      <c r="AJ516" s="48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7"/>
      <c r="O517" s="48"/>
      <c r="Q517" s="49"/>
      <c r="R517" s="50"/>
      <c r="S517" s="48"/>
      <c r="U517" s="49"/>
      <c r="V517" s="50"/>
      <c r="W517" s="48"/>
      <c r="Y517" s="49"/>
      <c r="Z517" s="50"/>
      <c r="AA517" s="48"/>
      <c r="AC517" s="49"/>
      <c r="AD517" s="50"/>
      <c r="AE517" s="48"/>
      <c r="AJ517" s="48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7"/>
      <c r="O518" s="48"/>
      <c r="Q518" s="49"/>
      <c r="R518" s="50"/>
      <c r="S518" s="48"/>
      <c r="U518" s="49"/>
      <c r="V518" s="50"/>
      <c r="W518" s="48"/>
      <c r="Y518" s="49"/>
      <c r="Z518" s="50"/>
      <c r="AA518" s="48"/>
      <c r="AC518" s="49"/>
      <c r="AD518" s="50"/>
      <c r="AE518" s="48"/>
      <c r="AJ518" s="48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7"/>
      <c r="O519" s="48"/>
      <c r="Q519" s="49"/>
      <c r="R519" s="50"/>
      <c r="S519" s="48"/>
      <c r="U519" s="49"/>
      <c r="V519" s="50"/>
      <c r="W519" s="48"/>
      <c r="Y519" s="49"/>
      <c r="Z519" s="50"/>
      <c r="AA519" s="48"/>
      <c r="AC519" s="49"/>
      <c r="AD519" s="50"/>
      <c r="AE519" s="48"/>
      <c r="AJ519" s="48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7"/>
      <c r="O520" s="48"/>
      <c r="Q520" s="49"/>
      <c r="R520" s="50"/>
      <c r="S520" s="48"/>
      <c r="U520" s="49"/>
      <c r="V520" s="50"/>
      <c r="W520" s="48"/>
      <c r="Y520" s="49"/>
      <c r="Z520" s="50"/>
      <c r="AA520" s="48"/>
      <c r="AC520" s="49"/>
      <c r="AD520" s="50"/>
      <c r="AE520" s="48"/>
      <c r="AJ520" s="48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7"/>
      <c r="O521" s="48"/>
      <c r="Q521" s="49"/>
      <c r="R521" s="50"/>
      <c r="S521" s="48"/>
      <c r="U521" s="49"/>
      <c r="V521" s="50"/>
      <c r="W521" s="48"/>
      <c r="Y521" s="49"/>
      <c r="Z521" s="50"/>
      <c r="AA521" s="48"/>
      <c r="AC521" s="49"/>
      <c r="AD521" s="50"/>
      <c r="AE521" s="48"/>
      <c r="AJ521" s="48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7"/>
      <c r="O522" s="48"/>
      <c r="Q522" s="49"/>
      <c r="R522" s="50"/>
      <c r="S522" s="48"/>
      <c r="U522" s="49"/>
      <c r="V522" s="50"/>
      <c r="W522" s="48"/>
      <c r="Y522" s="49"/>
      <c r="Z522" s="50"/>
      <c r="AA522" s="48"/>
      <c r="AC522" s="49"/>
      <c r="AD522" s="50"/>
      <c r="AE522" s="48"/>
      <c r="AJ522" s="48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7"/>
      <c r="O523" s="48"/>
      <c r="Q523" s="49"/>
      <c r="R523" s="50"/>
      <c r="S523" s="48"/>
      <c r="U523" s="49"/>
      <c r="V523" s="50"/>
      <c r="W523" s="48"/>
      <c r="Y523" s="49"/>
      <c r="Z523" s="50"/>
      <c r="AA523" s="48"/>
      <c r="AC523" s="49"/>
      <c r="AD523" s="50"/>
      <c r="AE523" s="48"/>
      <c r="AJ523" s="48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7"/>
      <c r="O524" s="48"/>
      <c r="Q524" s="49"/>
      <c r="R524" s="50"/>
      <c r="S524" s="48"/>
      <c r="U524" s="49"/>
      <c r="V524" s="50"/>
      <c r="W524" s="48"/>
      <c r="Y524" s="49"/>
      <c r="Z524" s="50"/>
      <c r="AA524" s="48"/>
      <c r="AC524" s="49"/>
      <c r="AD524" s="50"/>
      <c r="AE524" s="48"/>
      <c r="AJ524" s="48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7"/>
      <c r="O525" s="48"/>
      <c r="Q525" s="49"/>
      <c r="R525" s="50"/>
      <c r="S525" s="48"/>
      <c r="U525" s="49"/>
      <c r="V525" s="50"/>
      <c r="W525" s="48"/>
      <c r="Y525" s="49"/>
      <c r="Z525" s="50"/>
      <c r="AA525" s="48"/>
      <c r="AC525" s="49"/>
      <c r="AD525" s="50"/>
      <c r="AE525" s="48"/>
      <c r="AJ525" s="48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7"/>
      <c r="O526" s="48"/>
      <c r="Q526" s="49"/>
      <c r="R526" s="50"/>
      <c r="S526" s="48"/>
      <c r="U526" s="49"/>
      <c r="V526" s="50"/>
      <c r="W526" s="48"/>
      <c r="Y526" s="49"/>
      <c r="Z526" s="50"/>
      <c r="AA526" s="48"/>
      <c r="AC526" s="49"/>
      <c r="AD526" s="50"/>
      <c r="AE526" s="48"/>
      <c r="AJ526" s="48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7"/>
      <c r="O527" s="48"/>
      <c r="Q527" s="49"/>
      <c r="R527" s="50"/>
      <c r="S527" s="48"/>
      <c r="U527" s="49"/>
      <c r="V527" s="50"/>
      <c r="W527" s="48"/>
      <c r="Y527" s="49"/>
      <c r="Z527" s="50"/>
      <c r="AA527" s="48"/>
      <c r="AC527" s="49"/>
      <c r="AD527" s="50"/>
      <c r="AE527" s="48"/>
      <c r="AJ527" s="48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7"/>
      <c r="O528" s="48"/>
      <c r="Q528" s="49"/>
      <c r="R528" s="50"/>
      <c r="S528" s="48"/>
      <c r="U528" s="49"/>
      <c r="V528" s="50"/>
      <c r="W528" s="48"/>
      <c r="Y528" s="49"/>
      <c r="Z528" s="50"/>
      <c r="AA528" s="48"/>
      <c r="AC528" s="49"/>
      <c r="AD528" s="50"/>
      <c r="AE528" s="48"/>
      <c r="AJ528" s="48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7"/>
      <c r="O529" s="48"/>
      <c r="Q529" s="49"/>
      <c r="R529" s="50"/>
      <c r="S529" s="48"/>
      <c r="U529" s="49"/>
      <c r="V529" s="50"/>
      <c r="W529" s="48"/>
      <c r="Y529" s="49"/>
      <c r="Z529" s="50"/>
      <c r="AA529" s="48"/>
      <c r="AC529" s="49"/>
      <c r="AD529" s="50"/>
      <c r="AE529" s="48"/>
      <c r="AJ529" s="48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7"/>
      <c r="O530" s="48"/>
      <c r="Q530" s="49"/>
      <c r="R530" s="50"/>
      <c r="S530" s="48"/>
      <c r="U530" s="49"/>
      <c r="V530" s="50"/>
      <c r="W530" s="48"/>
      <c r="Y530" s="49"/>
      <c r="Z530" s="50"/>
      <c r="AA530" s="48"/>
      <c r="AC530" s="49"/>
      <c r="AD530" s="50"/>
      <c r="AE530" s="48"/>
      <c r="AJ530" s="48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7"/>
      <c r="O531" s="48"/>
      <c r="Q531" s="49"/>
      <c r="R531" s="50"/>
      <c r="S531" s="48"/>
      <c r="U531" s="49"/>
      <c r="V531" s="50"/>
      <c r="W531" s="48"/>
      <c r="Y531" s="49"/>
      <c r="Z531" s="50"/>
      <c r="AA531" s="48"/>
      <c r="AC531" s="49"/>
      <c r="AD531" s="50"/>
      <c r="AE531" s="48"/>
      <c r="AJ531" s="48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7"/>
      <c r="O532" s="48"/>
      <c r="Q532" s="49"/>
      <c r="R532" s="50"/>
      <c r="S532" s="48"/>
      <c r="U532" s="49"/>
      <c r="V532" s="50"/>
      <c r="W532" s="48"/>
      <c r="Y532" s="49"/>
      <c r="Z532" s="50"/>
      <c r="AA532" s="48"/>
      <c r="AC532" s="49"/>
      <c r="AD532" s="50"/>
      <c r="AE532" s="48"/>
      <c r="AJ532" s="48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7"/>
      <c r="O533" s="48"/>
      <c r="Q533" s="49"/>
      <c r="R533" s="50"/>
      <c r="S533" s="48"/>
      <c r="U533" s="49"/>
      <c r="V533" s="50"/>
      <c r="W533" s="48"/>
      <c r="Y533" s="49"/>
      <c r="Z533" s="50"/>
      <c r="AA533" s="48"/>
      <c r="AC533" s="49"/>
      <c r="AD533" s="50"/>
      <c r="AE533" s="48"/>
      <c r="AJ533" s="48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7"/>
      <c r="O534" s="48"/>
      <c r="Q534" s="49"/>
      <c r="R534" s="50"/>
      <c r="S534" s="48"/>
      <c r="U534" s="49"/>
      <c r="V534" s="50"/>
      <c r="W534" s="48"/>
      <c r="Y534" s="49"/>
      <c r="Z534" s="50"/>
      <c r="AA534" s="48"/>
      <c r="AC534" s="49"/>
      <c r="AD534" s="50"/>
      <c r="AE534" s="48"/>
      <c r="AJ534" s="48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7"/>
      <c r="O535" s="48"/>
      <c r="Q535" s="49"/>
      <c r="R535" s="50"/>
      <c r="S535" s="48"/>
      <c r="U535" s="49"/>
      <c r="V535" s="50"/>
      <c r="W535" s="48"/>
      <c r="Y535" s="49"/>
      <c r="Z535" s="50"/>
      <c r="AA535" s="48"/>
      <c r="AC535" s="49"/>
      <c r="AD535" s="50"/>
      <c r="AE535" s="48"/>
      <c r="AJ535" s="48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7"/>
      <c r="O536" s="48"/>
      <c r="Q536" s="49"/>
      <c r="R536" s="50"/>
      <c r="S536" s="48"/>
      <c r="U536" s="49"/>
      <c r="V536" s="50"/>
      <c r="W536" s="48"/>
      <c r="Y536" s="49"/>
      <c r="Z536" s="50"/>
      <c r="AA536" s="48"/>
      <c r="AC536" s="49"/>
      <c r="AD536" s="50"/>
      <c r="AE536" s="48"/>
      <c r="AJ536" s="48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7"/>
      <c r="O537" s="48"/>
      <c r="Q537" s="49"/>
      <c r="R537" s="50"/>
      <c r="S537" s="48"/>
      <c r="U537" s="49"/>
      <c r="V537" s="50"/>
      <c r="W537" s="48"/>
      <c r="Y537" s="49"/>
      <c r="Z537" s="50"/>
      <c r="AA537" s="48"/>
      <c r="AC537" s="49"/>
      <c r="AD537" s="50"/>
      <c r="AE537" s="48"/>
      <c r="AJ537" s="48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7"/>
      <c r="O538" s="48"/>
      <c r="Q538" s="49"/>
      <c r="R538" s="50"/>
      <c r="S538" s="48"/>
      <c r="U538" s="49"/>
      <c r="V538" s="50"/>
      <c r="W538" s="48"/>
      <c r="Y538" s="49"/>
      <c r="Z538" s="50"/>
      <c r="AA538" s="48"/>
      <c r="AC538" s="49"/>
      <c r="AD538" s="50"/>
      <c r="AE538" s="48"/>
      <c r="AJ538" s="48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7"/>
      <c r="O539" s="48"/>
      <c r="Q539" s="49"/>
      <c r="R539" s="50"/>
      <c r="S539" s="48"/>
      <c r="U539" s="49"/>
      <c r="V539" s="50"/>
      <c r="W539" s="48"/>
      <c r="Y539" s="49"/>
      <c r="Z539" s="50"/>
      <c r="AA539" s="48"/>
      <c r="AC539" s="49"/>
      <c r="AD539" s="50"/>
      <c r="AE539" s="48"/>
      <c r="AJ539" s="48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7"/>
      <c r="O540" s="48"/>
      <c r="Q540" s="49"/>
      <c r="R540" s="50"/>
      <c r="S540" s="48"/>
      <c r="U540" s="49"/>
      <c r="V540" s="50"/>
      <c r="W540" s="48"/>
      <c r="Y540" s="49"/>
      <c r="Z540" s="50"/>
      <c r="AA540" s="48"/>
      <c r="AC540" s="49"/>
      <c r="AD540" s="50"/>
      <c r="AE540" s="48"/>
      <c r="AJ540" s="48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7"/>
      <c r="O541" s="48"/>
      <c r="Q541" s="49"/>
      <c r="R541" s="50"/>
      <c r="S541" s="48"/>
      <c r="U541" s="49"/>
      <c r="V541" s="50"/>
      <c r="W541" s="48"/>
      <c r="Y541" s="49"/>
      <c r="Z541" s="50"/>
      <c r="AA541" s="48"/>
      <c r="AC541" s="49"/>
      <c r="AD541" s="50"/>
      <c r="AE541" s="48"/>
      <c r="AJ541" s="48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7"/>
      <c r="O542" s="48"/>
      <c r="Q542" s="49"/>
      <c r="R542" s="50"/>
      <c r="S542" s="48"/>
      <c r="U542" s="49"/>
      <c r="V542" s="50"/>
      <c r="W542" s="48"/>
      <c r="Y542" s="49"/>
      <c r="Z542" s="50"/>
      <c r="AA542" s="48"/>
      <c r="AC542" s="49"/>
      <c r="AD542" s="50"/>
      <c r="AE542" s="48"/>
      <c r="AJ542" s="48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7"/>
      <c r="O543" s="48"/>
      <c r="Q543" s="49"/>
      <c r="R543" s="50"/>
      <c r="S543" s="48"/>
      <c r="U543" s="49"/>
      <c r="V543" s="50"/>
      <c r="W543" s="48"/>
      <c r="Y543" s="49"/>
      <c r="Z543" s="50"/>
      <c r="AA543" s="48"/>
      <c r="AC543" s="49"/>
      <c r="AD543" s="50"/>
      <c r="AE543" s="48"/>
      <c r="AJ543" s="48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7"/>
      <c r="O544" s="48"/>
      <c r="Q544" s="49"/>
      <c r="R544" s="50"/>
      <c r="S544" s="48"/>
      <c r="U544" s="49"/>
      <c r="V544" s="50"/>
      <c r="W544" s="48"/>
      <c r="Y544" s="49"/>
      <c r="Z544" s="50"/>
      <c r="AA544" s="48"/>
      <c r="AC544" s="49"/>
      <c r="AD544" s="50"/>
      <c r="AE544" s="48"/>
      <c r="AJ544" s="48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7"/>
      <c r="O545" s="48"/>
      <c r="Q545" s="49"/>
      <c r="R545" s="50"/>
      <c r="S545" s="48"/>
      <c r="U545" s="49"/>
      <c r="V545" s="50"/>
      <c r="W545" s="48"/>
      <c r="Y545" s="49"/>
      <c r="Z545" s="50"/>
      <c r="AA545" s="48"/>
      <c r="AC545" s="49"/>
      <c r="AD545" s="50"/>
      <c r="AE545" s="48"/>
      <c r="AJ545" s="48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7"/>
      <c r="O546" s="48"/>
      <c r="Q546" s="49"/>
      <c r="R546" s="50"/>
      <c r="S546" s="48"/>
      <c r="U546" s="49"/>
      <c r="V546" s="50"/>
      <c r="W546" s="48"/>
      <c r="Y546" s="49"/>
      <c r="Z546" s="50"/>
      <c r="AA546" s="48"/>
      <c r="AC546" s="49"/>
      <c r="AD546" s="50"/>
      <c r="AE546" s="48"/>
      <c r="AJ546" s="48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7"/>
      <c r="O547" s="48"/>
      <c r="Q547" s="49"/>
      <c r="R547" s="50"/>
      <c r="S547" s="48"/>
      <c r="U547" s="49"/>
      <c r="V547" s="50"/>
      <c r="W547" s="48"/>
      <c r="Y547" s="49"/>
      <c r="Z547" s="50"/>
      <c r="AA547" s="48"/>
      <c r="AC547" s="49"/>
      <c r="AD547" s="50"/>
      <c r="AE547" s="48"/>
      <c r="AJ547" s="48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7"/>
      <c r="O548" s="48"/>
      <c r="Q548" s="49"/>
      <c r="R548" s="50"/>
      <c r="S548" s="48"/>
      <c r="U548" s="49"/>
      <c r="V548" s="50"/>
      <c r="W548" s="48"/>
      <c r="Y548" s="49"/>
      <c r="Z548" s="50"/>
      <c r="AA548" s="48"/>
      <c r="AC548" s="49"/>
      <c r="AD548" s="50"/>
      <c r="AE548" s="48"/>
      <c r="AJ548" s="48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7"/>
      <c r="O549" s="48"/>
      <c r="Q549" s="49"/>
      <c r="R549" s="50"/>
      <c r="S549" s="48"/>
      <c r="U549" s="49"/>
      <c r="V549" s="50"/>
      <c r="W549" s="48"/>
      <c r="Y549" s="49"/>
      <c r="Z549" s="50"/>
      <c r="AA549" s="48"/>
      <c r="AC549" s="49"/>
      <c r="AD549" s="50"/>
      <c r="AE549" s="48"/>
      <c r="AJ549" s="48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7"/>
      <c r="O550" s="48"/>
      <c r="Q550" s="49"/>
      <c r="R550" s="50"/>
      <c r="S550" s="48"/>
      <c r="U550" s="49"/>
      <c r="V550" s="50"/>
      <c r="W550" s="48"/>
      <c r="Y550" s="49"/>
      <c r="Z550" s="50"/>
      <c r="AA550" s="48"/>
      <c r="AC550" s="49"/>
      <c r="AD550" s="50"/>
      <c r="AE550" s="48"/>
      <c r="AJ550" s="48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7"/>
      <c r="O551" s="48"/>
      <c r="Q551" s="49"/>
      <c r="R551" s="50"/>
      <c r="S551" s="48"/>
      <c r="U551" s="49"/>
      <c r="V551" s="50"/>
      <c r="W551" s="48"/>
      <c r="Y551" s="49"/>
      <c r="Z551" s="50"/>
      <c r="AA551" s="48"/>
      <c r="AC551" s="49"/>
      <c r="AD551" s="50"/>
      <c r="AE551" s="48"/>
      <c r="AJ551" s="48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7"/>
      <c r="O552" s="48"/>
      <c r="Q552" s="49"/>
      <c r="R552" s="50"/>
      <c r="S552" s="48"/>
      <c r="U552" s="49"/>
      <c r="V552" s="50"/>
      <c r="W552" s="48"/>
      <c r="Y552" s="49"/>
      <c r="Z552" s="50"/>
      <c r="AA552" s="48"/>
      <c r="AC552" s="49"/>
      <c r="AD552" s="50"/>
      <c r="AE552" s="48"/>
      <c r="AJ552" s="48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7"/>
      <c r="O553" s="48"/>
      <c r="Q553" s="49"/>
      <c r="R553" s="50"/>
      <c r="S553" s="48"/>
      <c r="U553" s="49"/>
      <c r="V553" s="50"/>
      <c r="W553" s="48"/>
      <c r="Y553" s="49"/>
      <c r="Z553" s="50"/>
      <c r="AA553" s="48"/>
      <c r="AC553" s="49"/>
      <c r="AD553" s="50"/>
      <c r="AE553" s="48"/>
      <c r="AJ553" s="48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7"/>
      <c r="O554" s="48"/>
      <c r="Q554" s="49"/>
      <c r="R554" s="50"/>
      <c r="S554" s="48"/>
      <c r="U554" s="49"/>
      <c r="V554" s="50"/>
      <c r="W554" s="48"/>
      <c r="Y554" s="49"/>
      <c r="Z554" s="50"/>
      <c r="AA554" s="48"/>
      <c r="AC554" s="49"/>
      <c r="AD554" s="50"/>
      <c r="AE554" s="48"/>
      <c r="AJ554" s="48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7"/>
      <c r="O555" s="48"/>
      <c r="Q555" s="49"/>
      <c r="R555" s="50"/>
      <c r="S555" s="48"/>
      <c r="U555" s="49"/>
      <c r="V555" s="50"/>
      <c r="W555" s="48"/>
      <c r="Y555" s="49"/>
      <c r="Z555" s="50"/>
      <c r="AA555" s="48"/>
      <c r="AC555" s="49"/>
      <c r="AD555" s="50"/>
      <c r="AE555" s="48"/>
      <c r="AJ555" s="48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7"/>
      <c r="O556" s="48"/>
      <c r="Q556" s="49"/>
      <c r="R556" s="50"/>
      <c r="S556" s="48"/>
      <c r="U556" s="49"/>
      <c r="V556" s="50"/>
      <c r="W556" s="48"/>
      <c r="Y556" s="49"/>
      <c r="Z556" s="50"/>
      <c r="AA556" s="48"/>
      <c r="AC556" s="49"/>
      <c r="AD556" s="50"/>
      <c r="AE556" s="48"/>
      <c r="AJ556" s="48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7"/>
      <c r="O557" s="48"/>
      <c r="Q557" s="49"/>
      <c r="R557" s="50"/>
      <c r="S557" s="48"/>
      <c r="U557" s="49"/>
      <c r="V557" s="50"/>
      <c r="W557" s="48"/>
      <c r="Y557" s="49"/>
      <c r="Z557" s="50"/>
      <c r="AA557" s="48"/>
      <c r="AC557" s="49"/>
      <c r="AD557" s="50"/>
      <c r="AE557" s="48"/>
      <c r="AJ557" s="48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7"/>
      <c r="O558" s="48"/>
      <c r="Q558" s="49"/>
      <c r="R558" s="50"/>
      <c r="S558" s="48"/>
      <c r="U558" s="49"/>
      <c r="V558" s="50"/>
      <c r="W558" s="48"/>
      <c r="Y558" s="49"/>
      <c r="Z558" s="50"/>
      <c r="AA558" s="48"/>
      <c r="AC558" s="49"/>
      <c r="AD558" s="50"/>
      <c r="AE558" s="48"/>
      <c r="AJ558" s="48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7"/>
      <c r="O559" s="48"/>
      <c r="Q559" s="49"/>
      <c r="R559" s="50"/>
      <c r="S559" s="48"/>
      <c r="U559" s="49"/>
      <c r="V559" s="50"/>
      <c r="W559" s="48"/>
      <c r="Y559" s="49"/>
      <c r="Z559" s="50"/>
      <c r="AA559" s="48"/>
      <c r="AC559" s="49"/>
      <c r="AD559" s="50"/>
      <c r="AE559" s="48"/>
      <c r="AJ559" s="48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7"/>
      <c r="O560" s="48"/>
      <c r="Q560" s="49"/>
      <c r="R560" s="50"/>
      <c r="S560" s="48"/>
      <c r="U560" s="49"/>
      <c r="V560" s="50"/>
      <c r="W560" s="48"/>
      <c r="Y560" s="49"/>
      <c r="Z560" s="50"/>
      <c r="AA560" s="48"/>
      <c r="AC560" s="49"/>
      <c r="AD560" s="50"/>
      <c r="AE560" s="48"/>
      <c r="AJ560" s="48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7"/>
      <c r="O561" s="48"/>
      <c r="Q561" s="49"/>
      <c r="R561" s="50"/>
      <c r="S561" s="48"/>
      <c r="U561" s="49"/>
      <c r="V561" s="50"/>
      <c r="W561" s="48"/>
      <c r="Y561" s="49"/>
      <c r="Z561" s="50"/>
      <c r="AA561" s="48"/>
      <c r="AC561" s="49"/>
      <c r="AD561" s="50"/>
      <c r="AE561" s="48"/>
      <c r="AJ561" s="48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7"/>
      <c r="O562" s="48"/>
      <c r="Q562" s="49"/>
      <c r="R562" s="50"/>
      <c r="S562" s="48"/>
      <c r="U562" s="49"/>
      <c r="V562" s="50"/>
      <c r="W562" s="48"/>
      <c r="Y562" s="49"/>
      <c r="Z562" s="50"/>
      <c r="AA562" s="48"/>
      <c r="AC562" s="49"/>
      <c r="AD562" s="50"/>
      <c r="AE562" s="48"/>
      <c r="AJ562" s="48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7"/>
      <c r="O563" s="48"/>
      <c r="Q563" s="49"/>
      <c r="R563" s="50"/>
      <c r="S563" s="48"/>
      <c r="U563" s="49"/>
      <c r="V563" s="50"/>
      <c r="W563" s="48"/>
      <c r="Y563" s="49"/>
      <c r="Z563" s="50"/>
      <c r="AA563" s="48"/>
      <c r="AC563" s="49"/>
      <c r="AD563" s="50"/>
      <c r="AE563" s="48"/>
      <c r="AJ563" s="48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7"/>
      <c r="O564" s="48"/>
      <c r="Q564" s="49"/>
      <c r="R564" s="50"/>
      <c r="S564" s="48"/>
      <c r="U564" s="49"/>
      <c r="V564" s="50"/>
      <c r="W564" s="48"/>
      <c r="Y564" s="49"/>
      <c r="Z564" s="50"/>
      <c r="AA564" s="48"/>
      <c r="AC564" s="49"/>
      <c r="AD564" s="50"/>
      <c r="AE564" s="48"/>
      <c r="AJ564" s="48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7"/>
      <c r="O565" s="48"/>
      <c r="Q565" s="49"/>
      <c r="R565" s="50"/>
      <c r="S565" s="48"/>
      <c r="U565" s="49"/>
      <c r="V565" s="50"/>
      <c r="W565" s="48"/>
      <c r="Y565" s="49"/>
      <c r="Z565" s="50"/>
      <c r="AA565" s="48"/>
      <c r="AC565" s="49"/>
      <c r="AD565" s="50"/>
      <c r="AE565" s="48"/>
      <c r="AJ565" s="48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7"/>
      <c r="O566" s="48"/>
      <c r="Q566" s="49"/>
      <c r="R566" s="50"/>
      <c r="S566" s="48"/>
      <c r="U566" s="49"/>
      <c r="V566" s="50"/>
      <c r="W566" s="48"/>
      <c r="Y566" s="49"/>
      <c r="Z566" s="50"/>
      <c r="AA566" s="48"/>
      <c r="AC566" s="49"/>
      <c r="AD566" s="50"/>
      <c r="AE566" s="48"/>
      <c r="AJ566" s="48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7"/>
      <c r="O567" s="48"/>
      <c r="Q567" s="49"/>
      <c r="R567" s="50"/>
      <c r="S567" s="48"/>
      <c r="U567" s="49"/>
      <c r="V567" s="50"/>
      <c r="W567" s="48"/>
      <c r="Y567" s="49"/>
      <c r="Z567" s="50"/>
      <c r="AA567" s="48"/>
      <c r="AC567" s="49"/>
      <c r="AD567" s="50"/>
      <c r="AE567" s="48"/>
      <c r="AJ567" s="48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7"/>
      <c r="O568" s="48"/>
      <c r="Q568" s="49"/>
      <c r="R568" s="50"/>
      <c r="S568" s="48"/>
      <c r="U568" s="49"/>
      <c r="V568" s="50"/>
      <c r="W568" s="48"/>
      <c r="Y568" s="49"/>
      <c r="Z568" s="50"/>
      <c r="AA568" s="48"/>
      <c r="AC568" s="49"/>
      <c r="AD568" s="50"/>
      <c r="AE568" s="48"/>
      <c r="AJ568" s="48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7"/>
      <c r="O569" s="48"/>
      <c r="Q569" s="49"/>
      <c r="R569" s="50"/>
      <c r="S569" s="48"/>
      <c r="U569" s="49"/>
      <c r="V569" s="50"/>
      <c r="W569" s="48"/>
      <c r="Y569" s="49"/>
      <c r="Z569" s="50"/>
      <c r="AA569" s="48"/>
      <c r="AC569" s="49"/>
      <c r="AD569" s="50"/>
      <c r="AE569" s="48"/>
      <c r="AJ569" s="48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7"/>
      <c r="O570" s="48"/>
      <c r="Q570" s="49"/>
      <c r="R570" s="50"/>
      <c r="S570" s="48"/>
      <c r="U570" s="49"/>
      <c r="V570" s="50"/>
      <c r="W570" s="48"/>
      <c r="Y570" s="49"/>
      <c r="Z570" s="50"/>
      <c r="AA570" s="48"/>
      <c r="AC570" s="49"/>
      <c r="AD570" s="50"/>
      <c r="AE570" s="48"/>
      <c r="AJ570" s="48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7"/>
      <c r="O571" s="48"/>
      <c r="Q571" s="49"/>
      <c r="R571" s="50"/>
      <c r="S571" s="48"/>
      <c r="U571" s="49"/>
      <c r="V571" s="50"/>
      <c r="W571" s="48"/>
      <c r="Y571" s="49"/>
      <c r="Z571" s="50"/>
      <c r="AA571" s="48"/>
      <c r="AC571" s="49"/>
      <c r="AD571" s="50"/>
      <c r="AE571" s="48"/>
      <c r="AJ571" s="48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7"/>
      <c r="O572" s="48"/>
      <c r="Q572" s="49"/>
      <c r="R572" s="50"/>
      <c r="S572" s="48"/>
      <c r="U572" s="49"/>
      <c r="V572" s="50"/>
      <c r="W572" s="48"/>
      <c r="Y572" s="49"/>
      <c r="Z572" s="50"/>
      <c r="AA572" s="48"/>
      <c r="AC572" s="49"/>
      <c r="AD572" s="50"/>
      <c r="AE572" s="48"/>
      <c r="AJ572" s="48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7"/>
      <c r="O573" s="48"/>
      <c r="Q573" s="49"/>
      <c r="R573" s="50"/>
      <c r="S573" s="48"/>
      <c r="U573" s="49"/>
      <c r="V573" s="50"/>
      <c r="W573" s="48"/>
      <c r="Y573" s="49"/>
      <c r="Z573" s="50"/>
      <c r="AA573" s="48"/>
      <c r="AC573" s="49"/>
      <c r="AD573" s="50"/>
      <c r="AE573" s="48"/>
      <c r="AJ573" s="48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7"/>
      <c r="O574" s="48"/>
      <c r="Q574" s="49"/>
      <c r="R574" s="50"/>
      <c r="S574" s="48"/>
      <c r="U574" s="49"/>
      <c r="V574" s="50"/>
      <c r="W574" s="48"/>
      <c r="Y574" s="49"/>
      <c r="Z574" s="50"/>
      <c r="AA574" s="48"/>
      <c r="AC574" s="49"/>
      <c r="AD574" s="50"/>
      <c r="AE574" s="48"/>
      <c r="AJ574" s="48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7"/>
      <c r="O575" s="48"/>
      <c r="Q575" s="49"/>
      <c r="R575" s="50"/>
      <c r="S575" s="48"/>
      <c r="U575" s="49"/>
      <c r="V575" s="50"/>
      <c r="W575" s="48"/>
      <c r="Y575" s="49"/>
      <c r="Z575" s="50"/>
      <c r="AA575" s="48"/>
      <c r="AC575" s="49"/>
      <c r="AD575" s="50"/>
      <c r="AE575" s="48"/>
      <c r="AJ575" s="48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7"/>
      <c r="O576" s="48"/>
      <c r="Q576" s="49"/>
      <c r="R576" s="50"/>
      <c r="S576" s="48"/>
      <c r="U576" s="49"/>
      <c r="V576" s="50"/>
      <c r="W576" s="48"/>
      <c r="Y576" s="49"/>
      <c r="Z576" s="50"/>
      <c r="AA576" s="48"/>
      <c r="AC576" s="49"/>
      <c r="AD576" s="50"/>
      <c r="AE576" s="48"/>
      <c r="AJ576" s="48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7"/>
      <c r="O577" s="48"/>
      <c r="Q577" s="49"/>
      <c r="R577" s="50"/>
      <c r="S577" s="48"/>
      <c r="U577" s="49"/>
      <c r="V577" s="50"/>
      <c r="W577" s="48"/>
      <c r="Y577" s="49"/>
      <c r="Z577" s="50"/>
      <c r="AA577" s="48"/>
      <c r="AC577" s="49"/>
      <c r="AD577" s="50"/>
      <c r="AE577" s="48"/>
      <c r="AJ577" s="48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7"/>
      <c r="O578" s="48"/>
      <c r="Q578" s="49"/>
      <c r="R578" s="50"/>
      <c r="S578" s="48"/>
      <c r="U578" s="49"/>
      <c r="V578" s="50"/>
      <c r="W578" s="48"/>
      <c r="Y578" s="49"/>
      <c r="Z578" s="50"/>
      <c r="AA578" s="48"/>
      <c r="AC578" s="49"/>
      <c r="AD578" s="50"/>
      <c r="AE578" s="48"/>
      <c r="AJ578" s="48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7"/>
      <c r="O579" s="48"/>
      <c r="Q579" s="49"/>
      <c r="R579" s="50"/>
      <c r="S579" s="48"/>
      <c r="U579" s="49"/>
      <c r="V579" s="50"/>
      <c r="W579" s="48"/>
      <c r="Y579" s="49"/>
      <c r="Z579" s="50"/>
      <c r="AA579" s="48"/>
      <c r="AC579" s="49"/>
      <c r="AD579" s="50"/>
      <c r="AE579" s="48"/>
      <c r="AJ579" s="48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7"/>
      <c r="O580" s="48"/>
      <c r="Q580" s="49"/>
      <c r="R580" s="50"/>
      <c r="S580" s="48"/>
      <c r="U580" s="49"/>
      <c r="V580" s="50"/>
      <c r="W580" s="48"/>
      <c r="Y580" s="49"/>
      <c r="Z580" s="50"/>
      <c r="AA580" s="48"/>
      <c r="AC580" s="49"/>
      <c r="AD580" s="50"/>
      <c r="AE580" s="48"/>
      <c r="AJ580" s="48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7"/>
      <c r="O581" s="48"/>
      <c r="Q581" s="49"/>
      <c r="R581" s="50"/>
      <c r="S581" s="48"/>
      <c r="U581" s="49"/>
      <c r="V581" s="50"/>
      <c r="W581" s="48"/>
      <c r="Y581" s="49"/>
      <c r="Z581" s="50"/>
      <c r="AA581" s="48"/>
      <c r="AC581" s="49"/>
      <c r="AD581" s="50"/>
      <c r="AE581" s="48"/>
      <c r="AJ581" s="48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7"/>
      <c r="O582" s="48"/>
      <c r="Q582" s="49"/>
      <c r="R582" s="50"/>
      <c r="S582" s="48"/>
      <c r="U582" s="49"/>
      <c r="V582" s="50"/>
      <c r="W582" s="48"/>
      <c r="Y582" s="49"/>
      <c r="Z582" s="50"/>
      <c r="AA582" s="48"/>
      <c r="AC582" s="49"/>
      <c r="AD582" s="50"/>
      <c r="AE582" s="48"/>
      <c r="AJ582" s="48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7"/>
      <c r="O583" s="48"/>
      <c r="Q583" s="49"/>
      <c r="R583" s="50"/>
      <c r="S583" s="48"/>
      <c r="U583" s="49"/>
      <c r="V583" s="50"/>
      <c r="W583" s="48"/>
      <c r="Y583" s="49"/>
      <c r="Z583" s="50"/>
      <c r="AA583" s="48"/>
      <c r="AC583" s="49"/>
      <c r="AD583" s="50"/>
      <c r="AE583" s="48"/>
      <c r="AJ583" s="48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7"/>
      <c r="O584" s="48"/>
      <c r="Q584" s="49"/>
      <c r="R584" s="50"/>
      <c r="S584" s="48"/>
      <c r="U584" s="49"/>
      <c r="V584" s="50"/>
      <c r="W584" s="48"/>
      <c r="Y584" s="49"/>
      <c r="Z584" s="50"/>
      <c r="AA584" s="48"/>
      <c r="AC584" s="49"/>
      <c r="AD584" s="50"/>
      <c r="AE584" s="48"/>
      <c r="AJ584" s="48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7"/>
      <c r="O585" s="48"/>
      <c r="Q585" s="49"/>
      <c r="R585" s="50"/>
      <c r="S585" s="48"/>
      <c r="U585" s="49"/>
      <c r="V585" s="50"/>
      <c r="W585" s="48"/>
      <c r="Y585" s="49"/>
      <c r="Z585" s="50"/>
      <c r="AA585" s="48"/>
      <c r="AC585" s="49"/>
      <c r="AD585" s="50"/>
      <c r="AE585" s="48"/>
      <c r="AJ585" s="48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7"/>
      <c r="O586" s="48"/>
      <c r="Q586" s="49"/>
      <c r="R586" s="50"/>
      <c r="S586" s="48"/>
      <c r="U586" s="49"/>
      <c r="V586" s="50"/>
      <c r="W586" s="48"/>
      <c r="Y586" s="49"/>
      <c r="Z586" s="50"/>
      <c r="AA586" s="48"/>
      <c r="AC586" s="49"/>
      <c r="AD586" s="50"/>
      <c r="AE586" s="48"/>
      <c r="AJ586" s="48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7"/>
      <c r="O587" s="48"/>
      <c r="Q587" s="49"/>
      <c r="R587" s="50"/>
      <c r="S587" s="48"/>
      <c r="U587" s="49"/>
      <c r="V587" s="50"/>
      <c r="W587" s="48"/>
      <c r="Y587" s="49"/>
      <c r="Z587" s="50"/>
      <c r="AA587" s="48"/>
      <c r="AC587" s="49"/>
      <c r="AD587" s="50"/>
      <c r="AE587" s="48"/>
      <c r="AJ587" s="48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7"/>
      <c r="O588" s="48"/>
      <c r="Q588" s="49"/>
      <c r="R588" s="50"/>
      <c r="S588" s="48"/>
      <c r="U588" s="49"/>
      <c r="V588" s="50"/>
      <c r="W588" s="48"/>
      <c r="Y588" s="49"/>
      <c r="Z588" s="50"/>
      <c r="AA588" s="48"/>
      <c r="AC588" s="49"/>
      <c r="AD588" s="50"/>
      <c r="AE588" s="48"/>
      <c r="AJ588" s="48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7"/>
      <c r="O589" s="48"/>
      <c r="Q589" s="49"/>
      <c r="R589" s="50"/>
      <c r="S589" s="48"/>
      <c r="U589" s="49"/>
      <c r="V589" s="50"/>
      <c r="W589" s="48"/>
      <c r="Y589" s="49"/>
      <c r="Z589" s="50"/>
      <c r="AA589" s="48"/>
      <c r="AC589" s="49"/>
      <c r="AD589" s="50"/>
      <c r="AE589" s="48"/>
      <c r="AJ589" s="48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7"/>
      <c r="O590" s="48"/>
      <c r="Q590" s="49"/>
      <c r="R590" s="50"/>
      <c r="S590" s="48"/>
      <c r="U590" s="49"/>
      <c r="V590" s="50"/>
      <c r="W590" s="48"/>
      <c r="Y590" s="49"/>
      <c r="Z590" s="50"/>
      <c r="AA590" s="48"/>
      <c r="AC590" s="49"/>
      <c r="AD590" s="50"/>
      <c r="AE590" s="48"/>
      <c r="AJ590" s="48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7"/>
      <c r="O591" s="48"/>
      <c r="Q591" s="49"/>
      <c r="R591" s="50"/>
      <c r="S591" s="48"/>
      <c r="U591" s="49"/>
      <c r="V591" s="50"/>
      <c r="W591" s="48"/>
      <c r="Y591" s="49"/>
      <c r="Z591" s="50"/>
      <c r="AA591" s="48"/>
      <c r="AC591" s="49"/>
      <c r="AD591" s="50"/>
      <c r="AE591" s="48"/>
      <c r="AJ591" s="48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7"/>
      <c r="O592" s="48"/>
      <c r="Q592" s="49"/>
      <c r="R592" s="50"/>
      <c r="S592" s="48"/>
      <c r="U592" s="49"/>
      <c r="V592" s="50"/>
      <c r="W592" s="48"/>
      <c r="Y592" s="49"/>
      <c r="Z592" s="50"/>
      <c r="AA592" s="48"/>
      <c r="AC592" s="49"/>
      <c r="AD592" s="50"/>
      <c r="AE592" s="48"/>
      <c r="AJ592" s="48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7"/>
      <c r="O593" s="48"/>
      <c r="Q593" s="49"/>
      <c r="R593" s="50"/>
      <c r="S593" s="48"/>
      <c r="U593" s="49"/>
      <c r="V593" s="50"/>
      <c r="W593" s="48"/>
      <c r="Y593" s="49"/>
      <c r="Z593" s="50"/>
      <c r="AA593" s="48"/>
      <c r="AC593" s="49"/>
      <c r="AD593" s="50"/>
      <c r="AE593" s="48"/>
      <c r="AJ593" s="48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7"/>
      <c r="O594" s="48"/>
      <c r="Q594" s="49"/>
      <c r="R594" s="50"/>
      <c r="S594" s="48"/>
      <c r="U594" s="49"/>
      <c r="V594" s="50"/>
      <c r="W594" s="48"/>
      <c r="Y594" s="49"/>
      <c r="Z594" s="50"/>
      <c r="AA594" s="48"/>
      <c r="AC594" s="49"/>
      <c r="AD594" s="50"/>
      <c r="AE594" s="48"/>
      <c r="AJ594" s="48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7"/>
      <c r="O595" s="48"/>
      <c r="Q595" s="49"/>
      <c r="R595" s="50"/>
      <c r="S595" s="48"/>
      <c r="U595" s="49"/>
      <c r="V595" s="50"/>
      <c r="W595" s="48"/>
      <c r="Y595" s="49"/>
      <c r="Z595" s="50"/>
      <c r="AA595" s="48"/>
      <c r="AC595" s="49"/>
      <c r="AD595" s="50"/>
      <c r="AE595" s="48"/>
      <c r="AJ595" s="48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7"/>
      <c r="O596" s="48"/>
      <c r="Q596" s="49"/>
      <c r="R596" s="50"/>
      <c r="S596" s="48"/>
      <c r="U596" s="49"/>
      <c r="V596" s="50"/>
      <c r="W596" s="48"/>
      <c r="Y596" s="49"/>
      <c r="Z596" s="50"/>
      <c r="AA596" s="48"/>
      <c r="AC596" s="49"/>
      <c r="AD596" s="50"/>
      <c r="AE596" s="48"/>
      <c r="AJ596" s="48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7"/>
      <c r="O597" s="48"/>
      <c r="Q597" s="49"/>
      <c r="R597" s="50"/>
      <c r="S597" s="48"/>
      <c r="U597" s="49"/>
      <c r="V597" s="50"/>
      <c r="W597" s="48"/>
      <c r="Y597" s="49"/>
      <c r="Z597" s="50"/>
      <c r="AA597" s="48"/>
      <c r="AC597" s="49"/>
      <c r="AD597" s="50"/>
      <c r="AE597" s="48"/>
      <c r="AJ597" s="48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7"/>
      <c r="O598" s="48"/>
      <c r="Q598" s="49"/>
      <c r="R598" s="50"/>
      <c r="S598" s="48"/>
      <c r="U598" s="49"/>
      <c r="V598" s="50"/>
      <c r="W598" s="48"/>
      <c r="Y598" s="49"/>
      <c r="Z598" s="50"/>
      <c r="AA598" s="48"/>
      <c r="AC598" s="49"/>
      <c r="AD598" s="50"/>
      <c r="AE598" s="48"/>
      <c r="AJ598" s="48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7"/>
      <c r="O599" s="48"/>
      <c r="Q599" s="49"/>
      <c r="R599" s="50"/>
      <c r="S599" s="48"/>
      <c r="U599" s="49"/>
      <c r="V599" s="50"/>
      <c r="W599" s="48"/>
      <c r="Y599" s="49"/>
      <c r="Z599" s="50"/>
      <c r="AA599" s="48"/>
      <c r="AC599" s="49"/>
      <c r="AD599" s="50"/>
      <c r="AE599" s="48"/>
      <c r="AJ599" s="48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7"/>
      <c r="O600" s="48"/>
      <c r="Q600" s="49"/>
      <c r="R600" s="50"/>
      <c r="S600" s="48"/>
      <c r="U600" s="49"/>
      <c r="V600" s="50"/>
      <c r="W600" s="48"/>
      <c r="Y600" s="49"/>
      <c r="Z600" s="50"/>
      <c r="AA600" s="48"/>
      <c r="AC600" s="49"/>
      <c r="AD600" s="50"/>
      <c r="AE600" s="48"/>
      <c r="AJ600" s="48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7"/>
      <c r="O601" s="48"/>
      <c r="Q601" s="49"/>
      <c r="R601" s="50"/>
      <c r="S601" s="48"/>
      <c r="U601" s="49"/>
      <c r="V601" s="50"/>
      <c r="W601" s="48"/>
      <c r="Y601" s="49"/>
      <c r="Z601" s="50"/>
      <c r="AA601" s="48"/>
      <c r="AC601" s="49"/>
      <c r="AD601" s="50"/>
      <c r="AE601" s="48"/>
      <c r="AJ601" s="48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7"/>
      <c r="O602" s="48"/>
      <c r="Q602" s="49"/>
      <c r="R602" s="50"/>
      <c r="S602" s="48"/>
      <c r="U602" s="49"/>
      <c r="V602" s="50"/>
      <c r="W602" s="48"/>
      <c r="Y602" s="49"/>
      <c r="Z602" s="50"/>
      <c r="AA602" s="48"/>
      <c r="AC602" s="49"/>
      <c r="AD602" s="50"/>
      <c r="AE602" s="48"/>
      <c r="AJ602" s="48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7"/>
      <c r="O603" s="48"/>
      <c r="Q603" s="49"/>
      <c r="R603" s="50"/>
      <c r="S603" s="48"/>
      <c r="U603" s="49"/>
      <c r="V603" s="50"/>
      <c r="W603" s="48"/>
      <c r="Y603" s="49"/>
      <c r="Z603" s="50"/>
      <c r="AA603" s="48"/>
      <c r="AC603" s="49"/>
      <c r="AD603" s="50"/>
      <c r="AE603" s="48"/>
      <c r="AJ603" s="48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7"/>
      <c r="O604" s="48"/>
      <c r="Q604" s="49"/>
      <c r="R604" s="50"/>
      <c r="S604" s="48"/>
      <c r="U604" s="49"/>
      <c r="V604" s="50"/>
      <c r="W604" s="48"/>
      <c r="Y604" s="49"/>
      <c r="Z604" s="50"/>
      <c r="AA604" s="48"/>
      <c r="AC604" s="49"/>
      <c r="AD604" s="50"/>
      <c r="AE604" s="48"/>
      <c r="AJ604" s="48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7"/>
      <c r="O605" s="48"/>
      <c r="Q605" s="49"/>
      <c r="R605" s="50"/>
      <c r="S605" s="48"/>
      <c r="U605" s="49"/>
      <c r="V605" s="50"/>
      <c r="W605" s="48"/>
      <c r="Y605" s="49"/>
      <c r="Z605" s="50"/>
      <c r="AA605" s="48"/>
      <c r="AC605" s="49"/>
      <c r="AD605" s="50"/>
      <c r="AE605" s="48"/>
      <c r="AJ605" s="48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7"/>
      <c r="O606" s="48"/>
      <c r="Q606" s="49"/>
      <c r="R606" s="50"/>
      <c r="S606" s="48"/>
      <c r="U606" s="49"/>
      <c r="V606" s="50"/>
      <c r="W606" s="48"/>
      <c r="Y606" s="49"/>
      <c r="Z606" s="50"/>
      <c r="AA606" s="48"/>
      <c r="AC606" s="49"/>
      <c r="AD606" s="50"/>
      <c r="AE606" s="48"/>
      <c r="AJ606" s="48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7"/>
      <c r="O607" s="48"/>
      <c r="Q607" s="49"/>
      <c r="R607" s="50"/>
      <c r="S607" s="48"/>
      <c r="U607" s="49"/>
      <c r="V607" s="50"/>
      <c r="W607" s="48"/>
      <c r="Y607" s="49"/>
      <c r="Z607" s="50"/>
      <c r="AA607" s="48"/>
      <c r="AC607" s="49"/>
      <c r="AD607" s="50"/>
      <c r="AE607" s="48"/>
      <c r="AJ607" s="48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7"/>
      <c r="O608" s="48"/>
      <c r="Q608" s="49"/>
      <c r="R608" s="50"/>
      <c r="S608" s="48"/>
      <c r="U608" s="49"/>
      <c r="V608" s="50"/>
      <c r="W608" s="48"/>
      <c r="Y608" s="49"/>
      <c r="Z608" s="50"/>
      <c r="AA608" s="48"/>
      <c r="AC608" s="49"/>
      <c r="AD608" s="50"/>
      <c r="AE608" s="48"/>
      <c r="AJ608" s="48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7"/>
      <c r="O609" s="48"/>
      <c r="Q609" s="49"/>
      <c r="R609" s="50"/>
      <c r="S609" s="48"/>
      <c r="U609" s="49"/>
      <c r="V609" s="50"/>
      <c r="W609" s="48"/>
      <c r="Y609" s="49"/>
      <c r="Z609" s="50"/>
      <c r="AA609" s="48"/>
      <c r="AC609" s="49"/>
      <c r="AD609" s="50"/>
      <c r="AE609" s="48"/>
      <c r="AJ609" s="48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7"/>
      <c r="O610" s="48"/>
      <c r="Q610" s="49"/>
      <c r="R610" s="50"/>
      <c r="S610" s="48"/>
      <c r="U610" s="49"/>
      <c r="V610" s="50"/>
      <c r="W610" s="48"/>
      <c r="Y610" s="49"/>
      <c r="Z610" s="50"/>
      <c r="AA610" s="48"/>
      <c r="AC610" s="49"/>
      <c r="AD610" s="50"/>
      <c r="AE610" s="48"/>
      <c r="AJ610" s="48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7"/>
      <c r="O611" s="48"/>
      <c r="Q611" s="49"/>
      <c r="R611" s="50"/>
      <c r="S611" s="48"/>
      <c r="U611" s="49"/>
      <c r="V611" s="50"/>
      <c r="W611" s="48"/>
      <c r="Y611" s="49"/>
      <c r="Z611" s="50"/>
      <c r="AA611" s="48"/>
      <c r="AC611" s="49"/>
      <c r="AD611" s="50"/>
      <c r="AE611" s="48"/>
      <c r="AJ611" s="48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7"/>
      <c r="O612" s="48"/>
      <c r="Q612" s="49"/>
      <c r="R612" s="50"/>
      <c r="S612" s="48"/>
      <c r="U612" s="49"/>
      <c r="V612" s="50"/>
      <c r="W612" s="48"/>
      <c r="Y612" s="49"/>
      <c r="Z612" s="50"/>
      <c r="AA612" s="48"/>
      <c r="AC612" s="49"/>
      <c r="AD612" s="50"/>
      <c r="AE612" s="48"/>
      <c r="AJ612" s="48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7"/>
      <c r="O613" s="48"/>
      <c r="Q613" s="49"/>
      <c r="R613" s="50"/>
      <c r="S613" s="48"/>
      <c r="U613" s="49"/>
      <c r="V613" s="50"/>
      <c r="W613" s="48"/>
      <c r="Y613" s="49"/>
      <c r="Z613" s="50"/>
      <c r="AA613" s="48"/>
      <c r="AC613" s="49"/>
      <c r="AD613" s="50"/>
      <c r="AE613" s="48"/>
      <c r="AJ613" s="48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7"/>
      <c r="O614" s="48"/>
      <c r="Q614" s="49"/>
      <c r="R614" s="50"/>
      <c r="S614" s="48"/>
      <c r="U614" s="49"/>
      <c r="V614" s="50"/>
      <c r="W614" s="48"/>
      <c r="Y614" s="49"/>
      <c r="Z614" s="50"/>
      <c r="AA614" s="48"/>
      <c r="AC614" s="49"/>
      <c r="AD614" s="50"/>
      <c r="AE614" s="48"/>
      <c r="AJ614" s="48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7"/>
      <c r="O615" s="48"/>
      <c r="Q615" s="49"/>
      <c r="R615" s="50"/>
      <c r="S615" s="48"/>
      <c r="U615" s="49"/>
      <c r="V615" s="50"/>
      <c r="W615" s="48"/>
      <c r="Y615" s="49"/>
      <c r="Z615" s="50"/>
      <c r="AA615" s="48"/>
      <c r="AC615" s="49"/>
      <c r="AD615" s="50"/>
      <c r="AE615" s="48"/>
      <c r="AJ615" s="48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7"/>
      <c r="O616" s="48"/>
      <c r="Q616" s="49"/>
      <c r="R616" s="50"/>
      <c r="S616" s="48"/>
      <c r="U616" s="49"/>
      <c r="V616" s="50"/>
      <c r="W616" s="48"/>
      <c r="Y616" s="49"/>
      <c r="Z616" s="50"/>
      <c r="AA616" s="48"/>
      <c r="AC616" s="49"/>
      <c r="AD616" s="50"/>
      <c r="AE616" s="48"/>
      <c r="AJ616" s="48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7"/>
      <c r="O617" s="48"/>
      <c r="Q617" s="49"/>
      <c r="R617" s="50"/>
      <c r="S617" s="48"/>
      <c r="U617" s="49"/>
      <c r="V617" s="50"/>
      <c r="W617" s="48"/>
      <c r="Y617" s="49"/>
      <c r="Z617" s="50"/>
      <c r="AA617" s="48"/>
      <c r="AC617" s="49"/>
      <c r="AD617" s="50"/>
      <c r="AE617" s="48"/>
      <c r="AJ617" s="48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7"/>
      <c r="O618" s="48"/>
      <c r="Q618" s="49"/>
      <c r="R618" s="50"/>
      <c r="S618" s="48"/>
      <c r="U618" s="49"/>
      <c r="V618" s="50"/>
      <c r="W618" s="48"/>
      <c r="Y618" s="49"/>
      <c r="Z618" s="50"/>
      <c r="AA618" s="48"/>
      <c r="AC618" s="49"/>
      <c r="AD618" s="50"/>
      <c r="AE618" s="48"/>
      <c r="AJ618" s="48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7"/>
      <c r="O619" s="48"/>
      <c r="Q619" s="49"/>
      <c r="R619" s="50"/>
      <c r="S619" s="48"/>
      <c r="U619" s="49"/>
      <c r="V619" s="50"/>
      <c r="W619" s="48"/>
      <c r="Y619" s="49"/>
      <c r="Z619" s="50"/>
      <c r="AA619" s="48"/>
      <c r="AC619" s="49"/>
      <c r="AD619" s="50"/>
      <c r="AE619" s="48"/>
      <c r="AJ619" s="48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7"/>
      <c r="O620" s="48"/>
      <c r="Q620" s="49"/>
      <c r="R620" s="50"/>
      <c r="S620" s="48"/>
      <c r="U620" s="49"/>
      <c r="V620" s="50"/>
      <c r="W620" s="48"/>
      <c r="Y620" s="49"/>
      <c r="Z620" s="50"/>
      <c r="AA620" s="48"/>
      <c r="AC620" s="49"/>
      <c r="AD620" s="50"/>
      <c r="AE620" s="48"/>
      <c r="AJ620" s="48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7"/>
      <c r="O621" s="48"/>
      <c r="Q621" s="49"/>
      <c r="R621" s="50"/>
      <c r="S621" s="48"/>
      <c r="U621" s="49"/>
      <c r="V621" s="50"/>
      <c r="W621" s="48"/>
      <c r="Y621" s="49"/>
      <c r="Z621" s="50"/>
      <c r="AA621" s="48"/>
      <c r="AC621" s="49"/>
      <c r="AD621" s="50"/>
      <c r="AE621" s="48"/>
      <c r="AJ621" s="48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7"/>
      <c r="O622" s="48"/>
      <c r="Q622" s="49"/>
      <c r="R622" s="50"/>
      <c r="S622" s="48"/>
      <c r="U622" s="49"/>
      <c r="V622" s="50"/>
      <c r="W622" s="48"/>
      <c r="Y622" s="49"/>
      <c r="Z622" s="50"/>
      <c r="AA622" s="48"/>
      <c r="AC622" s="49"/>
      <c r="AD622" s="50"/>
      <c r="AE622" s="48"/>
      <c r="AJ622" s="48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7"/>
      <c r="O623" s="48"/>
      <c r="Q623" s="49"/>
      <c r="R623" s="50"/>
      <c r="S623" s="48"/>
      <c r="U623" s="49"/>
      <c r="V623" s="50"/>
      <c r="W623" s="48"/>
      <c r="Y623" s="49"/>
      <c r="Z623" s="50"/>
      <c r="AA623" s="48"/>
      <c r="AC623" s="49"/>
      <c r="AD623" s="50"/>
      <c r="AE623" s="48"/>
      <c r="AJ623" s="48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7"/>
      <c r="O624" s="48"/>
      <c r="Q624" s="49"/>
      <c r="R624" s="50"/>
      <c r="S624" s="48"/>
      <c r="U624" s="49"/>
      <c r="V624" s="50"/>
      <c r="W624" s="48"/>
      <c r="Y624" s="49"/>
      <c r="Z624" s="50"/>
      <c r="AA624" s="48"/>
      <c r="AC624" s="49"/>
      <c r="AD624" s="50"/>
      <c r="AE624" s="48"/>
      <c r="AJ624" s="48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7"/>
      <c r="O625" s="48"/>
      <c r="Q625" s="49"/>
      <c r="R625" s="50"/>
      <c r="S625" s="48"/>
      <c r="U625" s="49"/>
      <c r="V625" s="50"/>
      <c r="W625" s="48"/>
      <c r="Y625" s="49"/>
      <c r="Z625" s="50"/>
      <c r="AA625" s="48"/>
      <c r="AC625" s="49"/>
      <c r="AD625" s="50"/>
      <c r="AE625" s="48"/>
      <c r="AJ625" s="48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7"/>
      <c r="O626" s="48"/>
      <c r="Q626" s="49"/>
      <c r="R626" s="50"/>
      <c r="S626" s="48"/>
      <c r="U626" s="49"/>
      <c r="V626" s="50"/>
      <c r="W626" s="48"/>
      <c r="Y626" s="49"/>
      <c r="Z626" s="50"/>
      <c r="AA626" s="48"/>
      <c r="AC626" s="49"/>
      <c r="AD626" s="50"/>
      <c r="AE626" s="48"/>
      <c r="AJ626" s="48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7"/>
      <c r="O627" s="48"/>
      <c r="Q627" s="49"/>
      <c r="R627" s="50"/>
      <c r="S627" s="48"/>
      <c r="U627" s="49"/>
      <c r="V627" s="50"/>
      <c r="W627" s="48"/>
      <c r="Y627" s="49"/>
      <c r="Z627" s="50"/>
      <c r="AA627" s="48"/>
      <c r="AC627" s="49"/>
      <c r="AD627" s="50"/>
      <c r="AE627" s="48"/>
      <c r="AJ627" s="48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7"/>
      <c r="O628" s="48"/>
      <c r="Q628" s="49"/>
      <c r="R628" s="50"/>
      <c r="S628" s="48"/>
      <c r="U628" s="49"/>
      <c r="V628" s="50"/>
      <c r="W628" s="48"/>
      <c r="Y628" s="49"/>
      <c r="Z628" s="50"/>
      <c r="AA628" s="48"/>
      <c r="AC628" s="49"/>
      <c r="AD628" s="50"/>
      <c r="AE628" s="48"/>
      <c r="AJ628" s="48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7"/>
      <c r="O629" s="48"/>
      <c r="Q629" s="49"/>
      <c r="R629" s="50"/>
      <c r="S629" s="48"/>
      <c r="U629" s="49"/>
      <c r="V629" s="50"/>
      <c r="W629" s="48"/>
      <c r="Y629" s="49"/>
      <c r="Z629" s="50"/>
      <c r="AA629" s="48"/>
      <c r="AC629" s="49"/>
      <c r="AD629" s="50"/>
      <c r="AE629" s="48"/>
      <c r="AJ629" s="48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7"/>
      <c r="O630" s="48"/>
      <c r="Q630" s="49"/>
      <c r="R630" s="50"/>
      <c r="S630" s="48"/>
      <c r="U630" s="49"/>
      <c r="V630" s="50"/>
      <c r="W630" s="48"/>
      <c r="Y630" s="49"/>
      <c r="Z630" s="50"/>
      <c r="AA630" s="48"/>
      <c r="AC630" s="49"/>
      <c r="AD630" s="50"/>
      <c r="AE630" s="48"/>
      <c r="AJ630" s="48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7"/>
      <c r="O631" s="48"/>
      <c r="Q631" s="49"/>
      <c r="R631" s="50"/>
      <c r="S631" s="48"/>
      <c r="U631" s="49"/>
      <c r="V631" s="50"/>
      <c r="W631" s="48"/>
      <c r="Y631" s="49"/>
      <c r="Z631" s="50"/>
      <c r="AA631" s="48"/>
      <c r="AC631" s="49"/>
      <c r="AD631" s="50"/>
      <c r="AE631" s="48"/>
      <c r="AJ631" s="48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7"/>
      <c r="O632" s="48"/>
      <c r="Q632" s="49"/>
      <c r="R632" s="50"/>
      <c r="S632" s="48"/>
      <c r="U632" s="49"/>
      <c r="V632" s="50"/>
      <c r="W632" s="48"/>
      <c r="Y632" s="49"/>
      <c r="Z632" s="50"/>
      <c r="AA632" s="48"/>
      <c r="AC632" s="49"/>
      <c r="AD632" s="50"/>
      <c r="AE632" s="48"/>
      <c r="AJ632" s="48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7"/>
      <c r="O633" s="48"/>
      <c r="Q633" s="49"/>
      <c r="R633" s="50"/>
      <c r="S633" s="48"/>
      <c r="U633" s="49"/>
      <c r="V633" s="50"/>
      <c r="W633" s="48"/>
      <c r="Y633" s="49"/>
      <c r="Z633" s="50"/>
      <c r="AA633" s="48"/>
      <c r="AC633" s="49"/>
      <c r="AD633" s="50"/>
      <c r="AE633" s="48"/>
      <c r="AJ633" s="48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7"/>
      <c r="O634" s="48"/>
      <c r="Q634" s="49"/>
      <c r="R634" s="50"/>
      <c r="S634" s="48"/>
      <c r="U634" s="49"/>
      <c r="V634" s="50"/>
      <c r="W634" s="48"/>
      <c r="Y634" s="49"/>
      <c r="Z634" s="50"/>
      <c r="AA634" s="48"/>
      <c r="AC634" s="49"/>
      <c r="AD634" s="50"/>
      <c r="AE634" s="48"/>
      <c r="AJ634" s="48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7"/>
      <c r="O635" s="48"/>
      <c r="Q635" s="49"/>
      <c r="R635" s="50"/>
      <c r="S635" s="48"/>
      <c r="U635" s="49"/>
      <c r="V635" s="50"/>
      <c r="W635" s="48"/>
      <c r="Y635" s="49"/>
      <c r="Z635" s="50"/>
      <c r="AA635" s="48"/>
      <c r="AC635" s="49"/>
      <c r="AD635" s="50"/>
      <c r="AE635" s="48"/>
      <c r="AJ635" s="48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7"/>
      <c r="O636" s="48"/>
      <c r="Q636" s="49"/>
      <c r="R636" s="50"/>
      <c r="S636" s="48"/>
      <c r="U636" s="49"/>
      <c r="V636" s="50"/>
      <c r="W636" s="48"/>
      <c r="Y636" s="49"/>
      <c r="Z636" s="50"/>
      <c r="AA636" s="48"/>
      <c r="AC636" s="49"/>
      <c r="AD636" s="50"/>
      <c r="AE636" s="48"/>
      <c r="AJ636" s="48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7"/>
      <c r="O637" s="48"/>
      <c r="Q637" s="49"/>
      <c r="R637" s="50"/>
      <c r="S637" s="48"/>
      <c r="U637" s="49"/>
      <c r="V637" s="50"/>
      <c r="W637" s="48"/>
      <c r="Y637" s="49"/>
      <c r="Z637" s="50"/>
      <c r="AA637" s="48"/>
      <c r="AC637" s="49"/>
      <c r="AD637" s="50"/>
      <c r="AE637" s="48"/>
      <c r="AJ637" s="48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7"/>
      <c r="O638" s="48"/>
      <c r="Q638" s="49"/>
      <c r="R638" s="50"/>
      <c r="S638" s="48"/>
      <c r="U638" s="49"/>
      <c r="V638" s="50"/>
      <c r="W638" s="48"/>
      <c r="Y638" s="49"/>
      <c r="Z638" s="50"/>
      <c r="AA638" s="48"/>
      <c r="AC638" s="49"/>
      <c r="AD638" s="50"/>
      <c r="AE638" s="48"/>
      <c r="AJ638" s="48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7"/>
      <c r="O639" s="48"/>
      <c r="Q639" s="49"/>
      <c r="R639" s="50"/>
      <c r="S639" s="48"/>
      <c r="U639" s="49"/>
      <c r="V639" s="50"/>
      <c r="W639" s="48"/>
      <c r="Y639" s="49"/>
      <c r="Z639" s="50"/>
      <c r="AA639" s="48"/>
      <c r="AC639" s="49"/>
      <c r="AD639" s="50"/>
      <c r="AE639" s="48"/>
      <c r="AJ639" s="48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7"/>
      <c r="O640" s="48"/>
      <c r="Q640" s="49"/>
      <c r="R640" s="50"/>
      <c r="S640" s="48"/>
      <c r="U640" s="49"/>
      <c r="V640" s="50"/>
      <c r="W640" s="48"/>
      <c r="Y640" s="49"/>
      <c r="Z640" s="50"/>
      <c r="AA640" s="48"/>
      <c r="AC640" s="49"/>
      <c r="AD640" s="50"/>
      <c r="AE640" s="48"/>
      <c r="AJ640" s="48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7"/>
      <c r="O641" s="48"/>
      <c r="Q641" s="49"/>
      <c r="R641" s="50"/>
      <c r="S641" s="48"/>
      <c r="U641" s="49"/>
      <c r="V641" s="50"/>
      <c r="W641" s="48"/>
      <c r="Y641" s="49"/>
      <c r="Z641" s="50"/>
      <c r="AA641" s="48"/>
      <c r="AC641" s="49"/>
      <c r="AD641" s="50"/>
      <c r="AE641" s="48"/>
      <c r="AJ641" s="48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7"/>
      <c r="O642" s="48"/>
      <c r="Q642" s="49"/>
      <c r="R642" s="50"/>
      <c r="S642" s="48"/>
      <c r="U642" s="49"/>
      <c r="V642" s="50"/>
      <c r="W642" s="48"/>
      <c r="Y642" s="49"/>
      <c r="Z642" s="50"/>
      <c r="AA642" s="48"/>
      <c r="AC642" s="49"/>
      <c r="AD642" s="50"/>
      <c r="AE642" s="48"/>
      <c r="AJ642" s="48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7"/>
      <c r="O643" s="48"/>
      <c r="Q643" s="49"/>
      <c r="R643" s="50"/>
      <c r="S643" s="48"/>
      <c r="U643" s="49"/>
      <c r="V643" s="50"/>
      <c r="W643" s="48"/>
      <c r="Y643" s="49"/>
      <c r="Z643" s="50"/>
      <c r="AA643" s="48"/>
      <c r="AC643" s="49"/>
      <c r="AD643" s="50"/>
      <c r="AE643" s="48"/>
      <c r="AJ643" s="48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7"/>
      <c r="O644" s="48"/>
      <c r="Q644" s="49"/>
      <c r="R644" s="50"/>
      <c r="S644" s="48"/>
      <c r="U644" s="49"/>
      <c r="V644" s="50"/>
      <c r="W644" s="48"/>
      <c r="Y644" s="49"/>
      <c r="Z644" s="50"/>
      <c r="AA644" s="48"/>
      <c r="AC644" s="49"/>
      <c r="AD644" s="50"/>
      <c r="AE644" s="48"/>
      <c r="AJ644" s="48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7"/>
      <c r="O645" s="48"/>
      <c r="Q645" s="49"/>
      <c r="R645" s="50"/>
      <c r="S645" s="48"/>
      <c r="U645" s="49"/>
      <c r="V645" s="50"/>
      <c r="W645" s="48"/>
      <c r="Y645" s="49"/>
      <c r="Z645" s="50"/>
      <c r="AA645" s="48"/>
      <c r="AC645" s="49"/>
      <c r="AD645" s="50"/>
      <c r="AE645" s="48"/>
      <c r="AJ645" s="48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7"/>
      <c r="O646" s="48"/>
      <c r="Q646" s="49"/>
      <c r="R646" s="50"/>
      <c r="S646" s="48"/>
      <c r="U646" s="49"/>
      <c r="V646" s="50"/>
      <c r="W646" s="48"/>
      <c r="Y646" s="49"/>
      <c r="Z646" s="50"/>
      <c r="AA646" s="48"/>
      <c r="AC646" s="49"/>
      <c r="AD646" s="50"/>
      <c r="AE646" s="48"/>
      <c r="AJ646" s="48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7"/>
      <c r="O647" s="48"/>
      <c r="Q647" s="49"/>
      <c r="R647" s="50"/>
      <c r="S647" s="48"/>
      <c r="U647" s="49"/>
      <c r="V647" s="50"/>
      <c r="W647" s="48"/>
      <c r="Y647" s="49"/>
      <c r="Z647" s="50"/>
      <c r="AA647" s="48"/>
      <c r="AC647" s="49"/>
      <c r="AD647" s="50"/>
      <c r="AE647" s="48"/>
      <c r="AJ647" s="48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7"/>
      <c r="O648" s="48"/>
      <c r="Q648" s="49"/>
      <c r="R648" s="50"/>
      <c r="S648" s="48"/>
      <c r="U648" s="49"/>
      <c r="V648" s="50"/>
      <c r="W648" s="48"/>
      <c r="Y648" s="49"/>
      <c r="Z648" s="50"/>
      <c r="AA648" s="48"/>
      <c r="AC648" s="49"/>
      <c r="AD648" s="50"/>
      <c r="AE648" s="48"/>
      <c r="AJ648" s="48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7"/>
      <c r="O649" s="48"/>
      <c r="Q649" s="49"/>
      <c r="R649" s="50"/>
      <c r="S649" s="48"/>
      <c r="U649" s="49"/>
      <c r="V649" s="50"/>
      <c r="W649" s="48"/>
      <c r="Y649" s="49"/>
      <c r="Z649" s="50"/>
      <c r="AA649" s="48"/>
      <c r="AC649" s="49"/>
      <c r="AD649" s="50"/>
      <c r="AE649" s="48"/>
      <c r="AJ649" s="48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7"/>
      <c r="O650" s="48"/>
      <c r="Q650" s="49"/>
      <c r="R650" s="50"/>
      <c r="S650" s="48"/>
      <c r="U650" s="49"/>
      <c r="V650" s="50"/>
      <c r="W650" s="48"/>
      <c r="Y650" s="49"/>
      <c r="Z650" s="50"/>
      <c r="AA650" s="48"/>
      <c r="AC650" s="49"/>
      <c r="AD650" s="50"/>
      <c r="AE650" s="48"/>
      <c r="AJ650" s="48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7"/>
      <c r="O651" s="48"/>
      <c r="Q651" s="49"/>
      <c r="R651" s="50"/>
      <c r="S651" s="48"/>
      <c r="U651" s="49"/>
      <c r="V651" s="50"/>
      <c r="W651" s="48"/>
      <c r="Y651" s="49"/>
      <c r="Z651" s="50"/>
      <c r="AA651" s="48"/>
      <c r="AC651" s="49"/>
      <c r="AD651" s="50"/>
      <c r="AE651" s="48"/>
      <c r="AJ651" s="48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7"/>
      <c r="O652" s="48"/>
      <c r="Q652" s="49"/>
      <c r="R652" s="50"/>
      <c r="S652" s="48"/>
      <c r="U652" s="49"/>
      <c r="V652" s="50"/>
      <c r="W652" s="48"/>
      <c r="Y652" s="49"/>
      <c r="Z652" s="50"/>
      <c r="AA652" s="48"/>
      <c r="AC652" s="49"/>
      <c r="AD652" s="50"/>
      <c r="AE652" s="48"/>
      <c r="AJ652" s="48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7"/>
      <c r="O653" s="48"/>
      <c r="Q653" s="49"/>
      <c r="R653" s="50"/>
      <c r="S653" s="48"/>
      <c r="U653" s="49"/>
      <c r="V653" s="50"/>
      <c r="W653" s="48"/>
      <c r="Y653" s="49"/>
      <c r="Z653" s="50"/>
      <c r="AA653" s="48"/>
      <c r="AC653" s="49"/>
      <c r="AD653" s="50"/>
      <c r="AE653" s="48"/>
      <c r="AJ653" s="48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7"/>
      <c r="O654" s="48"/>
      <c r="Q654" s="49"/>
      <c r="R654" s="50"/>
      <c r="S654" s="48"/>
      <c r="U654" s="49"/>
      <c r="V654" s="50"/>
      <c r="W654" s="48"/>
      <c r="Y654" s="49"/>
      <c r="Z654" s="50"/>
      <c r="AA654" s="48"/>
      <c r="AC654" s="49"/>
      <c r="AD654" s="50"/>
      <c r="AE654" s="48"/>
      <c r="AJ654" s="48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7"/>
      <c r="O655" s="48"/>
      <c r="Q655" s="49"/>
      <c r="R655" s="50"/>
      <c r="S655" s="48"/>
      <c r="U655" s="49"/>
      <c r="V655" s="50"/>
      <c r="W655" s="48"/>
      <c r="Y655" s="49"/>
      <c r="Z655" s="50"/>
      <c r="AA655" s="48"/>
      <c r="AC655" s="49"/>
      <c r="AD655" s="50"/>
      <c r="AE655" s="48"/>
      <c r="AJ655" s="48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7"/>
      <c r="O656" s="48"/>
      <c r="Q656" s="49"/>
      <c r="R656" s="50"/>
      <c r="S656" s="48"/>
      <c r="U656" s="49"/>
      <c r="V656" s="50"/>
      <c r="W656" s="48"/>
      <c r="Y656" s="49"/>
      <c r="Z656" s="50"/>
      <c r="AA656" s="48"/>
      <c r="AC656" s="49"/>
      <c r="AD656" s="50"/>
      <c r="AE656" s="48"/>
      <c r="AJ656" s="48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7"/>
      <c r="O657" s="48"/>
      <c r="Q657" s="49"/>
      <c r="R657" s="50"/>
      <c r="S657" s="48"/>
      <c r="U657" s="49"/>
      <c r="V657" s="50"/>
      <c r="W657" s="48"/>
      <c r="Y657" s="49"/>
      <c r="Z657" s="50"/>
      <c r="AA657" s="48"/>
      <c r="AC657" s="49"/>
      <c r="AD657" s="50"/>
      <c r="AE657" s="48"/>
      <c r="AJ657" s="48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7"/>
      <c r="O658" s="48"/>
      <c r="Q658" s="49"/>
      <c r="R658" s="50"/>
      <c r="S658" s="48"/>
      <c r="U658" s="49"/>
      <c r="V658" s="50"/>
      <c r="W658" s="48"/>
      <c r="Y658" s="49"/>
      <c r="Z658" s="50"/>
      <c r="AA658" s="48"/>
      <c r="AC658" s="49"/>
      <c r="AD658" s="50"/>
      <c r="AE658" s="48"/>
      <c r="AJ658" s="48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7"/>
      <c r="O659" s="48"/>
      <c r="Q659" s="49"/>
      <c r="R659" s="50"/>
      <c r="S659" s="48"/>
      <c r="U659" s="49"/>
      <c r="V659" s="50"/>
      <c r="W659" s="48"/>
      <c r="Y659" s="49"/>
      <c r="Z659" s="50"/>
      <c r="AA659" s="48"/>
      <c r="AC659" s="49"/>
      <c r="AD659" s="50"/>
      <c r="AE659" s="48"/>
      <c r="AJ659" s="48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7"/>
      <c r="O660" s="48"/>
      <c r="Q660" s="49"/>
      <c r="R660" s="50"/>
      <c r="S660" s="48"/>
      <c r="U660" s="49"/>
      <c r="V660" s="50"/>
      <c r="W660" s="48"/>
      <c r="Y660" s="49"/>
      <c r="Z660" s="50"/>
      <c r="AA660" s="48"/>
      <c r="AC660" s="49"/>
      <c r="AD660" s="50"/>
      <c r="AE660" s="48"/>
      <c r="AJ660" s="48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7"/>
      <c r="O661" s="48"/>
      <c r="Q661" s="49"/>
      <c r="R661" s="50"/>
      <c r="S661" s="48"/>
      <c r="U661" s="49"/>
      <c r="V661" s="50"/>
      <c r="W661" s="48"/>
      <c r="Y661" s="49"/>
      <c r="Z661" s="50"/>
      <c r="AA661" s="48"/>
      <c r="AC661" s="49"/>
      <c r="AD661" s="50"/>
      <c r="AE661" s="48"/>
      <c r="AJ661" s="48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7"/>
      <c r="O662" s="48"/>
      <c r="Q662" s="49"/>
      <c r="R662" s="50"/>
      <c r="S662" s="48"/>
      <c r="U662" s="49"/>
      <c r="V662" s="50"/>
      <c r="W662" s="48"/>
      <c r="Y662" s="49"/>
      <c r="Z662" s="50"/>
      <c r="AA662" s="48"/>
      <c r="AC662" s="49"/>
      <c r="AD662" s="50"/>
      <c r="AE662" s="48"/>
      <c r="AJ662" s="48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7"/>
      <c r="O663" s="48"/>
      <c r="Q663" s="49"/>
      <c r="R663" s="50"/>
      <c r="S663" s="48"/>
      <c r="U663" s="49"/>
      <c r="V663" s="50"/>
      <c r="W663" s="48"/>
      <c r="Y663" s="49"/>
      <c r="Z663" s="50"/>
      <c r="AA663" s="48"/>
      <c r="AC663" s="49"/>
      <c r="AD663" s="50"/>
      <c r="AE663" s="48"/>
      <c r="AJ663" s="48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7"/>
      <c r="O664" s="48"/>
      <c r="Q664" s="49"/>
      <c r="R664" s="50"/>
      <c r="S664" s="48"/>
      <c r="U664" s="49"/>
      <c r="V664" s="50"/>
      <c r="W664" s="48"/>
      <c r="Y664" s="49"/>
      <c r="Z664" s="50"/>
      <c r="AA664" s="48"/>
      <c r="AC664" s="49"/>
      <c r="AD664" s="50"/>
      <c r="AE664" s="48"/>
      <c r="AJ664" s="48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7"/>
      <c r="O665" s="48"/>
      <c r="Q665" s="49"/>
      <c r="R665" s="50"/>
      <c r="S665" s="48"/>
      <c r="U665" s="49"/>
      <c r="V665" s="50"/>
      <c r="W665" s="48"/>
      <c r="Y665" s="49"/>
      <c r="Z665" s="50"/>
      <c r="AA665" s="48"/>
      <c r="AC665" s="49"/>
      <c r="AD665" s="50"/>
      <c r="AE665" s="48"/>
      <c r="AJ665" s="48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7"/>
      <c r="O666" s="48"/>
      <c r="Q666" s="49"/>
      <c r="R666" s="50"/>
      <c r="S666" s="48"/>
      <c r="U666" s="49"/>
      <c r="V666" s="50"/>
      <c r="W666" s="48"/>
      <c r="Y666" s="49"/>
      <c r="Z666" s="50"/>
      <c r="AA666" s="48"/>
      <c r="AC666" s="49"/>
      <c r="AD666" s="50"/>
      <c r="AE666" s="48"/>
      <c r="AJ666" s="48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7"/>
      <c r="O667" s="48"/>
      <c r="Q667" s="49"/>
      <c r="R667" s="50"/>
      <c r="S667" s="48"/>
      <c r="U667" s="49"/>
      <c r="V667" s="50"/>
      <c r="W667" s="48"/>
      <c r="Y667" s="49"/>
      <c r="Z667" s="50"/>
      <c r="AA667" s="48"/>
      <c r="AC667" s="49"/>
      <c r="AD667" s="50"/>
      <c r="AE667" s="48"/>
      <c r="AJ667" s="48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7"/>
      <c r="O668" s="48"/>
      <c r="Q668" s="49"/>
      <c r="R668" s="50"/>
      <c r="S668" s="48"/>
      <c r="U668" s="49"/>
      <c r="V668" s="50"/>
      <c r="W668" s="48"/>
      <c r="Y668" s="49"/>
      <c r="Z668" s="50"/>
      <c r="AA668" s="48"/>
      <c r="AC668" s="49"/>
      <c r="AD668" s="50"/>
      <c r="AE668" s="48"/>
      <c r="AJ668" s="48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7"/>
      <c r="O669" s="48"/>
      <c r="Q669" s="49"/>
      <c r="R669" s="50"/>
      <c r="S669" s="48"/>
      <c r="U669" s="49"/>
      <c r="V669" s="50"/>
      <c r="W669" s="48"/>
      <c r="Y669" s="49"/>
      <c r="Z669" s="50"/>
      <c r="AA669" s="48"/>
      <c r="AC669" s="49"/>
      <c r="AD669" s="50"/>
      <c r="AE669" s="48"/>
      <c r="AJ669" s="48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7"/>
      <c r="O670" s="48"/>
      <c r="Q670" s="49"/>
      <c r="R670" s="50"/>
      <c r="S670" s="48"/>
      <c r="U670" s="49"/>
      <c r="V670" s="50"/>
      <c r="W670" s="48"/>
      <c r="Y670" s="49"/>
      <c r="Z670" s="50"/>
      <c r="AA670" s="48"/>
      <c r="AC670" s="49"/>
      <c r="AD670" s="50"/>
      <c r="AE670" s="48"/>
      <c r="AJ670" s="48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7"/>
      <c r="O671" s="48"/>
      <c r="Q671" s="49"/>
      <c r="R671" s="50"/>
      <c r="S671" s="48"/>
      <c r="U671" s="49"/>
      <c r="V671" s="50"/>
      <c r="W671" s="48"/>
      <c r="Y671" s="49"/>
      <c r="Z671" s="50"/>
      <c r="AA671" s="48"/>
      <c r="AC671" s="49"/>
      <c r="AD671" s="50"/>
      <c r="AE671" s="48"/>
      <c r="AJ671" s="48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7"/>
      <c r="O672" s="48"/>
      <c r="Q672" s="49"/>
      <c r="R672" s="50"/>
      <c r="S672" s="48"/>
      <c r="U672" s="49"/>
      <c r="V672" s="50"/>
      <c r="W672" s="48"/>
      <c r="Y672" s="49"/>
      <c r="Z672" s="50"/>
      <c r="AA672" s="48"/>
      <c r="AC672" s="49"/>
      <c r="AD672" s="50"/>
      <c r="AE672" s="48"/>
      <c r="AJ672" s="48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7"/>
      <c r="O673" s="48"/>
      <c r="Q673" s="49"/>
      <c r="R673" s="50"/>
      <c r="S673" s="48"/>
      <c r="U673" s="49"/>
      <c r="V673" s="50"/>
      <c r="W673" s="48"/>
      <c r="Y673" s="49"/>
      <c r="Z673" s="50"/>
      <c r="AA673" s="48"/>
      <c r="AC673" s="49"/>
      <c r="AD673" s="50"/>
      <c r="AE673" s="48"/>
      <c r="AJ673" s="48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7"/>
      <c r="O674" s="48"/>
      <c r="Q674" s="49"/>
      <c r="R674" s="50"/>
      <c r="S674" s="48"/>
      <c r="U674" s="49"/>
      <c r="V674" s="50"/>
      <c r="W674" s="48"/>
      <c r="Y674" s="49"/>
      <c r="Z674" s="50"/>
      <c r="AA674" s="48"/>
      <c r="AC674" s="49"/>
      <c r="AD674" s="50"/>
      <c r="AE674" s="48"/>
      <c r="AJ674" s="48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7"/>
      <c r="O675" s="48"/>
      <c r="Q675" s="49"/>
      <c r="R675" s="50"/>
      <c r="S675" s="48"/>
      <c r="U675" s="49"/>
      <c r="V675" s="50"/>
      <c r="W675" s="48"/>
      <c r="Y675" s="49"/>
      <c r="Z675" s="50"/>
      <c r="AA675" s="48"/>
      <c r="AC675" s="49"/>
      <c r="AD675" s="50"/>
      <c r="AE675" s="48"/>
      <c r="AJ675" s="48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7"/>
      <c r="O676" s="48"/>
      <c r="Q676" s="49"/>
      <c r="R676" s="50"/>
      <c r="S676" s="48"/>
      <c r="U676" s="49"/>
      <c r="V676" s="50"/>
      <c r="W676" s="48"/>
      <c r="Y676" s="49"/>
      <c r="Z676" s="50"/>
      <c r="AA676" s="48"/>
      <c r="AC676" s="49"/>
      <c r="AD676" s="50"/>
      <c r="AE676" s="48"/>
      <c r="AJ676" s="48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7"/>
      <c r="O677" s="48"/>
      <c r="Q677" s="49"/>
      <c r="R677" s="50"/>
      <c r="S677" s="48"/>
      <c r="U677" s="49"/>
      <c r="V677" s="50"/>
      <c r="W677" s="48"/>
      <c r="Y677" s="49"/>
      <c r="Z677" s="50"/>
      <c r="AA677" s="48"/>
      <c r="AC677" s="49"/>
      <c r="AD677" s="50"/>
      <c r="AE677" s="48"/>
      <c r="AJ677" s="48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7"/>
      <c r="O678" s="48"/>
      <c r="Q678" s="49"/>
      <c r="R678" s="50"/>
      <c r="S678" s="48"/>
      <c r="U678" s="49"/>
      <c r="V678" s="50"/>
      <c r="W678" s="48"/>
      <c r="Y678" s="49"/>
      <c r="Z678" s="50"/>
      <c r="AA678" s="48"/>
      <c r="AC678" s="49"/>
      <c r="AD678" s="50"/>
      <c r="AE678" s="48"/>
      <c r="AJ678" s="48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7"/>
      <c r="O679" s="48"/>
      <c r="Q679" s="49"/>
      <c r="R679" s="50"/>
      <c r="S679" s="48"/>
      <c r="U679" s="49"/>
      <c r="V679" s="50"/>
      <c r="W679" s="48"/>
      <c r="Y679" s="49"/>
      <c r="Z679" s="50"/>
      <c r="AA679" s="48"/>
      <c r="AC679" s="49"/>
      <c r="AD679" s="50"/>
      <c r="AE679" s="48"/>
      <c r="AJ679" s="48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7"/>
      <c r="O680" s="48"/>
      <c r="Q680" s="49"/>
      <c r="R680" s="50"/>
      <c r="S680" s="48"/>
      <c r="U680" s="49"/>
      <c r="V680" s="50"/>
      <c r="W680" s="48"/>
      <c r="Y680" s="49"/>
      <c r="Z680" s="50"/>
      <c r="AA680" s="48"/>
      <c r="AC680" s="49"/>
      <c r="AD680" s="50"/>
      <c r="AE680" s="48"/>
      <c r="AJ680" s="48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7"/>
      <c r="O681" s="48"/>
      <c r="Q681" s="49"/>
      <c r="R681" s="50"/>
      <c r="S681" s="48"/>
      <c r="U681" s="49"/>
      <c r="V681" s="50"/>
      <c r="W681" s="48"/>
      <c r="Y681" s="49"/>
      <c r="Z681" s="50"/>
      <c r="AA681" s="48"/>
      <c r="AC681" s="49"/>
      <c r="AD681" s="50"/>
      <c r="AE681" s="48"/>
      <c r="AJ681" s="48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7"/>
      <c r="O682" s="48"/>
      <c r="Q682" s="49"/>
      <c r="R682" s="50"/>
      <c r="S682" s="48"/>
      <c r="U682" s="49"/>
      <c r="V682" s="50"/>
      <c r="W682" s="48"/>
      <c r="Y682" s="49"/>
      <c r="Z682" s="50"/>
      <c r="AA682" s="48"/>
      <c r="AC682" s="49"/>
      <c r="AD682" s="50"/>
      <c r="AE682" s="48"/>
      <c r="AJ682" s="48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7"/>
      <c r="O683" s="48"/>
      <c r="Q683" s="49"/>
      <c r="R683" s="50"/>
      <c r="S683" s="48"/>
      <c r="U683" s="49"/>
      <c r="V683" s="50"/>
      <c r="W683" s="48"/>
      <c r="Y683" s="49"/>
      <c r="Z683" s="50"/>
      <c r="AA683" s="48"/>
      <c r="AC683" s="49"/>
      <c r="AD683" s="50"/>
      <c r="AE683" s="48"/>
      <c r="AJ683" s="48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7"/>
      <c r="O684" s="48"/>
      <c r="Q684" s="49"/>
      <c r="R684" s="50"/>
      <c r="S684" s="48"/>
      <c r="U684" s="49"/>
      <c r="V684" s="50"/>
      <c r="W684" s="48"/>
      <c r="Y684" s="49"/>
      <c r="Z684" s="50"/>
      <c r="AA684" s="48"/>
      <c r="AC684" s="49"/>
      <c r="AD684" s="50"/>
      <c r="AE684" s="48"/>
      <c r="AJ684" s="48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7"/>
      <c r="O685" s="48"/>
      <c r="Q685" s="49"/>
      <c r="R685" s="50"/>
      <c r="S685" s="48"/>
      <c r="U685" s="49"/>
      <c r="V685" s="50"/>
      <c r="W685" s="48"/>
      <c r="Y685" s="49"/>
      <c r="Z685" s="50"/>
      <c r="AA685" s="48"/>
      <c r="AC685" s="49"/>
      <c r="AD685" s="50"/>
      <c r="AE685" s="48"/>
      <c r="AJ685" s="48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7"/>
      <c r="O686" s="48"/>
      <c r="Q686" s="49"/>
      <c r="R686" s="50"/>
      <c r="S686" s="48"/>
      <c r="U686" s="49"/>
      <c r="V686" s="50"/>
      <c r="W686" s="48"/>
      <c r="Y686" s="49"/>
      <c r="Z686" s="50"/>
      <c r="AA686" s="48"/>
      <c r="AC686" s="49"/>
      <c r="AD686" s="50"/>
      <c r="AE686" s="48"/>
      <c r="AJ686" s="48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7"/>
      <c r="O687" s="48"/>
      <c r="Q687" s="49"/>
      <c r="R687" s="50"/>
      <c r="S687" s="48"/>
      <c r="U687" s="49"/>
      <c r="V687" s="50"/>
      <c r="W687" s="48"/>
      <c r="Y687" s="49"/>
      <c r="Z687" s="50"/>
      <c r="AA687" s="48"/>
      <c r="AC687" s="49"/>
      <c r="AD687" s="50"/>
      <c r="AE687" s="48"/>
      <c r="AJ687" s="48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7"/>
      <c r="O688" s="48"/>
      <c r="Q688" s="49"/>
      <c r="R688" s="50"/>
      <c r="S688" s="48"/>
      <c r="U688" s="49"/>
      <c r="V688" s="50"/>
      <c r="W688" s="48"/>
      <c r="Y688" s="49"/>
      <c r="Z688" s="50"/>
      <c r="AA688" s="48"/>
      <c r="AC688" s="49"/>
      <c r="AD688" s="50"/>
      <c r="AE688" s="48"/>
      <c r="AJ688" s="48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7"/>
      <c r="O689" s="48"/>
      <c r="Q689" s="49"/>
      <c r="R689" s="50"/>
      <c r="S689" s="48"/>
      <c r="U689" s="49"/>
      <c r="V689" s="50"/>
      <c r="W689" s="48"/>
      <c r="Y689" s="49"/>
      <c r="Z689" s="50"/>
      <c r="AA689" s="48"/>
      <c r="AC689" s="49"/>
      <c r="AD689" s="50"/>
      <c r="AE689" s="48"/>
      <c r="AJ689" s="48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7"/>
      <c r="O690" s="48"/>
      <c r="Q690" s="49"/>
      <c r="R690" s="50"/>
      <c r="S690" s="48"/>
      <c r="U690" s="49"/>
      <c r="V690" s="50"/>
      <c r="W690" s="48"/>
      <c r="Y690" s="49"/>
      <c r="Z690" s="50"/>
      <c r="AA690" s="48"/>
      <c r="AC690" s="49"/>
      <c r="AD690" s="50"/>
      <c r="AE690" s="48"/>
      <c r="AJ690" s="48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7"/>
      <c r="O691" s="48"/>
      <c r="Q691" s="49"/>
      <c r="R691" s="50"/>
      <c r="S691" s="48"/>
      <c r="U691" s="49"/>
      <c r="V691" s="50"/>
      <c r="W691" s="48"/>
      <c r="Y691" s="49"/>
      <c r="Z691" s="50"/>
      <c r="AA691" s="48"/>
      <c r="AC691" s="49"/>
      <c r="AD691" s="50"/>
      <c r="AE691" s="48"/>
      <c r="AJ691" s="48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7"/>
      <c r="O692" s="48"/>
      <c r="Q692" s="49"/>
      <c r="R692" s="50"/>
      <c r="S692" s="48"/>
      <c r="U692" s="49"/>
      <c r="V692" s="50"/>
      <c r="W692" s="48"/>
      <c r="Y692" s="49"/>
      <c r="Z692" s="50"/>
      <c r="AA692" s="48"/>
      <c r="AC692" s="49"/>
      <c r="AD692" s="50"/>
      <c r="AE692" s="48"/>
      <c r="AJ692" s="48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7"/>
      <c r="O693" s="48"/>
      <c r="Q693" s="49"/>
      <c r="R693" s="50"/>
      <c r="S693" s="48"/>
      <c r="U693" s="49"/>
      <c r="V693" s="50"/>
      <c r="W693" s="48"/>
      <c r="Y693" s="49"/>
      <c r="Z693" s="50"/>
      <c r="AA693" s="48"/>
      <c r="AC693" s="49"/>
      <c r="AD693" s="50"/>
      <c r="AE693" s="48"/>
      <c r="AJ693" s="48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7"/>
      <c r="O694" s="48"/>
      <c r="Q694" s="49"/>
      <c r="R694" s="50"/>
      <c r="S694" s="48"/>
      <c r="U694" s="49"/>
      <c r="V694" s="50"/>
      <c r="W694" s="48"/>
      <c r="Y694" s="49"/>
      <c r="Z694" s="50"/>
      <c r="AA694" s="48"/>
      <c r="AC694" s="49"/>
      <c r="AD694" s="50"/>
      <c r="AE694" s="48"/>
      <c r="AJ694" s="48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7"/>
      <c r="O695" s="48"/>
      <c r="Q695" s="49"/>
      <c r="R695" s="50"/>
      <c r="S695" s="48"/>
      <c r="U695" s="49"/>
      <c r="V695" s="50"/>
      <c r="W695" s="48"/>
      <c r="Y695" s="49"/>
      <c r="Z695" s="50"/>
      <c r="AA695" s="48"/>
      <c r="AC695" s="49"/>
      <c r="AD695" s="50"/>
      <c r="AE695" s="48"/>
      <c r="AJ695" s="48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7"/>
      <c r="O696" s="48"/>
      <c r="Q696" s="49"/>
      <c r="R696" s="50"/>
      <c r="S696" s="48"/>
      <c r="U696" s="49"/>
      <c r="V696" s="50"/>
      <c r="W696" s="48"/>
      <c r="Y696" s="49"/>
      <c r="Z696" s="50"/>
      <c r="AA696" s="48"/>
      <c r="AC696" s="49"/>
      <c r="AD696" s="50"/>
      <c r="AE696" s="48"/>
      <c r="AJ696" s="48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7"/>
      <c r="O697" s="48"/>
      <c r="Q697" s="49"/>
      <c r="R697" s="50"/>
      <c r="S697" s="48"/>
      <c r="U697" s="49"/>
      <c r="V697" s="50"/>
      <c r="W697" s="48"/>
      <c r="Y697" s="49"/>
      <c r="Z697" s="50"/>
      <c r="AA697" s="48"/>
      <c r="AC697" s="49"/>
      <c r="AD697" s="50"/>
      <c r="AE697" s="48"/>
      <c r="AJ697" s="48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7"/>
      <c r="O698" s="48"/>
      <c r="Q698" s="49"/>
      <c r="R698" s="50"/>
      <c r="S698" s="48"/>
      <c r="U698" s="49"/>
      <c r="V698" s="50"/>
      <c r="W698" s="48"/>
      <c r="Y698" s="49"/>
      <c r="Z698" s="50"/>
      <c r="AA698" s="48"/>
      <c r="AC698" s="49"/>
      <c r="AD698" s="50"/>
      <c r="AE698" s="48"/>
      <c r="AJ698" s="48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7"/>
      <c r="O699" s="48"/>
      <c r="Q699" s="49"/>
      <c r="R699" s="50"/>
      <c r="S699" s="48"/>
      <c r="U699" s="49"/>
      <c r="V699" s="50"/>
      <c r="W699" s="48"/>
      <c r="Y699" s="49"/>
      <c r="Z699" s="50"/>
      <c r="AA699" s="48"/>
      <c r="AC699" s="49"/>
      <c r="AD699" s="50"/>
      <c r="AE699" s="48"/>
      <c r="AJ699" s="48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7"/>
      <c r="O700" s="48"/>
      <c r="Q700" s="49"/>
      <c r="R700" s="50"/>
      <c r="S700" s="48"/>
      <c r="U700" s="49"/>
      <c r="V700" s="50"/>
      <c r="W700" s="48"/>
      <c r="Y700" s="49"/>
      <c r="Z700" s="50"/>
      <c r="AA700" s="48"/>
      <c r="AC700" s="49"/>
      <c r="AD700" s="50"/>
      <c r="AE700" s="48"/>
      <c r="AJ700" s="48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7"/>
      <c r="O701" s="48"/>
      <c r="Q701" s="49"/>
      <c r="R701" s="50"/>
      <c r="S701" s="48"/>
      <c r="U701" s="49"/>
      <c r="V701" s="50"/>
      <c r="W701" s="48"/>
      <c r="Y701" s="49"/>
      <c r="Z701" s="50"/>
      <c r="AA701" s="48"/>
      <c r="AC701" s="49"/>
      <c r="AD701" s="50"/>
      <c r="AE701" s="48"/>
      <c r="AJ701" s="48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7"/>
      <c r="O702" s="48"/>
      <c r="Q702" s="49"/>
      <c r="R702" s="50"/>
      <c r="S702" s="48"/>
      <c r="U702" s="49"/>
      <c r="V702" s="50"/>
      <c r="W702" s="48"/>
      <c r="Y702" s="49"/>
      <c r="Z702" s="50"/>
      <c r="AA702" s="48"/>
      <c r="AC702" s="49"/>
      <c r="AD702" s="50"/>
      <c r="AE702" s="48"/>
      <c r="AJ702" s="48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7"/>
      <c r="O703" s="48"/>
      <c r="Q703" s="49"/>
      <c r="R703" s="50"/>
      <c r="S703" s="48"/>
      <c r="U703" s="49"/>
      <c r="V703" s="50"/>
      <c r="W703" s="48"/>
      <c r="Y703" s="49"/>
      <c r="Z703" s="50"/>
      <c r="AA703" s="48"/>
      <c r="AC703" s="49"/>
      <c r="AD703" s="50"/>
      <c r="AE703" s="48"/>
      <c r="AJ703" s="48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7"/>
      <c r="O704" s="48"/>
      <c r="Q704" s="49"/>
      <c r="R704" s="50"/>
      <c r="S704" s="48"/>
      <c r="U704" s="49"/>
      <c r="V704" s="50"/>
      <c r="W704" s="48"/>
      <c r="Y704" s="49"/>
      <c r="Z704" s="50"/>
      <c r="AA704" s="48"/>
      <c r="AC704" s="49"/>
      <c r="AD704" s="50"/>
      <c r="AE704" s="48"/>
      <c r="AJ704" s="48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7"/>
      <c r="O705" s="48"/>
      <c r="Q705" s="49"/>
      <c r="R705" s="50"/>
      <c r="S705" s="48"/>
      <c r="U705" s="49"/>
      <c r="V705" s="50"/>
      <c r="W705" s="48"/>
      <c r="Y705" s="49"/>
      <c r="Z705" s="50"/>
      <c r="AA705" s="48"/>
      <c r="AC705" s="49"/>
      <c r="AD705" s="50"/>
      <c r="AE705" s="48"/>
      <c r="AJ705" s="48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7"/>
      <c r="O706" s="48"/>
      <c r="Q706" s="49"/>
      <c r="R706" s="50"/>
      <c r="S706" s="48"/>
      <c r="U706" s="49"/>
      <c r="V706" s="50"/>
      <c r="W706" s="48"/>
      <c r="Y706" s="49"/>
      <c r="Z706" s="50"/>
      <c r="AA706" s="48"/>
      <c r="AC706" s="49"/>
      <c r="AD706" s="50"/>
      <c r="AE706" s="48"/>
      <c r="AJ706" s="48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7"/>
      <c r="O707" s="48"/>
      <c r="Q707" s="49"/>
      <c r="R707" s="50"/>
      <c r="S707" s="48"/>
      <c r="U707" s="49"/>
      <c r="V707" s="50"/>
      <c r="W707" s="48"/>
      <c r="Y707" s="49"/>
      <c r="Z707" s="50"/>
      <c r="AA707" s="48"/>
      <c r="AC707" s="49"/>
      <c r="AD707" s="50"/>
      <c r="AE707" s="48"/>
      <c r="AJ707" s="48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7"/>
      <c r="O708" s="48"/>
      <c r="Q708" s="49"/>
      <c r="R708" s="50"/>
      <c r="S708" s="48"/>
      <c r="U708" s="49"/>
      <c r="V708" s="50"/>
      <c r="W708" s="48"/>
      <c r="Y708" s="49"/>
      <c r="Z708" s="50"/>
      <c r="AA708" s="48"/>
      <c r="AC708" s="49"/>
      <c r="AD708" s="50"/>
      <c r="AE708" s="48"/>
      <c r="AJ708" s="48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7"/>
      <c r="O709" s="48"/>
      <c r="Q709" s="49"/>
      <c r="R709" s="50"/>
      <c r="S709" s="48"/>
      <c r="U709" s="49"/>
      <c r="V709" s="50"/>
      <c r="W709" s="48"/>
      <c r="Y709" s="49"/>
      <c r="Z709" s="50"/>
      <c r="AA709" s="48"/>
      <c r="AC709" s="49"/>
      <c r="AD709" s="50"/>
      <c r="AE709" s="48"/>
      <c r="AJ709" s="48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7"/>
      <c r="O710" s="48"/>
      <c r="Q710" s="49"/>
      <c r="R710" s="50"/>
      <c r="S710" s="48"/>
      <c r="U710" s="49"/>
      <c r="V710" s="50"/>
      <c r="W710" s="48"/>
      <c r="Y710" s="49"/>
      <c r="Z710" s="50"/>
      <c r="AA710" s="48"/>
      <c r="AC710" s="49"/>
      <c r="AD710" s="50"/>
      <c r="AE710" s="48"/>
      <c r="AJ710" s="48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7"/>
      <c r="O711" s="48"/>
      <c r="Q711" s="49"/>
      <c r="R711" s="50"/>
      <c r="S711" s="48"/>
      <c r="U711" s="49"/>
      <c r="V711" s="50"/>
      <c r="W711" s="48"/>
      <c r="Y711" s="49"/>
      <c r="Z711" s="50"/>
      <c r="AA711" s="48"/>
      <c r="AC711" s="49"/>
      <c r="AD711" s="50"/>
      <c r="AE711" s="48"/>
      <c r="AJ711" s="48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7"/>
      <c r="O712" s="48"/>
      <c r="Q712" s="49"/>
      <c r="R712" s="50"/>
      <c r="S712" s="48"/>
      <c r="U712" s="49"/>
      <c r="V712" s="50"/>
      <c r="W712" s="48"/>
      <c r="Y712" s="49"/>
      <c r="Z712" s="50"/>
      <c r="AA712" s="48"/>
      <c r="AC712" s="49"/>
      <c r="AD712" s="50"/>
      <c r="AE712" s="48"/>
      <c r="AJ712" s="48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7"/>
      <c r="O713" s="48"/>
      <c r="Q713" s="49"/>
      <c r="R713" s="50"/>
      <c r="S713" s="48"/>
      <c r="U713" s="49"/>
      <c r="V713" s="50"/>
      <c r="W713" s="48"/>
      <c r="Y713" s="49"/>
      <c r="Z713" s="50"/>
      <c r="AA713" s="48"/>
      <c r="AC713" s="49"/>
      <c r="AD713" s="50"/>
      <c r="AE713" s="48"/>
      <c r="AJ713" s="48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7"/>
      <c r="O714" s="48"/>
      <c r="Q714" s="49"/>
      <c r="R714" s="50"/>
      <c r="S714" s="48"/>
      <c r="U714" s="49"/>
      <c r="V714" s="50"/>
      <c r="W714" s="48"/>
      <c r="Y714" s="49"/>
      <c r="Z714" s="50"/>
      <c r="AA714" s="48"/>
      <c r="AC714" s="49"/>
      <c r="AD714" s="50"/>
      <c r="AE714" s="48"/>
      <c r="AJ714" s="48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7"/>
      <c r="O715" s="48"/>
      <c r="Q715" s="49"/>
      <c r="R715" s="50"/>
      <c r="S715" s="48"/>
      <c r="U715" s="49"/>
      <c r="V715" s="50"/>
      <c r="W715" s="48"/>
      <c r="Y715" s="49"/>
      <c r="Z715" s="50"/>
      <c r="AA715" s="48"/>
      <c r="AC715" s="49"/>
      <c r="AD715" s="50"/>
      <c r="AE715" s="48"/>
      <c r="AJ715" s="48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7"/>
      <c r="O716" s="48"/>
      <c r="Q716" s="49"/>
      <c r="R716" s="50"/>
      <c r="S716" s="48"/>
      <c r="U716" s="49"/>
      <c r="V716" s="50"/>
      <c r="W716" s="48"/>
      <c r="Y716" s="49"/>
      <c r="Z716" s="50"/>
      <c r="AA716" s="48"/>
      <c r="AC716" s="49"/>
      <c r="AD716" s="50"/>
      <c r="AE716" s="48"/>
      <c r="AJ716" s="48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7"/>
      <c r="O717" s="48"/>
      <c r="Q717" s="49"/>
      <c r="R717" s="50"/>
      <c r="S717" s="48"/>
      <c r="U717" s="49"/>
      <c r="V717" s="50"/>
      <c r="W717" s="48"/>
      <c r="Y717" s="49"/>
      <c r="Z717" s="50"/>
      <c r="AA717" s="48"/>
      <c r="AC717" s="49"/>
      <c r="AD717" s="50"/>
      <c r="AE717" s="48"/>
      <c r="AJ717" s="48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7"/>
      <c r="O718" s="48"/>
      <c r="Q718" s="49"/>
      <c r="R718" s="50"/>
      <c r="S718" s="48"/>
      <c r="U718" s="49"/>
      <c r="V718" s="50"/>
      <c r="W718" s="48"/>
      <c r="Y718" s="49"/>
      <c r="Z718" s="50"/>
      <c r="AA718" s="48"/>
      <c r="AC718" s="49"/>
      <c r="AD718" s="50"/>
      <c r="AE718" s="48"/>
      <c r="AJ718" s="48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7"/>
      <c r="O719" s="48"/>
      <c r="Q719" s="49"/>
      <c r="R719" s="50"/>
      <c r="S719" s="48"/>
      <c r="U719" s="49"/>
      <c r="V719" s="50"/>
      <c r="W719" s="48"/>
      <c r="Y719" s="49"/>
      <c r="Z719" s="50"/>
      <c r="AA719" s="48"/>
      <c r="AC719" s="49"/>
      <c r="AD719" s="50"/>
      <c r="AE719" s="48"/>
      <c r="AJ719" s="48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7"/>
      <c r="O720" s="48"/>
      <c r="Q720" s="49"/>
      <c r="R720" s="50"/>
      <c r="S720" s="48"/>
      <c r="U720" s="49"/>
      <c r="V720" s="50"/>
      <c r="W720" s="48"/>
      <c r="Y720" s="49"/>
      <c r="Z720" s="50"/>
      <c r="AA720" s="48"/>
      <c r="AC720" s="49"/>
      <c r="AD720" s="50"/>
      <c r="AE720" s="48"/>
      <c r="AJ720" s="48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7"/>
      <c r="O721" s="48"/>
      <c r="Q721" s="49"/>
      <c r="R721" s="50"/>
      <c r="S721" s="48"/>
      <c r="U721" s="49"/>
      <c r="V721" s="50"/>
      <c r="W721" s="48"/>
      <c r="Y721" s="49"/>
      <c r="Z721" s="50"/>
      <c r="AA721" s="48"/>
      <c r="AC721" s="49"/>
      <c r="AD721" s="50"/>
      <c r="AE721" s="48"/>
      <c r="AJ721" s="48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7"/>
      <c r="O722" s="48"/>
      <c r="Q722" s="49"/>
      <c r="R722" s="50"/>
      <c r="S722" s="48"/>
      <c r="U722" s="49"/>
      <c r="V722" s="50"/>
      <c r="W722" s="48"/>
      <c r="Y722" s="49"/>
      <c r="Z722" s="50"/>
      <c r="AA722" s="48"/>
      <c r="AC722" s="49"/>
      <c r="AD722" s="50"/>
      <c r="AE722" s="48"/>
      <c r="AJ722" s="48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7"/>
      <c r="O723" s="48"/>
      <c r="Q723" s="49"/>
      <c r="R723" s="50"/>
      <c r="S723" s="48"/>
      <c r="U723" s="49"/>
      <c r="V723" s="50"/>
      <c r="W723" s="48"/>
      <c r="Y723" s="49"/>
      <c r="Z723" s="50"/>
      <c r="AA723" s="48"/>
      <c r="AC723" s="49"/>
      <c r="AD723" s="50"/>
      <c r="AE723" s="48"/>
      <c r="AJ723" s="48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7"/>
      <c r="O724" s="48"/>
      <c r="Q724" s="49"/>
      <c r="R724" s="50"/>
      <c r="S724" s="48"/>
      <c r="U724" s="49"/>
      <c r="V724" s="50"/>
      <c r="W724" s="48"/>
      <c r="Y724" s="49"/>
      <c r="Z724" s="50"/>
      <c r="AA724" s="48"/>
      <c r="AC724" s="49"/>
      <c r="AD724" s="50"/>
      <c r="AE724" s="48"/>
      <c r="AJ724" s="48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7"/>
      <c r="O725" s="48"/>
      <c r="Q725" s="49"/>
      <c r="R725" s="50"/>
      <c r="S725" s="48"/>
      <c r="U725" s="49"/>
      <c r="V725" s="50"/>
      <c r="W725" s="48"/>
      <c r="Y725" s="49"/>
      <c r="Z725" s="50"/>
      <c r="AA725" s="48"/>
      <c r="AC725" s="49"/>
      <c r="AD725" s="50"/>
      <c r="AE725" s="48"/>
      <c r="AJ725" s="48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7"/>
      <c r="O726" s="48"/>
      <c r="Q726" s="49"/>
      <c r="R726" s="50"/>
      <c r="S726" s="48"/>
      <c r="U726" s="49"/>
      <c r="V726" s="50"/>
      <c r="W726" s="48"/>
      <c r="Y726" s="49"/>
      <c r="Z726" s="50"/>
      <c r="AA726" s="48"/>
      <c r="AC726" s="49"/>
      <c r="AD726" s="50"/>
      <c r="AE726" s="48"/>
      <c r="AJ726" s="48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7"/>
      <c r="O727" s="48"/>
      <c r="Q727" s="49"/>
      <c r="R727" s="50"/>
      <c r="S727" s="48"/>
      <c r="U727" s="49"/>
      <c r="V727" s="50"/>
      <c r="W727" s="48"/>
      <c r="Y727" s="49"/>
      <c r="Z727" s="50"/>
      <c r="AA727" s="48"/>
      <c r="AC727" s="49"/>
      <c r="AD727" s="50"/>
      <c r="AE727" s="48"/>
      <c r="AJ727" s="48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7"/>
      <c r="O728" s="48"/>
      <c r="Q728" s="49"/>
      <c r="R728" s="50"/>
      <c r="S728" s="48"/>
      <c r="U728" s="49"/>
      <c r="V728" s="50"/>
      <c r="W728" s="48"/>
      <c r="Y728" s="49"/>
      <c r="Z728" s="50"/>
      <c r="AA728" s="48"/>
      <c r="AC728" s="49"/>
      <c r="AD728" s="50"/>
      <c r="AE728" s="48"/>
      <c r="AJ728" s="48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7"/>
      <c r="O729" s="48"/>
      <c r="Q729" s="49"/>
      <c r="R729" s="50"/>
      <c r="S729" s="48"/>
      <c r="U729" s="49"/>
      <c r="V729" s="50"/>
      <c r="W729" s="48"/>
      <c r="Y729" s="49"/>
      <c r="Z729" s="50"/>
      <c r="AA729" s="48"/>
      <c r="AC729" s="49"/>
      <c r="AD729" s="50"/>
      <c r="AE729" s="48"/>
      <c r="AJ729" s="48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7"/>
      <c r="O730" s="48"/>
      <c r="Q730" s="49"/>
      <c r="R730" s="50"/>
      <c r="S730" s="48"/>
      <c r="U730" s="49"/>
      <c r="V730" s="50"/>
      <c r="W730" s="48"/>
      <c r="Y730" s="49"/>
      <c r="Z730" s="50"/>
      <c r="AA730" s="48"/>
      <c r="AC730" s="49"/>
      <c r="AD730" s="50"/>
      <c r="AE730" s="48"/>
      <c r="AJ730" s="48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7"/>
      <c r="O731" s="48"/>
      <c r="Q731" s="49"/>
      <c r="R731" s="50"/>
      <c r="S731" s="48"/>
      <c r="U731" s="49"/>
      <c r="V731" s="50"/>
      <c r="W731" s="48"/>
      <c r="Y731" s="49"/>
      <c r="Z731" s="50"/>
      <c r="AA731" s="48"/>
      <c r="AC731" s="49"/>
      <c r="AD731" s="50"/>
      <c r="AE731" s="48"/>
      <c r="AJ731" s="48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7"/>
      <c r="O732" s="48"/>
      <c r="Q732" s="49"/>
      <c r="R732" s="50"/>
      <c r="S732" s="48"/>
      <c r="U732" s="49"/>
      <c r="V732" s="50"/>
      <c r="W732" s="48"/>
      <c r="Y732" s="49"/>
      <c r="Z732" s="50"/>
      <c r="AA732" s="48"/>
      <c r="AC732" s="49"/>
      <c r="AD732" s="50"/>
      <c r="AE732" s="48"/>
      <c r="AJ732" s="48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7"/>
      <c r="O733" s="48"/>
      <c r="Q733" s="49"/>
      <c r="R733" s="50"/>
      <c r="S733" s="48"/>
      <c r="U733" s="49"/>
      <c r="V733" s="50"/>
      <c r="W733" s="48"/>
      <c r="Y733" s="49"/>
      <c r="Z733" s="50"/>
      <c r="AA733" s="48"/>
      <c r="AC733" s="49"/>
      <c r="AD733" s="50"/>
      <c r="AE733" s="48"/>
      <c r="AJ733" s="48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7"/>
      <c r="O734" s="48"/>
      <c r="Q734" s="49"/>
      <c r="R734" s="50"/>
      <c r="S734" s="48"/>
      <c r="U734" s="49"/>
      <c r="V734" s="50"/>
      <c r="W734" s="48"/>
      <c r="Y734" s="49"/>
      <c r="Z734" s="50"/>
      <c r="AA734" s="48"/>
      <c r="AC734" s="49"/>
      <c r="AD734" s="50"/>
      <c r="AE734" s="48"/>
      <c r="AJ734" s="48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7"/>
      <c r="O735" s="48"/>
      <c r="Q735" s="49"/>
      <c r="R735" s="50"/>
      <c r="S735" s="48"/>
      <c r="U735" s="49"/>
      <c r="V735" s="50"/>
      <c r="W735" s="48"/>
      <c r="Y735" s="49"/>
      <c r="Z735" s="50"/>
      <c r="AA735" s="48"/>
      <c r="AC735" s="49"/>
      <c r="AD735" s="50"/>
      <c r="AE735" s="48"/>
      <c r="AJ735" s="48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7"/>
      <c r="O736" s="48"/>
      <c r="Q736" s="49"/>
      <c r="R736" s="50"/>
      <c r="S736" s="48"/>
      <c r="U736" s="49"/>
      <c r="V736" s="50"/>
      <c r="W736" s="48"/>
      <c r="Y736" s="49"/>
      <c r="Z736" s="50"/>
      <c r="AA736" s="48"/>
      <c r="AC736" s="49"/>
      <c r="AD736" s="50"/>
      <c r="AE736" s="48"/>
      <c r="AJ736" s="48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7"/>
      <c r="O737" s="48"/>
      <c r="Q737" s="49"/>
      <c r="R737" s="50"/>
      <c r="S737" s="48"/>
      <c r="U737" s="49"/>
      <c r="V737" s="50"/>
      <c r="W737" s="48"/>
      <c r="Y737" s="49"/>
      <c r="Z737" s="50"/>
      <c r="AA737" s="48"/>
      <c r="AC737" s="49"/>
      <c r="AD737" s="50"/>
      <c r="AE737" s="48"/>
      <c r="AJ737" s="48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7"/>
      <c r="O738" s="48"/>
      <c r="Q738" s="49"/>
      <c r="R738" s="50"/>
      <c r="S738" s="48"/>
      <c r="U738" s="49"/>
      <c r="V738" s="50"/>
      <c r="W738" s="48"/>
      <c r="Y738" s="49"/>
      <c r="Z738" s="50"/>
      <c r="AA738" s="48"/>
      <c r="AC738" s="49"/>
      <c r="AD738" s="50"/>
      <c r="AE738" s="48"/>
      <c r="AJ738" s="48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7"/>
      <c r="O739" s="48"/>
      <c r="Q739" s="49"/>
      <c r="R739" s="50"/>
      <c r="S739" s="48"/>
      <c r="U739" s="49"/>
      <c r="V739" s="50"/>
      <c r="W739" s="48"/>
      <c r="Y739" s="49"/>
      <c r="Z739" s="50"/>
      <c r="AA739" s="48"/>
      <c r="AC739" s="49"/>
      <c r="AD739" s="50"/>
      <c r="AE739" s="48"/>
      <c r="AJ739" s="48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7"/>
      <c r="O740" s="48"/>
      <c r="Q740" s="49"/>
      <c r="R740" s="50"/>
      <c r="S740" s="48"/>
      <c r="U740" s="49"/>
      <c r="V740" s="50"/>
      <c r="W740" s="48"/>
      <c r="Y740" s="49"/>
      <c r="Z740" s="50"/>
      <c r="AA740" s="48"/>
      <c r="AC740" s="49"/>
      <c r="AD740" s="50"/>
      <c r="AE740" s="48"/>
      <c r="AJ740" s="48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7"/>
      <c r="O741" s="48"/>
      <c r="Q741" s="49"/>
      <c r="R741" s="50"/>
      <c r="S741" s="48"/>
      <c r="U741" s="49"/>
      <c r="V741" s="50"/>
      <c r="W741" s="48"/>
      <c r="Y741" s="49"/>
      <c r="Z741" s="50"/>
      <c r="AA741" s="48"/>
      <c r="AC741" s="49"/>
      <c r="AD741" s="50"/>
      <c r="AE741" s="48"/>
      <c r="AJ741" s="48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7"/>
      <c r="O742" s="48"/>
      <c r="Q742" s="49"/>
      <c r="R742" s="50"/>
      <c r="S742" s="48"/>
      <c r="U742" s="49"/>
      <c r="V742" s="50"/>
      <c r="W742" s="48"/>
      <c r="Y742" s="49"/>
      <c r="Z742" s="50"/>
      <c r="AA742" s="48"/>
      <c r="AC742" s="49"/>
      <c r="AD742" s="50"/>
      <c r="AE742" s="48"/>
      <c r="AJ742" s="48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7"/>
      <c r="O743" s="48"/>
      <c r="Q743" s="49"/>
      <c r="R743" s="50"/>
      <c r="S743" s="48"/>
      <c r="U743" s="49"/>
      <c r="V743" s="50"/>
      <c r="W743" s="48"/>
      <c r="Y743" s="49"/>
      <c r="Z743" s="50"/>
      <c r="AA743" s="48"/>
      <c r="AC743" s="49"/>
      <c r="AD743" s="50"/>
      <c r="AE743" s="48"/>
      <c r="AJ743" s="48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7"/>
      <c r="O744" s="48"/>
      <c r="Q744" s="49"/>
      <c r="R744" s="50"/>
      <c r="S744" s="48"/>
      <c r="U744" s="49"/>
      <c r="V744" s="50"/>
      <c r="W744" s="48"/>
      <c r="Y744" s="49"/>
      <c r="Z744" s="50"/>
      <c r="AA744" s="48"/>
      <c r="AC744" s="49"/>
      <c r="AD744" s="50"/>
      <c r="AE744" s="48"/>
      <c r="AJ744" s="48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7"/>
      <c r="O745" s="48"/>
      <c r="Q745" s="49"/>
      <c r="R745" s="50"/>
      <c r="S745" s="48"/>
      <c r="U745" s="49"/>
      <c r="V745" s="50"/>
      <c r="W745" s="48"/>
      <c r="Y745" s="49"/>
      <c r="Z745" s="50"/>
      <c r="AA745" s="48"/>
      <c r="AC745" s="49"/>
      <c r="AD745" s="50"/>
      <c r="AE745" s="48"/>
      <c r="AJ745" s="48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7"/>
      <c r="O746" s="48"/>
      <c r="Q746" s="49"/>
      <c r="R746" s="50"/>
      <c r="S746" s="48"/>
      <c r="U746" s="49"/>
      <c r="V746" s="50"/>
      <c r="W746" s="48"/>
      <c r="Y746" s="49"/>
      <c r="Z746" s="50"/>
      <c r="AA746" s="48"/>
      <c r="AC746" s="49"/>
      <c r="AD746" s="50"/>
      <c r="AE746" s="48"/>
      <c r="AJ746" s="48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7"/>
      <c r="O747" s="48"/>
      <c r="Q747" s="49"/>
      <c r="R747" s="50"/>
      <c r="S747" s="48"/>
      <c r="U747" s="49"/>
      <c r="V747" s="50"/>
      <c r="W747" s="48"/>
      <c r="Y747" s="49"/>
      <c r="Z747" s="50"/>
      <c r="AA747" s="48"/>
      <c r="AC747" s="49"/>
      <c r="AD747" s="50"/>
      <c r="AE747" s="48"/>
      <c r="AJ747" s="48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7"/>
      <c r="O748" s="48"/>
      <c r="Q748" s="49"/>
      <c r="R748" s="50"/>
      <c r="S748" s="48"/>
      <c r="U748" s="49"/>
      <c r="V748" s="50"/>
      <c r="W748" s="48"/>
      <c r="Y748" s="49"/>
      <c r="Z748" s="50"/>
      <c r="AA748" s="48"/>
      <c r="AC748" s="49"/>
      <c r="AD748" s="50"/>
      <c r="AE748" s="48"/>
      <c r="AJ748" s="48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7"/>
      <c r="O749" s="48"/>
      <c r="Q749" s="49"/>
      <c r="R749" s="50"/>
      <c r="S749" s="48"/>
      <c r="U749" s="49"/>
      <c r="V749" s="50"/>
      <c r="W749" s="48"/>
      <c r="Y749" s="49"/>
      <c r="Z749" s="50"/>
      <c r="AA749" s="48"/>
      <c r="AC749" s="49"/>
      <c r="AD749" s="50"/>
      <c r="AE749" s="48"/>
      <c r="AJ749" s="48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7"/>
      <c r="O750" s="48"/>
      <c r="Q750" s="49"/>
      <c r="R750" s="50"/>
      <c r="S750" s="48"/>
      <c r="U750" s="49"/>
      <c r="V750" s="50"/>
      <c r="W750" s="48"/>
      <c r="Y750" s="49"/>
      <c r="Z750" s="50"/>
      <c r="AA750" s="48"/>
      <c r="AC750" s="49"/>
      <c r="AD750" s="50"/>
      <c r="AE750" s="48"/>
      <c r="AJ750" s="48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7"/>
      <c r="O751" s="48"/>
      <c r="Q751" s="49"/>
      <c r="R751" s="50"/>
      <c r="S751" s="48"/>
      <c r="U751" s="49"/>
      <c r="V751" s="50"/>
      <c r="W751" s="48"/>
      <c r="Y751" s="49"/>
      <c r="Z751" s="50"/>
      <c r="AA751" s="48"/>
      <c r="AC751" s="49"/>
      <c r="AD751" s="50"/>
      <c r="AE751" s="48"/>
      <c r="AJ751" s="48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7"/>
      <c r="O752" s="48"/>
      <c r="Q752" s="49"/>
      <c r="R752" s="50"/>
      <c r="S752" s="48"/>
      <c r="U752" s="49"/>
      <c r="V752" s="50"/>
      <c r="W752" s="48"/>
      <c r="Y752" s="49"/>
      <c r="Z752" s="50"/>
      <c r="AA752" s="48"/>
      <c r="AC752" s="49"/>
      <c r="AD752" s="50"/>
      <c r="AE752" s="48"/>
      <c r="AJ752" s="48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7"/>
      <c r="O753" s="48"/>
      <c r="Q753" s="49"/>
      <c r="R753" s="50"/>
      <c r="S753" s="48"/>
      <c r="U753" s="49"/>
      <c r="V753" s="50"/>
      <c r="W753" s="48"/>
      <c r="Y753" s="49"/>
      <c r="Z753" s="50"/>
      <c r="AA753" s="48"/>
      <c r="AC753" s="49"/>
      <c r="AD753" s="50"/>
      <c r="AE753" s="48"/>
      <c r="AJ753" s="48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7"/>
      <c r="O754" s="48"/>
      <c r="Q754" s="49"/>
      <c r="R754" s="50"/>
      <c r="S754" s="48"/>
      <c r="U754" s="49"/>
      <c r="V754" s="50"/>
      <c r="W754" s="48"/>
      <c r="Y754" s="49"/>
      <c r="Z754" s="50"/>
      <c r="AA754" s="48"/>
      <c r="AC754" s="49"/>
      <c r="AD754" s="50"/>
      <c r="AE754" s="48"/>
      <c r="AJ754" s="48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7"/>
      <c r="O755" s="48"/>
      <c r="Q755" s="49"/>
      <c r="R755" s="50"/>
      <c r="S755" s="48"/>
      <c r="U755" s="49"/>
      <c r="V755" s="50"/>
      <c r="W755" s="48"/>
      <c r="Y755" s="49"/>
      <c r="Z755" s="50"/>
      <c r="AA755" s="48"/>
      <c r="AC755" s="49"/>
      <c r="AD755" s="50"/>
      <c r="AE755" s="48"/>
      <c r="AJ755" s="48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7"/>
      <c r="O756" s="48"/>
      <c r="Q756" s="49"/>
      <c r="R756" s="50"/>
      <c r="S756" s="48"/>
      <c r="U756" s="49"/>
      <c r="V756" s="50"/>
      <c r="W756" s="48"/>
      <c r="Y756" s="49"/>
      <c r="Z756" s="50"/>
      <c r="AA756" s="48"/>
      <c r="AC756" s="49"/>
      <c r="AD756" s="50"/>
      <c r="AE756" s="48"/>
      <c r="AJ756" s="48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7"/>
      <c r="O757" s="48"/>
      <c r="Q757" s="49"/>
      <c r="R757" s="50"/>
      <c r="S757" s="48"/>
      <c r="U757" s="49"/>
      <c r="V757" s="50"/>
      <c r="W757" s="48"/>
      <c r="Y757" s="49"/>
      <c r="Z757" s="50"/>
      <c r="AA757" s="48"/>
      <c r="AC757" s="49"/>
      <c r="AD757" s="50"/>
      <c r="AE757" s="48"/>
      <c r="AJ757" s="48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7"/>
      <c r="O758" s="48"/>
      <c r="Q758" s="49"/>
      <c r="R758" s="50"/>
      <c r="S758" s="48"/>
      <c r="U758" s="49"/>
      <c r="V758" s="50"/>
      <c r="W758" s="48"/>
      <c r="Y758" s="49"/>
      <c r="Z758" s="50"/>
      <c r="AA758" s="48"/>
      <c r="AC758" s="49"/>
      <c r="AD758" s="50"/>
      <c r="AE758" s="48"/>
      <c r="AJ758" s="48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7"/>
      <c r="O759" s="48"/>
      <c r="Q759" s="49"/>
      <c r="R759" s="50"/>
      <c r="S759" s="48"/>
      <c r="U759" s="49"/>
      <c r="V759" s="50"/>
      <c r="W759" s="48"/>
      <c r="Y759" s="49"/>
      <c r="Z759" s="50"/>
      <c r="AA759" s="48"/>
      <c r="AC759" s="49"/>
      <c r="AD759" s="50"/>
      <c r="AE759" s="48"/>
      <c r="AJ759" s="48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7"/>
      <c r="O760" s="48"/>
      <c r="Q760" s="49"/>
      <c r="R760" s="50"/>
      <c r="S760" s="48"/>
      <c r="U760" s="49"/>
      <c r="V760" s="50"/>
      <c r="W760" s="48"/>
      <c r="Y760" s="49"/>
      <c r="Z760" s="50"/>
      <c r="AA760" s="48"/>
      <c r="AC760" s="49"/>
      <c r="AD760" s="50"/>
      <c r="AE760" s="48"/>
      <c r="AJ760" s="48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7"/>
      <c r="O761" s="48"/>
      <c r="Q761" s="49"/>
      <c r="R761" s="50"/>
      <c r="S761" s="48"/>
      <c r="U761" s="49"/>
      <c r="V761" s="50"/>
      <c r="W761" s="48"/>
      <c r="Y761" s="49"/>
      <c r="Z761" s="50"/>
      <c r="AA761" s="48"/>
      <c r="AC761" s="49"/>
      <c r="AD761" s="50"/>
      <c r="AE761" s="48"/>
      <c r="AJ761" s="48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7"/>
      <c r="O762" s="48"/>
      <c r="Q762" s="49"/>
      <c r="R762" s="50"/>
      <c r="S762" s="48"/>
      <c r="U762" s="49"/>
      <c r="V762" s="50"/>
      <c r="W762" s="48"/>
      <c r="Y762" s="49"/>
      <c r="Z762" s="50"/>
      <c r="AA762" s="48"/>
      <c r="AC762" s="49"/>
      <c r="AD762" s="50"/>
      <c r="AE762" s="48"/>
      <c r="AJ762" s="48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7"/>
      <c r="O763" s="48"/>
      <c r="Q763" s="49"/>
      <c r="R763" s="50"/>
      <c r="S763" s="48"/>
      <c r="U763" s="49"/>
      <c r="V763" s="50"/>
      <c r="W763" s="48"/>
      <c r="Y763" s="49"/>
      <c r="Z763" s="50"/>
      <c r="AA763" s="48"/>
      <c r="AC763" s="49"/>
      <c r="AD763" s="50"/>
      <c r="AE763" s="48"/>
      <c r="AJ763" s="48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7"/>
      <c r="O764" s="48"/>
      <c r="Q764" s="49"/>
      <c r="R764" s="50"/>
      <c r="S764" s="48"/>
      <c r="U764" s="49"/>
      <c r="V764" s="50"/>
      <c r="W764" s="48"/>
      <c r="Y764" s="49"/>
      <c r="Z764" s="50"/>
      <c r="AA764" s="48"/>
      <c r="AC764" s="49"/>
      <c r="AD764" s="50"/>
      <c r="AE764" s="48"/>
      <c r="AJ764" s="48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7"/>
      <c r="O765" s="48"/>
      <c r="Q765" s="49"/>
      <c r="R765" s="50"/>
      <c r="S765" s="48"/>
      <c r="U765" s="49"/>
      <c r="V765" s="50"/>
      <c r="W765" s="48"/>
      <c r="Y765" s="49"/>
      <c r="Z765" s="50"/>
      <c r="AA765" s="48"/>
      <c r="AC765" s="49"/>
      <c r="AD765" s="50"/>
      <c r="AE765" s="48"/>
      <c r="AJ765" s="48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7"/>
      <c r="O766" s="48"/>
      <c r="Q766" s="49"/>
      <c r="R766" s="50"/>
      <c r="S766" s="48"/>
      <c r="U766" s="49"/>
      <c r="V766" s="50"/>
      <c r="W766" s="48"/>
      <c r="Y766" s="49"/>
      <c r="Z766" s="50"/>
      <c r="AA766" s="48"/>
      <c r="AC766" s="49"/>
      <c r="AD766" s="50"/>
      <c r="AE766" s="48"/>
      <c r="AJ766" s="48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7"/>
      <c r="O767" s="48"/>
      <c r="Q767" s="49"/>
      <c r="R767" s="50"/>
      <c r="S767" s="48"/>
      <c r="U767" s="49"/>
      <c r="V767" s="50"/>
      <c r="W767" s="48"/>
      <c r="Y767" s="49"/>
      <c r="Z767" s="50"/>
      <c r="AA767" s="48"/>
      <c r="AC767" s="49"/>
      <c r="AD767" s="50"/>
      <c r="AE767" s="48"/>
      <c r="AJ767" s="48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7"/>
      <c r="O768" s="48"/>
      <c r="Q768" s="49"/>
      <c r="R768" s="50"/>
      <c r="S768" s="48"/>
      <c r="U768" s="49"/>
      <c r="V768" s="50"/>
      <c r="W768" s="48"/>
      <c r="Y768" s="49"/>
      <c r="Z768" s="50"/>
      <c r="AA768" s="48"/>
      <c r="AC768" s="49"/>
      <c r="AD768" s="50"/>
      <c r="AE768" s="48"/>
      <c r="AJ768" s="48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7"/>
      <c r="O769" s="48"/>
      <c r="Q769" s="49"/>
      <c r="R769" s="50"/>
      <c r="S769" s="48"/>
      <c r="U769" s="49"/>
      <c r="V769" s="50"/>
      <c r="W769" s="48"/>
      <c r="Y769" s="49"/>
      <c r="Z769" s="50"/>
      <c r="AA769" s="48"/>
      <c r="AC769" s="49"/>
      <c r="AD769" s="50"/>
      <c r="AE769" s="48"/>
      <c r="AJ769" s="48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7"/>
      <c r="O770" s="48"/>
      <c r="Q770" s="49"/>
      <c r="R770" s="50"/>
      <c r="S770" s="48"/>
      <c r="U770" s="49"/>
      <c r="V770" s="50"/>
      <c r="W770" s="48"/>
      <c r="Y770" s="49"/>
      <c r="Z770" s="50"/>
      <c r="AA770" s="48"/>
      <c r="AC770" s="49"/>
      <c r="AD770" s="50"/>
      <c r="AE770" s="48"/>
      <c r="AJ770" s="48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7"/>
      <c r="O771" s="48"/>
      <c r="Q771" s="49"/>
      <c r="R771" s="50"/>
      <c r="S771" s="48"/>
      <c r="U771" s="49"/>
      <c r="V771" s="50"/>
      <c r="W771" s="48"/>
      <c r="Y771" s="49"/>
      <c r="Z771" s="50"/>
      <c r="AA771" s="48"/>
      <c r="AC771" s="49"/>
      <c r="AD771" s="50"/>
      <c r="AE771" s="48"/>
      <c r="AJ771" s="48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7"/>
      <c r="O772" s="48"/>
      <c r="Q772" s="49"/>
      <c r="R772" s="50"/>
      <c r="S772" s="48"/>
      <c r="U772" s="49"/>
      <c r="V772" s="50"/>
      <c r="W772" s="48"/>
      <c r="Y772" s="49"/>
      <c r="Z772" s="50"/>
      <c r="AA772" s="48"/>
      <c r="AC772" s="49"/>
      <c r="AD772" s="50"/>
      <c r="AE772" s="48"/>
      <c r="AJ772" s="48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7"/>
      <c r="O773" s="48"/>
      <c r="Q773" s="49"/>
      <c r="R773" s="50"/>
      <c r="S773" s="48"/>
      <c r="U773" s="49"/>
      <c r="V773" s="50"/>
      <c r="W773" s="48"/>
      <c r="Y773" s="49"/>
      <c r="Z773" s="50"/>
      <c r="AA773" s="48"/>
      <c r="AC773" s="49"/>
      <c r="AD773" s="50"/>
      <c r="AE773" s="48"/>
      <c r="AJ773" s="48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7"/>
      <c r="O774" s="48"/>
      <c r="Q774" s="49"/>
      <c r="R774" s="50"/>
      <c r="S774" s="48"/>
      <c r="U774" s="49"/>
      <c r="V774" s="50"/>
      <c r="W774" s="48"/>
      <c r="Y774" s="49"/>
      <c r="Z774" s="50"/>
      <c r="AA774" s="48"/>
      <c r="AC774" s="49"/>
      <c r="AD774" s="50"/>
      <c r="AE774" s="48"/>
      <c r="AJ774" s="48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7"/>
      <c r="O775" s="48"/>
      <c r="Q775" s="49"/>
      <c r="R775" s="50"/>
      <c r="S775" s="48"/>
      <c r="U775" s="49"/>
      <c r="V775" s="50"/>
      <c r="W775" s="48"/>
      <c r="Y775" s="49"/>
      <c r="Z775" s="50"/>
      <c r="AA775" s="48"/>
      <c r="AC775" s="49"/>
      <c r="AD775" s="50"/>
      <c r="AE775" s="48"/>
      <c r="AJ775" s="48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7"/>
      <c r="O776" s="48"/>
      <c r="Q776" s="49"/>
      <c r="R776" s="50"/>
      <c r="S776" s="48"/>
      <c r="U776" s="49"/>
      <c r="V776" s="50"/>
      <c r="W776" s="48"/>
      <c r="Y776" s="49"/>
      <c r="Z776" s="50"/>
      <c r="AA776" s="48"/>
      <c r="AC776" s="49"/>
      <c r="AD776" s="50"/>
      <c r="AE776" s="48"/>
      <c r="AJ776" s="48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7"/>
      <c r="O777" s="48"/>
      <c r="Q777" s="49"/>
      <c r="R777" s="50"/>
      <c r="S777" s="48"/>
      <c r="U777" s="49"/>
      <c r="V777" s="50"/>
      <c r="W777" s="48"/>
      <c r="Y777" s="49"/>
      <c r="Z777" s="50"/>
      <c r="AA777" s="48"/>
      <c r="AC777" s="49"/>
      <c r="AD777" s="50"/>
      <c r="AE777" s="48"/>
      <c r="AJ777" s="48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7"/>
      <c r="O778" s="48"/>
      <c r="Q778" s="49"/>
      <c r="R778" s="50"/>
      <c r="S778" s="48"/>
      <c r="U778" s="49"/>
      <c r="V778" s="50"/>
      <c r="W778" s="48"/>
      <c r="Y778" s="49"/>
      <c r="Z778" s="50"/>
      <c r="AA778" s="48"/>
      <c r="AC778" s="49"/>
      <c r="AD778" s="50"/>
      <c r="AE778" s="48"/>
      <c r="AJ778" s="48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7"/>
      <c r="O779" s="48"/>
      <c r="Q779" s="49"/>
      <c r="R779" s="50"/>
      <c r="S779" s="48"/>
      <c r="U779" s="49"/>
      <c r="V779" s="50"/>
      <c r="W779" s="48"/>
      <c r="Y779" s="49"/>
      <c r="Z779" s="50"/>
      <c r="AA779" s="48"/>
      <c r="AC779" s="49"/>
      <c r="AD779" s="50"/>
      <c r="AE779" s="48"/>
      <c r="AJ779" s="48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7"/>
      <c r="O780" s="48"/>
      <c r="Q780" s="49"/>
      <c r="R780" s="50"/>
      <c r="S780" s="48"/>
      <c r="U780" s="49"/>
      <c r="V780" s="50"/>
      <c r="W780" s="48"/>
      <c r="Y780" s="49"/>
      <c r="Z780" s="50"/>
      <c r="AA780" s="48"/>
      <c r="AC780" s="49"/>
      <c r="AD780" s="50"/>
      <c r="AE780" s="48"/>
      <c r="AJ780" s="48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7"/>
      <c r="O781" s="48"/>
      <c r="Q781" s="49"/>
      <c r="R781" s="50"/>
      <c r="S781" s="48"/>
      <c r="U781" s="49"/>
      <c r="V781" s="50"/>
      <c r="W781" s="48"/>
      <c r="Y781" s="49"/>
      <c r="Z781" s="50"/>
      <c r="AA781" s="48"/>
      <c r="AC781" s="49"/>
      <c r="AD781" s="50"/>
      <c r="AE781" s="48"/>
      <c r="AJ781" s="48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7"/>
      <c r="O782" s="48"/>
      <c r="Q782" s="49"/>
      <c r="R782" s="50"/>
      <c r="S782" s="48"/>
      <c r="U782" s="49"/>
      <c r="V782" s="50"/>
      <c r="W782" s="48"/>
      <c r="Y782" s="49"/>
      <c r="Z782" s="50"/>
      <c r="AA782" s="48"/>
      <c r="AC782" s="49"/>
      <c r="AD782" s="50"/>
      <c r="AE782" s="48"/>
      <c r="AJ782" s="48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7"/>
      <c r="O783" s="48"/>
      <c r="Q783" s="49"/>
      <c r="R783" s="50"/>
      <c r="S783" s="48"/>
      <c r="U783" s="49"/>
      <c r="V783" s="50"/>
      <c r="W783" s="48"/>
      <c r="Y783" s="49"/>
      <c r="Z783" s="50"/>
      <c r="AA783" s="48"/>
      <c r="AC783" s="49"/>
      <c r="AD783" s="50"/>
      <c r="AE783" s="48"/>
      <c r="AJ783" s="48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7"/>
      <c r="O784" s="48"/>
      <c r="Q784" s="49"/>
      <c r="R784" s="50"/>
      <c r="S784" s="48"/>
      <c r="U784" s="49"/>
      <c r="V784" s="50"/>
      <c r="W784" s="48"/>
      <c r="Y784" s="49"/>
      <c r="Z784" s="50"/>
      <c r="AA784" s="48"/>
      <c r="AC784" s="49"/>
      <c r="AD784" s="50"/>
      <c r="AE784" s="48"/>
      <c r="AJ784" s="48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7"/>
      <c r="O785" s="48"/>
      <c r="Q785" s="49"/>
      <c r="R785" s="50"/>
      <c r="S785" s="48"/>
      <c r="U785" s="49"/>
      <c r="V785" s="50"/>
      <c r="W785" s="48"/>
      <c r="Y785" s="49"/>
      <c r="Z785" s="50"/>
      <c r="AA785" s="48"/>
      <c r="AC785" s="49"/>
      <c r="AD785" s="50"/>
      <c r="AE785" s="48"/>
      <c r="AJ785" s="48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7"/>
      <c r="O786" s="48"/>
      <c r="Q786" s="49"/>
      <c r="R786" s="50"/>
      <c r="S786" s="48"/>
      <c r="U786" s="49"/>
      <c r="V786" s="50"/>
      <c r="W786" s="48"/>
      <c r="Y786" s="49"/>
      <c r="Z786" s="50"/>
      <c r="AA786" s="48"/>
      <c r="AC786" s="49"/>
      <c r="AD786" s="50"/>
      <c r="AE786" s="48"/>
      <c r="AJ786" s="48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7"/>
      <c r="O787" s="48"/>
      <c r="Q787" s="49"/>
      <c r="R787" s="50"/>
      <c r="S787" s="48"/>
      <c r="U787" s="49"/>
      <c r="V787" s="50"/>
      <c r="W787" s="48"/>
      <c r="Y787" s="49"/>
      <c r="Z787" s="50"/>
      <c r="AA787" s="48"/>
      <c r="AC787" s="49"/>
      <c r="AD787" s="50"/>
      <c r="AE787" s="48"/>
      <c r="AJ787" s="48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7"/>
      <c r="O788" s="48"/>
      <c r="Q788" s="49"/>
      <c r="R788" s="50"/>
      <c r="S788" s="48"/>
      <c r="U788" s="49"/>
      <c r="V788" s="50"/>
      <c r="W788" s="48"/>
      <c r="Y788" s="49"/>
      <c r="Z788" s="50"/>
      <c r="AA788" s="48"/>
      <c r="AC788" s="49"/>
      <c r="AD788" s="50"/>
      <c r="AE788" s="48"/>
      <c r="AJ788" s="48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7"/>
      <c r="O789" s="48"/>
      <c r="Q789" s="49"/>
      <c r="R789" s="50"/>
      <c r="S789" s="48"/>
      <c r="U789" s="49"/>
      <c r="V789" s="50"/>
      <c r="W789" s="48"/>
      <c r="Y789" s="49"/>
      <c r="Z789" s="50"/>
      <c r="AA789" s="48"/>
      <c r="AC789" s="49"/>
      <c r="AD789" s="50"/>
      <c r="AE789" s="48"/>
      <c r="AJ789" s="48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7"/>
      <c r="O790" s="48"/>
      <c r="Q790" s="49"/>
      <c r="R790" s="50"/>
      <c r="S790" s="48"/>
      <c r="U790" s="49"/>
      <c r="V790" s="50"/>
      <c r="W790" s="48"/>
      <c r="Y790" s="49"/>
      <c r="Z790" s="50"/>
      <c r="AA790" s="48"/>
      <c r="AC790" s="49"/>
      <c r="AD790" s="50"/>
      <c r="AE790" s="48"/>
      <c r="AJ790" s="48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7"/>
      <c r="O791" s="48"/>
      <c r="Q791" s="49"/>
      <c r="R791" s="50"/>
      <c r="S791" s="48"/>
      <c r="U791" s="49"/>
      <c r="V791" s="50"/>
      <c r="W791" s="48"/>
      <c r="Y791" s="49"/>
      <c r="Z791" s="50"/>
      <c r="AA791" s="48"/>
      <c r="AC791" s="49"/>
      <c r="AD791" s="50"/>
      <c r="AE791" s="48"/>
      <c r="AJ791" s="48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7"/>
      <c r="O792" s="48"/>
      <c r="Q792" s="49"/>
      <c r="R792" s="50"/>
      <c r="S792" s="48"/>
      <c r="U792" s="49"/>
      <c r="V792" s="50"/>
      <c r="W792" s="48"/>
      <c r="Y792" s="49"/>
      <c r="Z792" s="50"/>
      <c r="AA792" s="48"/>
      <c r="AC792" s="49"/>
      <c r="AD792" s="50"/>
      <c r="AE792" s="48"/>
      <c r="AJ792" s="48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7"/>
      <c r="O793" s="48"/>
      <c r="Q793" s="49"/>
      <c r="R793" s="50"/>
      <c r="S793" s="48"/>
      <c r="U793" s="49"/>
      <c r="V793" s="50"/>
      <c r="W793" s="48"/>
      <c r="Y793" s="49"/>
      <c r="Z793" s="50"/>
      <c r="AA793" s="48"/>
      <c r="AC793" s="49"/>
      <c r="AD793" s="50"/>
      <c r="AE793" s="48"/>
      <c r="AJ793" s="48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7"/>
      <c r="O794" s="48"/>
      <c r="Q794" s="49"/>
      <c r="R794" s="50"/>
      <c r="S794" s="48"/>
      <c r="U794" s="49"/>
      <c r="V794" s="50"/>
      <c r="W794" s="48"/>
      <c r="Y794" s="49"/>
      <c r="Z794" s="50"/>
      <c r="AA794" s="48"/>
      <c r="AC794" s="49"/>
      <c r="AD794" s="50"/>
      <c r="AE794" s="48"/>
      <c r="AJ794" s="48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7"/>
      <c r="O795" s="48"/>
      <c r="Q795" s="49"/>
      <c r="R795" s="50"/>
      <c r="S795" s="48"/>
      <c r="U795" s="49"/>
      <c r="V795" s="50"/>
      <c r="W795" s="48"/>
      <c r="Y795" s="49"/>
      <c r="Z795" s="50"/>
      <c r="AA795" s="48"/>
      <c r="AC795" s="49"/>
      <c r="AD795" s="50"/>
      <c r="AE795" s="48"/>
      <c r="AJ795" s="48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7"/>
      <c r="O796" s="48"/>
      <c r="Q796" s="49"/>
      <c r="R796" s="50"/>
      <c r="S796" s="48"/>
      <c r="U796" s="49"/>
      <c r="V796" s="50"/>
      <c r="W796" s="48"/>
      <c r="Y796" s="49"/>
      <c r="Z796" s="50"/>
      <c r="AA796" s="48"/>
      <c r="AC796" s="49"/>
      <c r="AD796" s="50"/>
      <c r="AE796" s="48"/>
      <c r="AJ796" s="48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7"/>
      <c r="O797" s="48"/>
      <c r="Q797" s="49"/>
      <c r="R797" s="50"/>
      <c r="S797" s="48"/>
      <c r="U797" s="49"/>
      <c r="V797" s="50"/>
      <c r="W797" s="48"/>
      <c r="Y797" s="49"/>
      <c r="Z797" s="50"/>
      <c r="AA797" s="48"/>
      <c r="AC797" s="49"/>
      <c r="AD797" s="50"/>
      <c r="AE797" s="48"/>
      <c r="AJ797" s="48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7"/>
      <c r="O798" s="48"/>
      <c r="Q798" s="49"/>
      <c r="R798" s="50"/>
      <c r="S798" s="48"/>
      <c r="U798" s="49"/>
      <c r="V798" s="50"/>
      <c r="W798" s="48"/>
      <c r="Y798" s="49"/>
      <c r="Z798" s="50"/>
      <c r="AA798" s="48"/>
      <c r="AC798" s="49"/>
      <c r="AD798" s="50"/>
      <c r="AE798" s="48"/>
      <c r="AJ798" s="48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7"/>
      <c r="O799" s="48"/>
      <c r="Q799" s="49"/>
      <c r="R799" s="50"/>
      <c r="S799" s="48"/>
      <c r="U799" s="49"/>
      <c r="V799" s="50"/>
      <c r="W799" s="48"/>
      <c r="Y799" s="49"/>
      <c r="Z799" s="50"/>
      <c r="AA799" s="48"/>
      <c r="AC799" s="49"/>
      <c r="AD799" s="50"/>
      <c r="AE799" s="48"/>
      <c r="AJ799" s="48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7"/>
      <c r="O800" s="48"/>
      <c r="Q800" s="49"/>
      <c r="R800" s="50"/>
      <c r="S800" s="48"/>
      <c r="U800" s="49"/>
      <c r="V800" s="50"/>
      <c r="W800" s="48"/>
      <c r="Y800" s="49"/>
      <c r="Z800" s="50"/>
      <c r="AA800" s="48"/>
      <c r="AC800" s="49"/>
      <c r="AD800" s="50"/>
      <c r="AE800" s="48"/>
      <c r="AJ800" s="48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7"/>
      <c r="O801" s="48"/>
      <c r="Q801" s="49"/>
      <c r="R801" s="50"/>
      <c r="S801" s="48"/>
      <c r="U801" s="49"/>
      <c r="V801" s="50"/>
      <c r="W801" s="48"/>
      <c r="Y801" s="49"/>
      <c r="Z801" s="50"/>
      <c r="AA801" s="48"/>
      <c r="AC801" s="49"/>
      <c r="AD801" s="50"/>
      <c r="AE801" s="48"/>
      <c r="AJ801" s="48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7"/>
      <c r="O802" s="48"/>
      <c r="Q802" s="49"/>
      <c r="R802" s="50"/>
      <c r="S802" s="48"/>
      <c r="U802" s="49"/>
      <c r="V802" s="50"/>
      <c r="W802" s="48"/>
      <c r="Y802" s="49"/>
      <c r="Z802" s="50"/>
      <c r="AA802" s="48"/>
      <c r="AC802" s="49"/>
      <c r="AD802" s="50"/>
      <c r="AE802" s="48"/>
      <c r="AJ802" s="48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7"/>
      <c r="O803" s="48"/>
      <c r="Q803" s="49"/>
      <c r="R803" s="50"/>
      <c r="S803" s="48"/>
      <c r="U803" s="49"/>
      <c r="V803" s="50"/>
      <c r="W803" s="48"/>
      <c r="Y803" s="49"/>
      <c r="Z803" s="50"/>
      <c r="AA803" s="48"/>
      <c r="AC803" s="49"/>
      <c r="AD803" s="50"/>
      <c r="AE803" s="48"/>
      <c r="AJ803" s="48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7"/>
      <c r="O804" s="48"/>
      <c r="Q804" s="49"/>
      <c r="R804" s="50"/>
      <c r="S804" s="48"/>
      <c r="U804" s="49"/>
      <c r="V804" s="50"/>
      <c r="W804" s="48"/>
      <c r="Y804" s="49"/>
      <c r="Z804" s="50"/>
      <c r="AA804" s="48"/>
      <c r="AC804" s="49"/>
      <c r="AD804" s="50"/>
      <c r="AE804" s="48"/>
      <c r="AJ804" s="48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7"/>
      <c r="O805" s="48"/>
      <c r="Q805" s="49"/>
      <c r="R805" s="50"/>
      <c r="S805" s="48"/>
      <c r="U805" s="49"/>
      <c r="V805" s="50"/>
      <c r="W805" s="48"/>
      <c r="Y805" s="49"/>
      <c r="Z805" s="50"/>
      <c r="AA805" s="48"/>
      <c r="AC805" s="49"/>
      <c r="AD805" s="50"/>
      <c r="AE805" s="48"/>
      <c r="AJ805" s="48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7"/>
      <c r="O806" s="48"/>
      <c r="Q806" s="49"/>
      <c r="R806" s="50"/>
      <c r="S806" s="48"/>
      <c r="U806" s="49"/>
      <c r="V806" s="50"/>
      <c r="W806" s="48"/>
      <c r="Y806" s="49"/>
      <c r="Z806" s="50"/>
      <c r="AA806" s="48"/>
      <c r="AC806" s="49"/>
      <c r="AD806" s="50"/>
      <c r="AE806" s="48"/>
      <c r="AJ806" s="48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7"/>
      <c r="O807" s="48"/>
      <c r="Q807" s="49"/>
      <c r="R807" s="50"/>
      <c r="S807" s="48"/>
      <c r="U807" s="49"/>
      <c r="V807" s="50"/>
      <c r="W807" s="48"/>
      <c r="Y807" s="49"/>
      <c r="Z807" s="50"/>
      <c r="AA807" s="48"/>
      <c r="AC807" s="49"/>
      <c r="AD807" s="50"/>
      <c r="AE807" s="48"/>
      <c r="AJ807" s="48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7"/>
      <c r="O808" s="48"/>
      <c r="Q808" s="49"/>
      <c r="R808" s="50"/>
      <c r="S808" s="48"/>
      <c r="U808" s="49"/>
      <c r="V808" s="50"/>
      <c r="W808" s="48"/>
      <c r="Y808" s="49"/>
      <c r="Z808" s="50"/>
      <c r="AA808" s="48"/>
      <c r="AC808" s="49"/>
      <c r="AD808" s="50"/>
      <c r="AE808" s="48"/>
      <c r="AJ808" s="48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7"/>
      <c r="O809" s="48"/>
      <c r="Q809" s="49"/>
      <c r="R809" s="50"/>
      <c r="S809" s="48"/>
      <c r="U809" s="49"/>
      <c r="V809" s="50"/>
      <c r="W809" s="48"/>
      <c r="Y809" s="49"/>
      <c r="Z809" s="50"/>
      <c r="AA809" s="48"/>
      <c r="AC809" s="49"/>
      <c r="AD809" s="50"/>
      <c r="AE809" s="48"/>
      <c r="AJ809" s="48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7"/>
      <c r="O810" s="48"/>
      <c r="Q810" s="49"/>
      <c r="R810" s="50"/>
      <c r="S810" s="48"/>
      <c r="U810" s="49"/>
      <c r="V810" s="50"/>
      <c r="W810" s="48"/>
      <c r="Y810" s="49"/>
      <c r="Z810" s="50"/>
      <c r="AA810" s="48"/>
      <c r="AC810" s="49"/>
      <c r="AD810" s="50"/>
      <c r="AE810" s="48"/>
      <c r="AJ810" s="48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7"/>
      <c r="O811" s="48"/>
      <c r="Q811" s="49"/>
      <c r="R811" s="50"/>
      <c r="S811" s="48"/>
      <c r="U811" s="49"/>
      <c r="V811" s="50"/>
      <c r="W811" s="48"/>
      <c r="Y811" s="49"/>
      <c r="Z811" s="50"/>
      <c r="AA811" s="48"/>
      <c r="AC811" s="49"/>
      <c r="AD811" s="50"/>
      <c r="AE811" s="48"/>
      <c r="AJ811" s="48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7"/>
      <c r="O812" s="48"/>
      <c r="Q812" s="49"/>
      <c r="R812" s="50"/>
      <c r="S812" s="48"/>
      <c r="U812" s="49"/>
      <c r="V812" s="50"/>
      <c r="W812" s="48"/>
      <c r="Y812" s="49"/>
      <c r="Z812" s="50"/>
      <c r="AA812" s="48"/>
      <c r="AC812" s="49"/>
      <c r="AD812" s="50"/>
      <c r="AE812" s="48"/>
      <c r="AJ812" s="48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7"/>
      <c r="O813" s="48"/>
      <c r="Q813" s="49"/>
      <c r="R813" s="50"/>
      <c r="S813" s="48"/>
      <c r="U813" s="49"/>
      <c r="V813" s="50"/>
      <c r="W813" s="48"/>
      <c r="Y813" s="49"/>
      <c r="Z813" s="50"/>
      <c r="AA813" s="48"/>
      <c r="AC813" s="49"/>
      <c r="AD813" s="50"/>
      <c r="AE813" s="48"/>
      <c r="AJ813" s="48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7"/>
      <c r="O814" s="48"/>
      <c r="Q814" s="49"/>
      <c r="R814" s="50"/>
      <c r="S814" s="48"/>
      <c r="U814" s="49"/>
      <c r="V814" s="50"/>
      <c r="W814" s="48"/>
      <c r="Y814" s="49"/>
      <c r="Z814" s="50"/>
      <c r="AA814" s="48"/>
      <c r="AC814" s="49"/>
      <c r="AD814" s="50"/>
      <c r="AE814" s="48"/>
      <c r="AJ814" s="48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7"/>
      <c r="O815" s="48"/>
      <c r="Q815" s="49"/>
      <c r="R815" s="50"/>
      <c r="S815" s="48"/>
      <c r="U815" s="49"/>
      <c r="V815" s="50"/>
      <c r="W815" s="48"/>
      <c r="Y815" s="49"/>
      <c r="Z815" s="50"/>
      <c r="AA815" s="48"/>
      <c r="AC815" s="49"/>
      <c r="AD815" s="50"/>
      <c r="AE815" s="48"/>
      <c r="AJ815" s="48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7"/>
      <c r="O816" s="48"/>
      <c r="Q816" s="49"/>
      <c r="R816" s="50"/>
      <c r="S816" s="48"/>
      <c r="U816" s="49"/>
      <c r="V816" s="50"/>
      <c r="W816" s="48"/>
      <c r="Y816" s="49"/>
      <c r="Z816" s="50"/>
      <c r="AA816" s="48"/>
      <c r="AC816" s="49"/>
      <c r="AD816" s="50"/>
      <c r="AE816" s="48"/>
      <c r="AJ816" s="48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7"/>
      <c r="O817" s="48"/>
      <c r="Q817" s="49"/>
      <c r="R817" s="50"/>
      <c r="S817" s="48"/>
      <c r="U817" s="49"/>
      <c r="V817" s="50"/>
      <c r="W817" s="48"/>
      <c r="Y817" s="49"/>
      <c r="Z817" s="50"/>
      <c r="AA817" s="48"/>
      <c r="AC817" s="49"/>
      <c r="AD817" s="50"/>
      <c r="AE817" s="48"/>
      <c r="AJ817" s="48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7"/>
      <c r="O818" s="48"/>
      <c r="Q818" s="49"/>
      <c r="R818" s="50"/>
      <c r="S818" s="48"/>
      <c r="U818" s="49"/>
      <c r="V818" s="50"/>
      <c r="W818" s="48"/>
      <c r="Y818" s="49"/>
      <c r="Z818" s="50"/>
      <c r="AA818" s="48"/>
      <c r="AC818" s="49"/>
      <c r="AD818" s="50"/>
      <c r="AE818" s="48"/>
      <c r="AJ818" s="48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7"/>
      <c r="O819" s="48"/>
      <c r="Q819" s="49"/>
      <c r="R819" s="50"/>
      <c r="S819" s="48"/>
      <c r="U819" s="49"/>
      <c r="V819" s="50"/>
      <c r="W819" s="48"/>
      <c r="Y819" s="49"/>
      <c r="Z819" s="50"/>
      <c r="AA819" s="48"/>
      <c r="AC819" s="49"/>
      <c r="AD819" s="50"/>
      <c r="AE819" s="48"/>
      <c r="AJ819" s="48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7"/>
      <c r="O820" s="48"/>
      <c r="Q820" s="49"/>
      <c r="R820" s="50"/>
      <c r="S820" s="48"/>
      <c r="U820" s="49"/>
      <c r="V820" s="50"/>
      <c r="W820" s="48"/>
      <c r="Y820" s="49"/>
      <c r="Z820" s="50"/>
      <c r="AA820" s="48"/>
      <c r="AC820" s="49"/>
      <c r="AD820" s="50"/>
      <c r="AE820" s="48"/>
      <c r="AJ820" s="48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7"/>
      <c r="O821" s="48"/>
      <c r="Q821" s="49"/>
      <c r="R821" s="50"/>
      <c r="S821" s="48"/>
      <c r="U821" s="49"/>
      <c r="V821" s="50"/>
      <c r="W821" s="48"/>
      <c r="Y821" s="49"/>
      <c r="Z821" s="50"/>
      <c r="AA821" s="48"/>
      <c r="AC821" s="49"/>
      <c r="AD821" s="50"/>
      <c r="AE821" s="48"/>
      <c r="AJ821" s="48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7"/>
      <c r="O822" s="48"/>
      <c r="Q822" s="49"/>
      <c r="R822" s="50"/>
      <c r="S822" s="48"/>
      <c r="U822" s="49"/>
      <c r="V822" s="50"/>
      <c r="W822" s="48"/>
      <c r="Y822" s="49"/>
      <c r="Z822" s="50"/>
      <c r="AA822" s="48"/>
      <c r="AC822" s="49"/>
      <c r="AD822" s="50"/>
      <c r="AE822" s="48"/>
      <c r="AJ822" s="48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7"/>
      <c r="O823" s="48"/>
      <c r="Q823" s="49"/>
      <c r="R823" s="50"/>
      <c r="S823" s="48"/>
      <c r="U823" s="49"/>
      <c r="V823" s="50"/>
      <c r="W823" s="48"/>
      <c r="Y823" s="49"/>
      <c r="Z823" s="50"/>
      <c r="AA823" s="48"/>
      <c r="AC823" s="49"/>
      <c r="AD823" s="50"/>
      <c r="AE823" s="48"/>
      <c r="AJ823" s="48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7"/>
      <c r="O824" s="48"/>
      <c r="Q824" s="49"/>
      <c r="R824" s="50"/>
      <c r="S824" s="48"/>
      <c r="U824" s="49"/>
      <c r="V824" s="50"/>
      <c r="W824" s="48"/>
      <c r="Y824" s="49"/>
      <c r="Z824" s="50"/>
      <c r="AA824" s="48"/>
      <c r="AC824" s="49"/>
      <c r="AD824" s="50"/>
      <c r="AE824" s="48"/>
      <c r="AJ824" s="48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7"/>
      <c r="O825" s="48"/>
      <c r="Q825" s="49"/>
      <c r="R825" s="50"/>
      <c r="S825" s="48"/>
      <c r="U825" s="49"/>
      <c r="V825" s="50"/>
      <c r="W825" s="48"/>
      <c r="Y825" s="49"/>
      <c r="Z825" s="50"/>
      <c r="AA825" s="48"/>
      <c r="AC825" s="49"/>
      <c r="AD825" s="50"/>
      <c r="AE825" s="48"/>
      <c r="AJ825" s="48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7"/>
      <c r="O826" s="48"/>
      <c r="Q826" s="49"/>
      <c r="R826" s="50"/>
      <c r="S826" s="48"/>
      <c r="U826" s="49"/>
      <c r="V826" s="50"/>
      <c r="W826" s="48"/>
      <c r="Y826" s="49"/>
      <c r="Z826" s="50"/>
      <c r="AA826" s="48"/>
      <c r="AC826" s="49"/>
      <c r="AD826" s="50"/>
      <c r="AE826" s="48"/>
      <c r="AJ826" s="48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7"/>
      <c r="O827" s="48"/>
      <c r="Q827" s="49"/>
      <c r="R827" s="50"/>
      <c r="S827" s="48"/>
      <c r="U827" s="49"/>
      <c r="V827" s="50"/>
      <c r="W827" s="48"/>
      <c r="Y827" s="49"/>
      <c r="Z827" s="50"/>
      <c r="AA827" s="48"/>
      <c r="AC827" s="49"/>
      <c r="AD827" s="50"/>
      <c r="AE827" s="48"/>
      <c r="AJ827" s="48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7"/>
      <c r="O828" s="48"/>
      <c r="Q828" s="49"/>
      <c r="R828" s="50"/>
      <c r="S828" s="48"/>
      <c r="U828" s="49"/>
      <c r="V828" s="50"/>
      <c r="W828" s="48"/>
      <c r="Y828" s="49"/>
      <c r="Z828" s="50"/>
      <c r="AA828" s="48"/>
      <c r="AC828" s="49"/>
      <c r="AD828" s="50"/>
      <c r="AE828" s="48"/>
      <c r="AJ828" s="48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7"/>
      <c r="O829" s="48"/>
      <c r="Q829" s="49"/>
      <c r="R829" s="50"/>
      <c r="S829" s="48"/>
      <c r="U829" s="49"/>
      <c r="V829" s="50"/>
      <c r="W829" s="48"/>
      <c r="Y829" s="49"/>
      <c r="Z829" s="50"/>
      <c r="AA829" s="48"/>
      <c r="AC829" s="49"/>
      <c r="AD829" s="50"/>
      <c r="AE829" s="48"/>
      <c r="AJ829" s="48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7"/>
      <c r="O830" s="48"/>
      <c r="Q830" s="49"/>
      <c r="R830" s="50"/>
      <c r="S830" s="48"/>
      <c r="U830" s="49"/>
      <c r="V830" s="50"/>
      <c r="W830" s="48"/>
      <c r="Y830" s="49"/>
      <c r="Z830" s="50"/>
      <c r="AA830" s="48"/>
      <c r="AC830" s="49"/>
      <c r="AD830" s="50"/>
      <c r="AE830" s="48"/>
      <c r="AJ830" s="48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7"/>
      <c r="O831" s="48"/>
      <c r="Q831" s="49"/>
      <c r="R831" s="50"/>
      <c r="S831" s="48"/>
      <c r="U831" s="49"/>
      <c r="V831" s="50"/>
      <c r="W831" s="48"/>
      <c r="Y831" s="49"/>
      <c r="Z831" s="50"/>
      <c r="AA831" s="48"/>
      <c r="AC831" s="49"/>
      <c r="AD831" s="50"/>
      <c r="AE831" s="48"/>
      <c r="AJ831" s="48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7"/>
      <c r="O832" s="48"/>
      <c r="Q832" s="49"/>
      <c r="R832" s="50"/>
      <c r="S832" s="48"/>
      <c r="U832" s="49"/>
      <c r="V832" s="50"/>
      <c r="W832" s="48"/>
      <c r="Y832" s="49"/>
      <c r="Z832" s="50"/>
      <c r="AA832" s="48"/>
      <c r="AC832" s="49"/>
      <c r="AD832" s="50"/>
      <c r="AE832" s="48"/>
      <c r="AJ832" s="48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7"/>
      <c r="O833" s="48"/>
      <c r="Q833" s="49"/>
      <c r="R833" s="50"/>
      <c r="S833" s="48"/>
      <c r="U833" s="49"/>
      <c r="V833" s="50"/>
      <c r="W833" s="48"/>
      <c r="Y833" s="49"/>
      <c r="Z833" s="50"/>
      <c r="AA833" s="48"/>
      <c r="AC833" s="49"/>
      <c r="AD833" s="50"/>
      <c r="AE833" s="48"/>
      <c r="AJ833" s="48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7"/>
      <c r="O834" s="48"/>
      <c r="Q834" s="49"/>
      <c r="R834" s="50"/>
      <c r="S834" s="48"/>
      <c r="U834" s="49"/>
      <c r="V834" s="50"/>
      <c r="W834" s="48"/>
      <c r="Y834" s="49"/>
      <c r="Z834" s="50"/>
      <c r="AA834" s="48"/>
      <c r="AC834" s="49"/>
      <c r="AD834" s="50"/>
      <c r="AE834" s="48"/>
      <c r="AJ834" s="48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7"/>
      <c r="O835" s="48"/>
      <c r="Q835" s="49"/>
      <c r="R835" s="50"/>
      <c r="S835" s="48"/>
      <c r="U835" s="49"/>
      <c r="V835" s="50"/>
      <c r="W835" s="48"/>
      <c r="Y835" s="49"/>
      <c r="Z835" s="50"/>
      <c r="AA835" s="48"/>
      <c r="AC835" s="49"/>
      <c r="AD835" s="50"/>
      <c r="AE835" s="48"/>
      <c r="AJ835" s="48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7"/>
      <c r="O836" s="48"/>
      <c r="Q836" s="49"/>
      <c r="R836" s="50"/>
      <c r="S836" s="48"/>
      <c r="U836" s="49"/>
      <c r="V836" s="50"/>
      <c r="W836" s="48"/>
      <c r="Y836" s="49"/>
      <c r="Z836" s="50"/>
      <c r="AA836" s="48"/>
      <c r="AC836" s="49"/>
      <c r="AD836" s="50"/>
      <c r="AE836" s="48"/>
      <c r="AJ836" s="48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7"/>
      <c r="O837" s="48"/>
      <c r="Q837" s="49"/>
      <c r="R837" s="50"/>
      <c r="S837" s="48"/>
      <c r="U837" s="49"/>
      <c r="V837" s="50"/>
      <c r="W837" s="48"/>
      <c r="Y837" s="49"/>
      <c r="Z837" s="50"/>
      <c r="AA837" s="48"/>
      <c r="AC837" s="49"/>
      <c r="AD837" s="50"/>
      <c r="AE837" s="48"/>
      <c r="AJ837" s="48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7"/>
      <c r="O838" s="48"/>
      <c r="Q838" s="49"/>
      <c r="R838" s="50"/>
      <c r="S838" s="48"/>
      <c r="U838" s="49"/>
      <c r="V838" s="50"/>
      <c r="W838" s="48"/>
      <c r="Y838" s="49"/>
      <c r="Z838" s="50"/>
      <c r="AA838" s="48"/>
      <c r="AC838" s="49"/>
      <c r="AD838" s="50"/>
      <c r="AE838" s="48"/>
      <c r="AJ838" s="48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7"/>
      <c r="O839" s="48"/>
      <c r="Q839" s="49"/>
      <c r="R839" s="50"/>
      <c r="S839" s="48"/>
      <c r="U839" s="49"/>
      <c r="V839" s="50"/>
      <c r="W839" s="48"/>
      <c r="Y839" s="49"/>
      <c r="Z839" s="50"/>
      <c r="AA839" s="48"/>
      <c r="AC839" s="49"/>
      <c r="AD839" s="50"/>
      <c r="AE839" s="48"/>
      <c r="AJ839" s="48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7"/>
      <c r="O840" s="48"/>
      <c r="Q840" s="49"/>
      <c r="R840" s="50"/>
      <c r="S840" s="48"/>
      <c r="U840" s="49"/>
      <c r="V840" s="50"/>
      <c r="W840" s="48"/>
      <c r="Y840" s="49"/>
      <c r="Z840" s="50"/>
      <c r="AA840" s="48"/>
      <c r="AC840" s="49"/>
      <c r="AD840" s="50"/>
      <c r="AE840" s="48"/>
      <c r="AJ840" s="48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7"/>
      <c r="O841" s="48"/>
      <c r="Q841" s="49"/>
      <c r="R841" s="50"/>
      <c r="S841" s="48"/>
      <c r="U841" s="49"/>
      <c r="V841" s="50"/>
      <c r="W841" s="48"/>
      <c r="Y841" s="49"/>
      <c r="Z841" s="50"/>
      <c r="AA841" s="48"/>
      <c r="AC841" s="49"/>
      <c r="AD841" s="50"/>
      <c r="AE841" s="48"/>
      <c r="AJ841" s="48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7"/>
      <c r="O842" s="48"/>
      <c r="Q842" s="49"/>
      <c r="R842" s="50"/>
      <c r="S842" s="48"/>
      <c r="U842" s="49"/>
      <c r="V842" s="50"/>
      <c r="W842" s="48"/>
      <c r="Y842" s="49"/>
      <c r="Z842" s="50"/>
      <c r="AA842" s="48"/>
      <c r="AC842" s="49"/>
      <c r="AD842" s="50"/>
      <c r="AE842" s="48"/>
      <c r="AJ842" s="48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7"/>
      <c r="O843" s="48"/>
      <c r="Q843" s="49"/>
      <c r="R843" s="50"/>
      <c r="S843" s="48"/>
      <c r="U843" s="49"/>
      <c r="V843" s="50"/>
      <c r="W843" s="48"/>
      <c r="Y843" s="49"/>
      <c r="Z843" s="50"/>
      <c r="AA843" s="48"/>
      <c r="AC843" s="49"/>
      <c r="AD843" s="50"/>
      <c r="AE843" s="48"/>
      <c r="AJ843" s="48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7"/>
      <c r="O844" s="48"/>
      <c r="Q844" s="49"/>
      <c r="R844" s="50"/>
      <c r="S844" s="48"/>
      <c r="U844" s="49"/>
      <c r="V844" s="50"/>
      <c r="W844" s="48"/>
      <c r="Y844" s="49"/>
      <c r="Z844" s="50"/>
      <c r="AA844" s="48"/>
      <c r="AC844" s="49"/>
      <c r="AD844" s="50"/>
      <c r="AE844" s="48"/>
      <c r="AJ844" s="48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7"/>
      <c r="O845" s="48"/>
      <c r="Q845" s="49"/>
      <c r="R845" s="50"/>
      <c r="S845" s="48"/>
      <c r="U845" s="49"/>
      <c r="V845" s="50"/>
      <c r="W845" s="48"/>
      <c r="Y845" s="49"/>
      <c r="Z845" s="50"/>
      <c r="AA845" s="48"/>
      <c r="AC845" s="49"/>
      <c r="AD845" s="50"/>
      <c r="AE845" s="48"/>
      <c r="AJ845" s="48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7"/>
      <c r="O846" s="48"/>
      <c r="Q846" s="49"/>
      <c r="R846" s="50"/>
      <c r="S846" s="48"/>
      <c r="U846" s="49"/>
      <c r="V846" s="50"/>
      <c r="W846" s="48"/>
      <c r="Y846" s="49"/>
      <c r="Z846" s="50"/>
      <c r="AA846" s="48"/>
      <c r="AC846" s="49"/>
      <c r="AD846" s="50"/>
      <c r="AE846" s="48"/>
      <c r="AJ846" s="48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7"/>
      <c r="O847" s="48"/>
      <c r="Q847" s="49"/>
      <c r="R847" s="50"/>
      <c r="S847" s="48"/>
      <c r="U847" s="49"/>
      <c r="V847" s="50"/>
      <c r="W847" s="48"/>
      <c r="Y847" s="49"/>
      <c r="Z847" s="50"/>
      <c r="AA847" s="48"/>
      <c r="AC847" s="49"/>
      <c r="AD847" s="50"/>
      <c r="AE847" s="48"/>
      <c r="AJ847" s="48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7"/>
      <c r="O848" s="48"/>
      <c r="Q848" s="49"/>
      <c r="R848" s="50"/>
      <c r="S848" s="48"/>
      <c r="U848" s="49"/>
      <c r="V848" s="50"/>
      <c r="W848" s="48"/>
      <c r="Y848" s="49"/>
      <c r="Z848" s="50"/>
      <c r="AA848" s="48"/>
      <c r="AC848" s="49"/>
      <c r="AD848" s="50"/>
      <c r="AE848" s="48"/>
      <c r="AJ848" s="48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7"/>
      <c r="O849" s="48"/>
      <c r="Q849" s="49"/>
      <c r="R849" s="50"/>
      <c r="S849" s="48"/>
      <c r="U849" s="49"/>
      <c r="V849" s="50"/>
      <c r="W849" s="48"/>
      <c r="Y849" s="49"/>
      <c r="Z849" s="50"/>
      <c r="AA849" s="48"/>
      <c r="AC849" s="49"/>
      <c r="AD849" s="50"/>
      <c r="AE849" s="48"/>
      <c r="AJ849" s="48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7"/>
      <c r="O850" s="48"/>
      <c r="Q850" s="49"/>
      <c r="R850" s="50"/>
      <c r="S850" s="48"/>
      <c r="U850" s="49"/>
      <c r="V850" s="50"/>
      <c r="W850" s="48"/>
      <c r="Y850" s="49"/>
      <c r="Z850" s="50"/>
      <c r="AA850" s="48"/>
      <c r="AC850" s="49"/>
      <c r="AD850" s="50"/>
      <c r="AE850" s="48"/>
      <c r="AJ850" s="48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7"/>
      <c r="O851" s="48"/>
      <c r="Q851" s="49"/>
      <c r="R851" s="50"/>
      <c r="S851" s="48"/>
      <c r="U851" s="49"/>
      <c r="V851" s="50"/>
      <c r="W851" s="48"/>
      <c r="Y851" s="49"/>
      <c r="Z851" s="50"/>
      <c r="AA851" s="48"/>
      <c r="AC851" s="49"/>
      <c r="AD851" s="50"/>
      <c r="AE851" s="48"/>
      <c r="AJ851" s="48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7"/>
      <c r="O852" s="48"/>
      <c r="Q852" s="49"/>
      <c r="R852" s="50"/>
      <c r="S852" s="48"/>
      <c r="U852" s="49"/>
      <c r="V852" s="50"/>
      <c r="W852" s="48"/>
      <c r="Y852" s="49"/>
      <c r="Z852" s="50"/>
      <c r="AA852" s="48"/>
      <c r="AC852" s="49"/>
      <c r="AD852" s="50"/>
      <c r="AE852" s="48"/>
      <c r="AJ852" s="48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7"/>
      <c r="O853" s="48"/>
      <c r="Q853" s="49"/>
      <c r="R853" s="50"/>
      <c r="S853" s="48"/>
      <c r="U853" s="49"/>
      <c r="V853" s="50"/>
      <c r="W853" s="48"/>
      <c r="Y853" s="49"/>
      <c r="Z853" s="50"/>
      <c r="AA853" s="48"/>
      <c r="AC853" s="49"/>
      <c r="AD853" s="50"/>
      <c r="AE853" s="48"/>
      <c r="AJ853" s="48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7"/>
      <c r="O854" s="48"/>
      <c r="Q854" s="49"/>
      <c r="R854" s="50"/>
      <c r="S854" s="48"/>
      <c r="U854" s="49"/>
      <c r="V854" s="50"/>
      <c r="W854" s="48"/>
      <c r="Y854" s="49"/>
      <c r="Z854" s="50"/>
      <c r="AA854" s="48"/>
      <c r="AC854" s="49"/>
      <c r="AD854" s="50"/>
      <c r="AE854" s="48"/>
      <c r="AJ854" s="48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7"/>
      <c r="O855" s="48"/>
      <c r="Q855" s="49"/>
      <c r="R855" s="50"/>
      <c r="S855" s="48"/>
      <c r="U855" s="49"/>
      <c r="V855" s="50"/>
      <c r="W855" s="48"/>
      <c r="Y855" s="49"/>
      <c r="Z855" s="50"/>
      <c r="AA855" s="48"/>
      <c r="AC855" s="49"/>
      <c r="AD855" s="50"/>
      <c r="AE855" s="48"/>
      <c r="AJ855" s="48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7"/>
      <c r="O856" s="48"/>
      <c r="Q856" s="49"/>
      <c r="R856" s="50"/>
      <c r="S856" s="48"/>
      <c r="U856" s="49"/>
      <c r="V856" s="50"/>
      <c r="W856" s="48"/>
      <c r="Y856" s="49"/>
      <c r="Z856" s="50"/>
      <c r="AA856" s="48"/>
      <c r="AC856" s="49"/>
      <c r="AD856" s="50"/>
      <c r="AE856" s="48"/>
      <c r="AJ856" s="48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7"/>
      <c r="O857" s="48"/>
      <c r="Q857" s="49"/>
      <c r="R857" s="50"/>
      <c r="S857" s="48"/>
      <c r="U857" s="49"/>
      <c r="V857" s="50"/>
      <c r="W857" s="48"/>
      <c r="Y857" s="49"/>
      <c r="Z857" s="50"/>
      <c r="AA857" s="48"/>
      <c r="AC857" s="49"/>
      <c r="AD857" s="50"/>
      <c r="AE857" s="48"/>
      <c r="AJ857" s="48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7"/>
      <c r="O858" s="48"/>
      <c r="Q858" s="49"/>
      <c r="R858" s="50"/>
      <c r="S858" s="48"/>
      <c r="U858" s="49"/>
      <c r="V858" s="50"/>
      <c r="W858" s="48"/>
      <c r="Y858" s="49"/>
      <c r="Z858" s="50"/>
      <c r="AA858" s="48"/>
      <c r="AC858" s="49"/>
      <c r="AD858" s="50"/>
      <c r="AE858" s="48"/>
      <c r="AJ858" s="48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7"/>
      <c r="O859" s="48"/>
      <c r="Q859" s="49"/>
      <c r="R859" s="50"/>
      <c r="S859" s="48"/>
      <c r="U859" s="49"/>
      <c r="V859" s="50"/>
      <c r="W859" s="48"/>
      <c r="Y859" s="49"/>
      <c r="Z859" s="50"/>
      <c r="AA859" s="48"/>
      <c r="AC859" s="49"/>
      <c r="AD859" s="50"/>
      <c r="AE859" s="48"/>
      <c r="AJ859" s="48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7"/>
      <c r="O860" s="48"/>
      <c r="Q860" s="49"/>
      <c r="R860" s="50"/>
      <c r="S860" s="48"/>
      <c r="U860" s="49"/>
      <c r="V860" s="50"/>
      <c r="W860" s="48"/>
      <c r="Y860" s="49"/>
      <c r="Z860" s="50"/>
      <c r="AA860" s="48"/>
      <c r="AC860" s="49"/>
      <c r="AD860" s="50"/>
      <c r="AE860" s="48"/>
      <c r="AJ860" s="48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7"/>
      <c r="O861" s="48"/>
      <c r="Q861" s="49"/>
      <c r="R861" s="50"/>
      <c r="S861" s="48"/>
      <c r="U861" s="49"/>
      <c r="V861" s="50"/>
      <c r="W861" s="48"/>
      <c r="Y861" s="49"/>
      <c r="Z861" s="50"/>
      <c r="AA861" s="48"/>
      <c r="AC861" s="49"/>
      <c r="AD861" s="50"/>
      <c r="AE861" s="48"/>
      <c r="AJ861" s="48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7"/>
      <c r="O862" s="48"/>
      <c r="Q862" s="49"/>
      <c r="R862" s="50"/>
      <c r="S862" s="48"/>
      <c r="U862" s="49"/>
      <c r="V862" s="50"/>
      <c r="W862" s="48"/>
      <c r="Y862" s="49"/>
      <c r="Z862" s="50"/>
      <c r="AA862" s="48"/>
      <c r="AC862" s="49"/>
      <c r="AD862" s="50"/>
      <c r="AE862" s="48"/>
      <c r="AJ862" s="48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7"/>
      <c r="O863" s="48"/>
      <c r="Q863" s="49"/>
      <c r="R863" s="50"/>
      <c r="S863" s="48"/>
      <c r="U863" s="49"/>
      <c r="V863" s="50"/>
      <c r="W863" s="48"/>
      <c r="Y863" s="49"/>
      <c r="Z863" s="50"/>
      <c r="AA863" s="48"/>
      <c r="AC863" s="49"/>
      <c r="AD863" s="50"/>
      <c r="AE863" s="48"/>
      <c r="AJ863" s="48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7"/>
      <c r="O864" s="48"/>
      <c r="Q864" s="49"/>
      <c r="R864" s="50"/>
      <c r="S864" s="48"/>
      <c r="U864" s="49"/>
      <c r="V864" s="50"/>
      <c r="W864" s="48"/>
      <c r="Y864" s="49"/>
      <c r="Z864" s="50"/>
      <c r="AA864" s="48"/>
      <c r="AC864" s="49"/>
      <c r="AD864" s="50"/>
      <c r="AE864" s="48"/>
      <c r="AJ864" s="48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7"/>
      <c r="O865" s="48"/>
      <c r="Q865" s="49"/>
      <c r="R865" s="50"/>
      <c r="S865" s="48"/>
      <c r="U865" s="49"/>
      <c r="V865" s="50"/>
      <c r="W865" s="48"/>
      <c r="Y865" s="49"/>
      <c r="Z865" s="50"/>
      <c r="AA865" s="48"/>
      <c r="AC865" s="49"/>
      <c r="AD865" s="50"/>
      <c r="AE865" s="48"/>
      <c r="AJ865" s="48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7"/>
      <c r="O866" s="48"/>
      <c r="Q866" s="49"/>
      <c r="R866" s="50"/>
      <c r="S866" s="48"/>
      <c r="U866" s="49"/>
      <c r="V866" s="50"/>
      <c r="W866" s="48"/>
      <c r="Y866" s="49"/>
      <c r="Z866" s="50"/>
      <c r="AA866" s="48"/>
      <c r="AC866" s="49"/>
      <c r="AD866" s="50"/>
      <c r="AE866" s="48"/>
      <c r="AJ866" s="48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7"/>
      <c r="O867" s="48"/>
      <c r="Q867" s="49"/>
      <c r="R867" s="50"/>
      <c r="S867" s="48"/>
      <c r="U867" s="49"/>
      <c r="V867" s="50"/>
      <c r="W867" s="48"/>
      <c r="Y867" s="49"/>
      <c r="Z867" s="50"/>
      <c r="AA867" s="48"/>
      <c r="AC867" s="49"/>
      <c r="AD867" s="50"/>
      <c r="AE867" s="48"/>
      <c r="AJ867" s="48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7"/>
      <c r="O868" s="48"/>
      <c r="Q868" s="49"/>
      <c r="R868" s="50"/>
      <c r="S868" s="48"/>
      <c r="U868" s="49"/>
      <c r="V868" s="50"/>
      <c r="W868" s="48"/>
      <c r="Y868" s="49"/>
      <c r="Z868" s="50"/>
      <c r="AA868" s="48"/>
      <c r="AC868" s="49"/>
      <c r="AD868" s="50"/>
      <c r="AE868" s="48"/>
      <c r="AJ868" s="48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7"/>
      <c r="O869" s="48"/>
      <c r="Q869" s="49"/>
      <c r="R869" s="50"/>
      <c r="S869" s="48"/>
      <c r="U869" s="49"/>
      <c r="V869" s="50"/>
      <c r="W869" s="48"/>
      <c r="Y869" s="49"/>
      <c r="Z869" s="50"/>
      <c r="AA869" s="48"/>
      <c r="AC869" s="49"/>
      <c r="AD869" s="50"/>
      <c r="AE869" s="48"/>
      <c r="AJ869" s="48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7"/>
      <c r="O870" s="48"/>
      <c r="Q870" s="49"/>
      <c r="R870" s="50"/>
      <c r="S870" s="48"/>
      <c r="U870" s="49"/>
      <c r="V870" s="50"/>
      <c r="W870" s="48"/>
      <c r="Y870" s="49"/>
      <c r="Z870" s="50"/>
      <c r="AA870" s="48"/>
      <c r="AC870" s="49"/>
      <c r="AD870" s="50"/>
      <c r="AE870" s="48"/>
      <c r="AJ870" s="48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7"/>
      <c r="O871" s="48"/>
      <c r="Q871" s="49"/>
      <c r="R871" s="50"/>
      <c r="S871" s="48"/>
      <c r="U871" s="49"/>
      <c r="V871" s="50"/>
      <c r="W871" s="48"/>
      <c r="Y871" s="49"/>
      <c r="Z871" s="50"/>
      <c r="AA871" s="48"/>
      <c r="AC871" s="49"/>
      <c r="AD871" s="50"/>
      <c r="AE871" s="48"/>
      <c r="AJ871" s="48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7"/>
      <c r="O872" s="48"/>
      <c r="Q872" s="49"/>
      <c r="R872" s="50"/>
      <c r="S872" s="48"/>
      <c r="U872" s="49"/>
      <c r="V872" s="50"/>
      <c r="W872" s="48"/>
      <c r="Y872" s="49"/>
      <c r="Z872" s="50"/>
      <c r="AA872" s="48"/>
      <c r="AC872" s="49"/>
      <c r="AD872" s="50"/>
      <c r="AE872" s="48"/>
      <c r="AJ872" s="48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7"/>
      <c r="O873" s="48"/>
      <c r="Q873" s="49"/>
      <c r="R873" s="50"/>
      <c r="S873" s="48"/>
      <c r="U873" s="49"/>
      <c r="V873" s="50"/>
      <c r="W873" s="48"/>
      <c r="Y873" s="49"/>
      <c r="Z873" s="50"/>
      <c r="AA873" s="48"/>
      <c r="AC873" s="49"/>
      <c r="AD873" s="50"/>
      <c r="AE873" s="48"/>
      <c r="AJ873" s="48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7"/>
      <c r="O874" s="48"/>
      <c r="Q874" s="49"/>
      <c r="R874" s="50"/>
      <c r="S874" s="48"/>
      <c r="U874" s="49"/>
      <c r="V874" s="50"/>
      <c r="W874" s="48"/>
      <c r="Y874" s="49"/>
      <c r="Z874" s="50"/>
      <c r="AA874" s="48"/>
      <c r="AC874" s="49"/>
      <c r="AD874" s="50"/>
      <c r="AE874" s="48"/>
      <c r="AJ874" s="48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7"/>
      <c r="O875" s="48"/>
      <c r="Q875" s="49"/>
      <c r="R875" s="50"/>
      <c r="S875" s="48"/>
      <c r="U875" s="49"/>
      <c r="V875" s="50"/>
      <c r="W875" s="48"/>
      <c r="Y875" s="49"/>
      <c r="Z875" s="50"/>
      <c r="AA875" s="48"/>
      <c r="AC875" s="49"/>
      <c r="AD875" s="50"/>
      <c r="AE875" s="48"/>
      <c r="AJ875" s="48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7"/>
      <c r="O876" s="48"/>
      <c r="Q876" s="49"/>
      <c r="R876" s="50"/>
      <c r="S876" s="48"/>
      <c r="U876" s="49"/>
      <c r="V876" s="50"/>
      <c r="W876" s="48"/>
      <c r="Y876" s="49"/>
      <c r="Z876" s="50"/>
      <c r="AA876" s="48"/>
      <c r="AC876" s="49"/>
      <c r="AD876" s="50"/>
      <c r="AE876" s="48"/>
      <c r="AJ876" s="48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7"/>
      <c r="O877" s="48"/>
      <c r="Q877" s="49"/>
      <c r="R877" s="50"/>
      <c r="S877" s="48"/>
      <c r="U877" s="49"/>
      <c r="V877" s="50"/>
      <c r="W877" s="48"/>
      <c r="Y877" s="49"/>
      <c r="Z877" s="50"/>
      <c r="AA877" s="48"/>
      <c r="AC877" s="49"/>
      <c r="AD877" s="50"/>
      <c r="AE877" s="48"/>
      <c r="AJ877" s="48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7"/>
      <c r="O878" s="48"/>
      <c r="Q878" s="49"/>
      <c r="R878" s="50"/>
      <c r="S878" s="48"/>
      <c r="U878" s="49"/>
      <c r="V878" s="50"/>
      <c r="W878" s="48"/>
      <c r="Y878" s="49"/>
      <c r="Z878" s="50"/>
      <c r="AA878" s="48"/>
      <c r="AC878" s="49"/>
      <c r="AD878" s="50"/>
      <c r="AE878" s="48"/>
      <c r="AJ878" s="48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7"/>
      <c r="O879" s="48"/>
      <c r="Q879" s="49"/>
      <c r="R879" s="50"/>
      <c r="S879" s="48"/>
      <c r="U879" s="49"/>
      <c r="V879" s="50"/>
      <c r="W879" s="48"/>
      <c r="Y879" s="49"/>
      <c r="Z879" s="50"/>
      <c r="AA879" s="48"/>
      <c r="AC879" s="49"/>
      <c r="AD879" s="50"/>
      <c r="AE879" s="48"/>
      <c r="AJ879" s="48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7"/>
      <c r="O880" s="48"/>
      <c r="Q880" s="49"/>
      <c r="R880" s="50"/>
      <c r="S880" s="48"/>
      <c r="U880" s="49"/>
      <c r="V880" s="50"/>
      <c r="W880" s="48"/>
      <c r="Y880" s="49"/>
      <c r="Z880" s="50"/>
      <c r="AA880" s="48"/>
      <c r="AC880" s="49"/>
      <c r="AD880" s="50"/>
      <c r="AE880" s="48"/>
      <c r="AJ880" s="48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7"/>
      <c r="O881" s="48"/>
      <c r="Q881" s="49"/>
      <c r="R881" s="50"/>
      <c r="S881" s="48"/>
      <c r="U881" s="49"/>
      <c r="V881" s="50"/>
      <c r="W881" s="48"/>
      <c r="Y881" s="49"/>
      <c r="Z881" s="50"/>
      <c r="AA881" s="48"/>
      <c r="AC881" s="49"/>
      <c r="AD881" s="50"/>
      <c r="AE881" s="48"/>
      <c r="AJ881" s="48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7"/>
      <c r="O882" s="48"/>
      <c r="Q882" s="49"/>
      <c r="R882" s="50"/>
      <c r="S882" s="48"/>
      <c r="U882" s="49"/>
      <c r="V882" s="50"/>
      <c r="W882" s="48"/>
      <c r="Y882" s="49"/>
      <c r="Z882" s="50"/>
      <c r="AA882" s="48"/>
      <c r="AC882" s="49"/>
      <c r="AD882" s="50"/>
      <c r="AE882" s="48"/>
      <c r="AJ882" s="48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7"/>
      <c r="O883" s="48"/>
      <c r="Q883" s="49"/>
      <c r="R883" s="50"/>
      <c r="S883" s="48"/>
      <c r="U883" s="49"/>
      <c r="V883" s="50"/>
      <c r="W883" s="48"/>
      <c r="Y883" s="49"/>
      <c r="Z883" s="50"/>
      <c r="AA883" s="48"/>
      <c r="AC883" s="49"/>
      <c r="AD883" s="50"/>
      <c r="AE883" s="48"/>
      <c r="AJ883" s="48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7"/>
      <c r="O884" s="48"/>
      <c r="Q884" s="49"/>
      <c r="R884" s="50"/>
      <c r="S884" s="48"/>
      <c r="U884" s="49"/>
      <c r="V884" s="50"/>
      <c r="W884" s="48"/>
      <c r="Y884" s="49"/>
      <c r="Z884" s="50"/>
      <c r="AA884" s="48"/>
      <c r="AC884" s="49"/>
      <c r="AD884" s="50"/>
      <c r="AE884" s="48"/>
      <c r="AJ884" s="48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7"/>
      <c r="O885" s="48"/>
      <c r="Q885" s="49"/>
      <c r="R885" s="50"/>
      <c r="S885" s="48"/>
      <c r="U885" s="49"/>
      <c r="V885" s="50"/>
      <c r="W885" s="48"/>
      <c r="Y885" s="49"/>
      <c r="Z885" s="50"/>
      <c r="AA885" s="48"/>
      <c r="AC885" s="49"/>
      <c r="AD885" s="50"/>
      <c r="AE885" s="48"/>
      <c r="AJ885" s="48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7"/>
      <c r="O886" s="48"/>
      <c r="Q886" s="49"/>
      <c r="R886" s="50"/>
      <c r="S886" s="48"/>
      <c r="U886" s="49"/>
      <c r="V886" s="50"/>
      <c r="W886" s="48"/>
      <c r="Y886" s="49"/>
      <c r="Z886" s="50"/>
      <c r="AA886" s="48"/>
      <c r="AC886" s="49"/>
      <c r="AD886" s="50"/>
      <c r="AE886" s="48"/>
      <c r="AJ886" s="48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7"/>
      <c r="O887" s="48"/>
      <c r="Q887" s="49"/>
      <c r="R887" s="50"/>
      <c r="S887" s="48"/>
      <c r="U887" s="49"/>
      <c r="V887" s="50"/>
      <c r="W887" s="48"/>
      <c r="Y887" s="49"/>
      <c r="Z887" s="50"/>
      <c r="AA887" s="48"/>
      <c r="AC887" s="49"/>
      <c r="AD887" s="50"/>
      <c r="AE887" s="48"/>
      <c r="AJ887" s="48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7"/>
      <c r="O888" s="48"/>
      <c r="Q888" s="49"/>
      <c r="R888" s="50"/>
      <c r="S888" s="48"/>
      <c r="U888" s="49"/>
      <c r="V888" s="50"/>
      <c r="W888" s="48"/>
      <c r="Y888" s="49"/>
      <c r="Z888" s="50"/>
      <c r="AA888" s="48"/>
      <c r="AC888" s="49"/>
      <c r="AD888" s="50"/>
      <c r="AE888" s="48"/>
      <c r="AJ888" s="48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7"/>
      <c r="O889" s="48"/>
      <c r="Q889" s="49"/>
      <c r="R889" s="50"/>
      <c r="S889" s="48"/>
      <c r="U889" s="49"/>
      <c r="V889" s="50"/>
      <c r="W889" s="48"/>
      <c r="Y889" s="49"/>
      <c r="Z889" s="50"/>
      <c r="AA889" s="48"/>
      <c r="AC889" s="49"/>
      <c r="AD889" s="50"/>
      <c r="AE889" s="48"/>
      <c r="AJ889" s="48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7"/>
      <c r="O890" s="48"/>
      <c r="Q890" s="49"/>
      <c r="R890" s="50"/>
      <c r="S890" s="48"/>
      <c r="U890" s="49"/>
      <c r="V890" s="50"/>
      <c r="W890" s="48"/>
      <c r="Y890" s="49"/>
      <c r="Z890" s="50"/>
      <c r="AA890" s="48"/>
      <c r="AC890" s="49"/>
      <c r="AD890" s="50"/>
      <c r="AE890" s="48"/>
      <c r="AJ890" s="48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7"/>
      <c r="O891" s="48"/>
      <c r="Q891" s="49"/>
      <c r="R891" s="50"/>
      <c r="S891" s="48"/>
      <c r="U891" s="49"/>
      <c r="V891" s="50"/>
      <c r="W891" s="48"/>
      <c r="Y891" s="49"/>
      <c r="Z891" s="50"/>
      <c r="AA891" s="48"/>
      <c r="AC891" s="49"/>
      <c r="AD891" s="50"/>
      <c r="AE891" s="48"/>
      <c r="AJ891" s="48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7"/>
      <c r="O892" s="48"/>
      <c r="Q892" s="49"/>
      <c r="R892" s="50"/>
      <c r="S892" s="48"/>
      <c r="U892" s="49"/>
      <c r="V892" s="50"/>
      <c r="W892" s="48"/>
      <c r="Y892" s="49"/>
      <c r="Z892" s="50"/>
      <c r="AA892" s="48"/>
      <c r="AC892" s="49"/>
      <c r="AD892" s="50"/>
      <c r="AE892" s="48"/>
      <c r="AJ892" s="48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7"/>
      <c r="O893" s="48"/>
      <c r="Q893" s="49"/>
      <c r="R893" s="50"/>
      <c r="S893" s="48"/>
      <c r="U893" s="49"/>
      <c r="V893" s="50"/>
      <c r="W893" s="48"/>
      <c r="Y893" s="49"/>
      <c r="Z893" s="50"/>
      <c r="AA893" s="48"/>
      <c r="AC893" s="49"/>
      <c r="AD893" s="50"/>
      <c r="AE893" s="48"/>
      <c r="AJ893" s="48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7"/>
      <c r="O894" s="48"/>
      <c r="Q894" s="49"/>
      <c r="R894" s="50"/>
      <c r="S894" s="48"/>
      <c r="U894" s="49"/>
      <c r="V894" s="50"/>
      <c r="W894" s="48"/>
      <c r="Y894" s="49"/>
      <c r="Z894" s="50"/>
      <c r="AA894" s="48"/>
      <c r="AC894" s="49"/>
      <c r="AD894" s="50"/>
      <c r="AE894" s="48"/>
      <c r="AJ894" s="48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7"/>
      <c r="O895" s="48"/>
      <c r="Q895" s="49"/>
      <c r="R895" s="50"/>
      <c r="S895" s="48"/>
      <c r="U895" s="49"/>
      <c r="V895" s="50"/>
      <c r="W895" s="48"/>
      <c r="Y895" s="49"/>
      <c r="Z895" s="50"/>
      <c r="AA895" s="48"/>
      <c r="AC895" s="49"/>
      <c r="AD895" s="50"/>
      <c r="AE895" s="48"/>
      <c r="AJ895" s="48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7"/>
      <c r="O896" s="48"/>
      <c r="Q896" s="49"/>
      <c r="R896" s="50"/>
      <c r="S896" s="48"/>
      <c r="U896" s="49"/>
      <c r="V896" s="50"/>
      <c r="W896" s="48"/>
      <c r="Y896" s="49"/>
      <c r="Z896" s="50"/>
      <c r="AA896" s="48"/>
      <c r="AC896" s="49"/>
      <c r="AD896" s="50"/>
      <c r="AE896" s="48"/>
      <c r="AJ896" s="48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7"/>
      <c r="O897" s="48"/>
      <c r="Q897" s="49"/>
      <c r="R897" s="50"/>
      <c r="S897" s="48"/>
      <c r="U897" s="49"/>
      <c r="V897" s="50"/>
      <c r="W897" s="48"/>
      <c r="Y897" s="49"/>
      <c r="Z897" s="50"/>
      <c r="AA897" s="48"/>
      <c r="AC897" s="49"/>
      <c r="AD897" s="50"/>
      <c r="AE897" s="48"/>
      <c r="AJ897" s="48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7"/>
      <c r="O898" s="48"/>
      <c r="Q898" s="49"/>
      <c r="R898" s="50"/>
      <c r="S898" s="48"/>
      <c r="U898" s="49"/>
      <c r="V898" s="50"/>
      <c r="W898" s="48"/>
      <c r="Y898" s="49"/>
      <c r="Z898" s="50"/>
      <c r="AA898" s="48"/>
      <c r="AC898" s="49"/>
      <c r="AD898" s="50"/>
      <c r="AE898" s="48"/>
      <c r="AJ898" s="48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7"/>
      <c r="O899" s="48"/>
      <c r="Q899" s="49"/>
      <c r="R899" s="50"/>
      <c r="S899" s="48"/>
      <c r="U899" s="49"/>
      <c r="V899" s="50"/>
      <c r="W899" s="48"/>
      <c r="Y899" s="49"/>
      <c r="Z899" s="50"/>
      <c r="AA899" s="48"/>
      <c r="AC899" s="49"/>
      <c r="AD899" s="50"/>
      <c r="AE899" s="48"/>
      <c r="AJ899" s="48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7"/>
      <c r="O900" s="48"/>
      <c r="Q900" s="49"/>
      <c r="R900" s="50"/>
      <c r="S900" s="48"/>
      <c r="U900" s="49"/>
      <c r="V900" s="50"/>
      <c r="W900" s="48"/>
      <c r="Y900" s="49"/>
      <c r="Z900" s="50"/>
      <c r="AA900" s="48"/>
      <c r="AC900" s="49"/>
      <c r="AD900" s="50"/>
      <c r="AE900" s="48"/>
      <c r="AJ900" s="48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7"/>
      <c r="O901" s="48"/>
      <c r="Q901" s="49"/>
      <c r="R901" s="50"/>
      <c r="S901" s="48"/>
      <c r="U901" s="49"/>
      <c r="V901" s="50"/>
      <c r="W901" s="48"/>
      <c r="Y901" s="49"/>
      <c r="Z901" s="50"/>
      <c r="AA901" s="48"/>
      <c r="AC901" s="49"/>
      <c r="AD901" s="50"/>
      <c r="AE901" s="48"/>
      <c r="AJ901" s="48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7"/>
      <c r="O902" s="48"/>
      <c r="Q902" s="49"/>
      <c r="R902" s="50"/>
      <c r="S902" s="48"/>
      <c r="U902" s="49"/>
      <c r="V902" s="50"/>
      <c r="W902" s="48"/>
      <c r="Y902" s="49"/>
      <c r="Z902" s="50"/>
      <c r="AA902" s="48"/>
      <c r="AC902" s="49"/>
      <c r="AD902" s="50"/>
      <c r="AE902" s="48"/>
      <c r="AJ902" s="48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7"/>
      <c r="O903" s="48"/>
      <c r="Q903" s="49"/>
      <c r="R903" s="50"/>
      <c r="S903" s="48"/>
      <c r="U903" s="49"/>
      <c r="V903" s="50"/>
      <c r="W903" s="48"/>
      <c r="Y903" s="49"/>
      <c r="Z903" s="50"/>
      <c r="AA903" s="48"/>
      <c r="AC903" s="49"/>
      <c r="AD903" s="50"/>
      <c r="AE903" s="48"/>
      <c r="AJ903" s="48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7"/>
      <c r="O904" s="48"/>
      <c r="Q904" s="49"/>
      <c r="R904" s="50"/>
      <c r="S904" s="48"/>
      <c r="U904" s="49"/>
      <c r="V904" s="50"/>
      <c r="W904" s="48"/>
      <c r="Y904" s="49"/>
      <c r="Z904" s="50"/>
      <c r="AA904" s="48"/>
      <c r="AC904" s="49"/>
      <c r="AD904" s="50"/>
      <c r="AE904" s="48"/>
      <c r="AJ904" s="48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7"/>
      <c r="O905" s="48"/>
      <c r="Q905" s="49"/>
      <c r="R905" s="50"/>
      <c r="S905" s="48"/>
      <c r="U905" s="49"/>
      <c r="V905" s="50"/>
      <c r="W905" s="48"/>
      <c r="Y905" s="49"/>
      <c r="Z905" s="50"/>
      <c r="AA905" s="48"/>
      <c r="AC905" s="49"/>
      <c r="AD905" s="50"/>
      <c r="AE905" s="48"/>
      <c r="AJ905" s="48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7"/>
      <c r="O906" s="48"/>
      <c r="Q906" s="49"/>
      <c r="R906" s="50"/>
      <c r="S906" s="48"/>
      <c r="U906" s="49"/>
      <c r="V906" s="50"/>
      <c r="W906" s="48"/>
      <c r="Y906" s="49"/>
      <c r="Z906" s="50"/>
      <c r="AA906" s="48"/>
      <c r="AC906" s="49"/>
      <c r="AD906" s="50"/>
      <c r="AE906" s="48"/>
      <c r="AJ906" s="48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7"/>
      <c r="O907" s="48"/>
      <c r="Q907" s="49"/>
      <c r="R907" s="50"/>
      <c r="S907" s="48"/>
      <c r="U907" s="49"/>
      <c r="V907" s="50"/>
      <c r="W907" s="48"/>
      <c r="Y907" s="49"/>
      <c r="Z907" s="50"/>
      <c r="AA907" s="48"/>
      <c r="AC907" s="49"/>
      <c r="AD907" s="50"/>
      <c r="AE907" s="48"/>
      <c r="AJ907" s="48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7"/>
      <c r="O908" s="48"/>
      <c r="Q908" s="49"/>
      <c r="R908" s="50"/>
      <c r="S908" s="48"/>
      <c r="U908" s="49"/>
      <c r="V908" s="50"/>
      <c r="W908" s="48"/>
      <c r="Y908" s="49"/>
      <c r="Z908" s="50"/>
      <c r="AA908" s="48"/>
      <c r="AC908" s="49"/>
      <c r="AD908" s="50"/>
      <c r="AE908" s="48"/>
      <c r="AJ908" s="48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7"/>
      <c r="O909" s="48"/>
      <c r="Q909" s="49"/>
      <c r="R909" s="50"/>
      <c r="S909" s="48"/>
      <c r="U909" s="49"/>
      <c r="V909" s="50"/>
      <c r="W909" s="48"/>
      <c r="Y909" s="49"/>
      <c r="Z909" s="50"/>
      <c r="AA909" s="48"/>
      <c r="AC909" s="49"/>
      <c r="AD909" s="50"/>
      <c r="AE909" s="48"/>
      <c r="AJ909" s="48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7"/>
      <c r="O910" s="48"/>
      <c r="Q910" s="49"/>
      <c r="R910" s="50"/>
      <c r="S910" s="48"/>
      <c r="U910" s="49"/>
      <c r="V910" s="50"/>
      <c r="W910" s="48"/>
      <c r="Y910" s="49"/>
      <c r="Z910" s="50"/>
      <c r="AA910" s="48"/>
      <c r="AC910" s="49"/>
      <c r="AD910" s="50"/>
      <c r="AE910" s="48"/>
      <c r="AJ910" s="48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7"/>
      <c r="O911" s="48"/>
      <c r="Q911" s="49"/>
      <c r="R911" s="50"/>
      <c r="S911" s="48"/>
      <c r="U911" s="49"/>
      <c r="V911" s="50"/>
      <c r="W911" s="48"/>
      <c r="Y911" s="49"/>
      <c r="Z911" s="50"/>
      <c r="AA911" s="48"/>
      <c r="AC911" s="49"/>
      <c r="AD911" s="50"/>
      <c r="AE911" s="48"/>
      <c r="AJ911" s="48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7"/>
      <c r="O912" s="48"/>
      <c r="Q912" s="49"/>
      <c r="R912" s="50"/>
      <c r="S912" s="48"/>
      <c r="U912" s="49"/>
      <c r="V912" s="50"/>
      <c r="W912" s="48"/>
      <c r="Y912" s="49"/>
      <c r="Z912" s="50"/>
      <c r="AA912" s="48"/>
      <c r="AC912" s="49"/>
      <c r="AD912" s="50"/>
      <c r="AE912" s="48"/>
      <c r="AJ912" s="48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7"/>
      <c r="O913" s="48"/>
      <c r="Q913" s="49"/>
      <c r="R913" s="50"/>
      <c r="S913" s="48"/>
      <c r="U913" s="49"/>
      <c r="V913" s="50"/>
      <c r="W913" s="48"/>
      <c r="Y913" s="49"/>
      <c r="Z913" s="50"/>
      <c r="AA913" s="48"/>
      <c r="AC913" s="49"/>
      <c r="AD913" s="50"/>
      <c r="AE913" s="48"/>
      <c r="AJ913" s="48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7"/>
      <c r="O914" s="48"/>
      <c r="Q914" s="49"/>
      <c r="R914" s="50"/>
      <c r="S914" s="48"/>
      <c r="U914" s="49"/>
      <c r="V914" s="50"/>
      <c r="W914" s="48"/>
      <c r="Y914" s="49"/>
      <c r="Z914" s="50"/>
      <c r="AA914" s="48"/>
      <c r="AC914" s="49"/>
      <c r="AD914" s="50"/>
      <c r="AE914" s="48"/>
      <c r="AJ914" s="48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7"/>
      <c r="O915" s="48"/>
      <c r="Q915" s="49"/>
      <c r="R915" s="50"/>
      <c r="S915" s="48"/>
      <c r="U915" s="49"/>
      <c r="V915" s="50"/>
      <c r="W915" s="48"/>
      <c r="Y915" s="49"/>
      <c r="Z915" s="50"/>
      <c r="AA915" s="48"/>
      <c r="AC915" s="49"/>
      <c r="AD915" s="50"/>
      <c r="AE915" s="48"/>
      <c r="AJ915" s="48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7"/>
      <c r="O916" s="48"/>
      <c r="Q916" s="49"/>
      <c r="R916" s="50"/>
      <c r="S916" s="48"/>
      <c r="U916" s="49"/>
      <c r="V916" s="50"/>
      <c r="W916" s="48"/>
      <c r="Y916" s="49"/>
      <c r="Z916" s="50"/>
      <c r="AA916" s="48"/>
      <c r="AC916" s="49"/>
      <c r="AD916" s="50"/>
      <c r="AE916" s="48"/>
      <c r="AJ916" s="48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7"/>
      <c r="O917" s="48"/>
      <c r="Q917" s="49"/>
      <c r="R917" s="50"/>
      <c r="S917" s="48"/>
      <c r="U917" s="49"/>
      <c r="V917" s="50"/>
      <c r="W917" s="48"/>
      <c r="Y917" s="49"/>
      <c r="Z917" s="50"/>
      <c r="AA917" s="48"/>
      <c r="AC917" s="49"/>
      <c r="AD917" s="50"/>
      <c r="AE917" s="48"/>
      <c r="AJ917" s="48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7"/>
      <c r="O918" s="48"/>
      <c r="Q918" s="49"/>
      <c r="R918" s="50"/>
      <c r="S918" s="48"/>
      <c r="U918" s="49"/>
      <c r="V918" s="50"/>
      <c r="W918" s="48"/>
      <c r="Y918" s="49"/>
      <c r="Z918" s="50"/>
      <c r="AA918" s="48"/>
      <c r="AC918" s="49"/>
      <c r="AD918" s="50"/>
      <c r="AE918" s="48"/>
      <c r="AJ918" s="48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7"/>
      <c r="O919" s="48"/>
      <c r="Q919" s="49"/>
      <c r="R919" s="50"/>
      <c r="S919" s="48"/>
      <c r="U919" s="49"/>
      <c r="V919" s="50"/>
      <c r="W919" s="48"/>
      <c r="Y919" s="49"/>
      <c r="Z919" s="50"/>
      <c r="AA919" s="48"/>
      <c r="AC919" s="49"/>
      <c r="AD919" s="50"/>
      <c r="AE919" s="48"/>
      <c r="AJ919" s="48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7"/>
      <c r="O920" s="48"/>
      <c r="Q920" s="49"/>
      <c r="R920" s="50"/>
      <c r="S920" s="48"/>
      <c r="U920" s="49"/>
      <c r="V920" s="50"/>
      <c r="W920" s="48"/>
      <c r="Y920" s="49"/>
      <c r="Z920" s="50"/>
      <c r="AA920" s="48"/>
      <c r="AC920" s="49"/>
      <c r="AD920" s="50"/>
      <c r="AE920" s="48"/>
      <c r="AJ920" s="48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7"/>
      <c r="O921" s="48"/>
      <c r="Q921" s="49"/>
      <c r="R921" s="50"/>
      <c r="S921" s="48"/>
      <c r="U921" s="49"/>
      <c r="V921" s="50"/>
      <c r="W921" s="48"/>
      <c r="Y921" s="49"/>
      <c r="Z921" s="50"/>
      <c r="AA921" s="48"/>
      <c r="AC921" s="49"/>
      <c r="AD921" s="50"/>
      <c r="AE921" s="48"/>
      <c r="AJ921" s="48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7"/>
      <c r="O922" s="48"/>
      <c r="Q922" s="49"/>
      <c r="R922" s="50"/>
      <c r="S922" s="48"/>
      <c r="U922" s="49"/>
      <c r="V922" s="50"/>
      <c r="W922" s="48"/>
      <c r="Y922" s="49"/>
      <c r="Z922" s="50"/>
      <c r="AA922" s="48"/>
      <c r="AC922" s="49"/>
      <c r="AD922" s="50"/>
      <c r="AE922" s="48"/>
      <c r="AJ922" s="48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7"/>
      <c r="O923" s="48"/>
      <c r="Q923" s="49"/>
      <c r="R923" s="50"/>
      <c r="S923" s="48"/>
      <c r="U923" s="49"/>
      <c r="V923" s="50"/>
      <c r="W923" s="48"/>
      <c r="Y923" s="49"/>
      <c r="Z923" s="50"/>
      <c r="AA923" s="48"/>
      <c r="AC923" s="49"/>
      <c r="AD923" s="50"/>
      <c r="AE923" s="48"/>
      <c r="AJ923" s="48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7"/>
      <c r="O924" s="48"/>
      <c r="Q924" s="49"/>
      <c r="R924" s="50"/>
      <c r="S924" s="48"/>
      <c r="U924" s="49"/>
      <c r="V924" s="50"/>
      <c r="W924" s="48"/>
      <c r="Y924" s="49"/>
      <c r="Z924" s="50"/>
      <c r="AA924" s="48"/>
      <c r="AC924" s="49"/>
      <c r="AD924" s="50"/>
      <c r="AE924" s="48"/>
      <c r="AJ924" s="48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7"/>
      <c r="O925" s="48"/>
      <c r="Q925" s="49"/>
      <c r="R925" s="50"/>
      <c r="S925" s="48"/>
      <c r="U925" s="49"/>
      <c r="V925" s="50"/>
      <c r="W925" s="48"/>
      <c r="Y925" s="49"/>
      <c r="Z925" s="50"/>
      <c r="AA925" s="48"/>
      <c r="AC925" s="49"/>
      <c r="AD925" s="50"/>
      <c r="AE925" s="48"/>
      <c r="AJ925" s="48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7"/>
      <c r="O926" s="48"/>
      <c r="Q926" s="49"/>
      <c r="R926" s="50"/>
      <c r="S926" s="48"/>
      <c r="U926" s="49"/>
      <c r="V926" s="50"/>
      <c r="W926" s="48"/>
      <c r="Y926" s="49"/>
      <c r="Z926" s="50"/>
      <c r="AA926" s="48"/>
      <c r="AC926" s="49"/>
      <c r="AD926" s="50"/>
      <c r="AE926" s="48"/>
      <c r="AJ926" s="48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7"/>
      <c r="O927" s="48"/>
      <c r="Q927" s="49"/>
      <c r="R927" s="50"/>
      <c r="S927" s="48"/>
      <c r="U927" s="49"/>
      <c r="V927" s="50"/>
      <c r="W927" s="48"/>
      <c r="Y927" s="49"/>
      <c r="Z927" s="50"/>
      <c r="AA927" s="48"/>
      <c r="AC927" s="49"/>
      <c r="AD927" s="50"/>
      <c r="AE927" s="48"/>
      <c r="AJ927" s="48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7"/>
      <c r="O928" s="48"/>
      <c r="Q928" s="49"/>
      <c r="R928" s="50"/>
      <c r="S928" s="48"/>
      <c r="U928" s="49"/>
      <c r="V928" s="50"/>
      <c r="W928" s="48"/>
      <c r="Y928" s="49"/>
      <c r="Z928" s="50"/>
      <c r="AA928" s="48"/>
      <c r="AC928" s="49"/>
      <c r="AD928" s="50"/>
      <c r="AE928" s="48"/>
      <c r="AJ928" s="48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7"/>
      <c r="O929" s="48"/>
      <c r="Q929" s="49"/>
      <c r="R929" s="50"/>
      <c r="S929" s="48"/>
      <c r="U929" s="49"/>
      <c r="V929" s="50"/>
      <c r="W929" s="48"/>
      <c r="Y929" s="49"/>
      <c r="Z929" s="50"/>
      <c r="AA929" s="48"/>
      <c r="AC929" s="49"/>
      <c r="AD929" s="50"/>
      <c r="AE929" s="48"/>
      <c r="AJ929" s="48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7"/>
      <c r="O930" s="48"/>
      <c r="Q930" s="49"/>
      <c r="R930" s="50"/>
      <c r="S930" s="48"/>
      <c r="U930" s="49"/>
      <c r="V930" s="50"/>
      <c r="W930" s="48"/>
      <c r="Y930" s="49"/>
      <c r="Z930" s="50"/>
      <c r="AA930" s="48"/>
      <c r="AC930" s="49"/>
      <c r="AD930" s="50"/>
      <c r="AE930" s="48"/>
      <c r="AJ930" s="48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7"/>
      <c r="O931" s="48"/>
      <c r="Q931" s="49"/>
      <c r="R931" s="50"/>
      <c r="S931" s="48"/>
      <c r="U931" s="49"/>
      <c r="V931" s="50"/>
      <c r="W931" s="48"/>
      <c r="Y931" s="49"/>
      <c r="Z931" s="50"/>
      <c r="AA931" s="48"/>
      <c r="AC931" s="49"/>
      <c r="AD931" s="50"/>
      <c r="AE931" s="48"/>
      <c r="AJ931" s="48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7"/>
      <c r="O932" s="48"/>
      <c r="Q932" s="49"/>
      <c r="R932" s="50"/>
      <c r="S932" s="48"/>
      <c r="U932" s="49"/>
      <c r="V932" s="50"/>
      <c r="W932" s="48"/>
      <c r="Y932" s="49"/>
      <c r="Z932" s="50"/>
      <c r="AA932" s="48"/>
      <c r="AC932" s="49"/>
      <c r="AD932" s="50"/>
      <c r="AE932" s="48"/>
      <c r="AJ932" s="48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7"/>
      <c r="O933" s="48"/>
      <c r="Q933" s="49"/>
      <c r="R933" s="50"/>
      <c r="S933" s="48"/>
      <c r="U933" s="49"/>
      <c r="V933" s="50"/>
      <c r="W933" s="48"/>
      <c r="Y933" s="49"/>
      <c r="Z933" s="50"/>
      <c r="AA933" s="48"/>
      <c r="AC933" s="49"/>
      <c r="AD933" s="50"/>
      <c r="AE933" s="48"/>
      <c r="AJ933" s="48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7"/>
      <c r="O934" s="48"/>
      <c r="Q934" s="49"/>
      <c r="R934" s="50"/>
      <c r="S934" s="48"/>
      <c r="U934" s="49"/>
      <c r="V934" s="50"/>
      <c r="W934" s="48"/>
      <c r="Y934" s="49"/>
      <c r="Z934" s="50"/>
      <c r="AA934" s="48"/>
      <c r="AC934" s="49"/>
      <c r="AD934" s="50"/>
      <c r="AE934" s="48"/>
      <c r="AJ934" s="48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7"/>
      <c r="O935" s="48"/>
      <c r="Q935" s="49"/>
      <c r="R935" s="50"/>
      <c r="S935" s="48"/>
      <c r="U935" s="49"/>
      <c r="V935" s="50"/>
      <c r="W935" s="48"/>
      <c r="Y935" s="49"/>
      <c r="Z935" s="50"/>
      <c r="AA935" s="48"/>
      <c r="AC935" s="49"/>
      <c r="AD935" s="50"/>
      <c r="AE935" s="48"/>
      <c r="AJ935" s="48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7"/>
      <c r="O936" s="48"/>
      <c r="Q936" s="49"/>
      <c r="R936" s="50"/>
      <c r="S936" s="48"/>
      <c r="U936" s="49"/>
      <c r="V936" s="50"/>
      <c r="W936" s="48"/>
      <c r="Y936" s="49"/>
      <c r="Z936" s="50"/>
      <c r="AA936" s="48"/>
      <c r="AC936" s="49"/>
      <c r="AD936" s="50"/>
      <c r="AE936" s="48"/>
      <c r="AJ936" s="48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7"/>
      <c r="O937" s="48"/>
      <c r="Q937" s="49"/>
      <c r="R937" s="50"/>
      <c r="S937" s="48"/>
      <c r="U937" s="49"/>
      <c r="V937" s="50"/>
      <c r="W937" s="48"/>
      <c r="Y937" s="49"/>
      <c r="Z937" s="50"/>
      <c r="AA937" s="48"/>
      <c r="AC937" s="49"/>
      <c r="AD937" s="50"/>
      <c r="AE937" s="48"/>
      <c r="AJ937" s="48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7"/>
      <c r="O938" s="48"/>
      <c r="Q938" s="49"/>
      <c r="R938" s="50"/>
      <c r="S938" s="48"/>
      <c r="U938" s="49"/>
      <c r="V938" s="50"/>
      <c r="W938" s="48"/>
      <c r="Y938" s="49"/>
      <c r="Z938" s="50"/>
      <c r="AA938" s="48"/>
      <c r="AC938" s="49"/>
      <c r="AD938" s="50"/>
      <c r="AE938" s="48"/>
      <c r="AJ938" s="48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7"/>
      <c r="O939" s="48"/>
      <c r="Q939" s="49"/>
      <c r="R939" s="50"/>
      <c r="S939" s="48"/>
      <c r="U939" s="49"/>
      <c r="V939" s="50"/>
      <c r="W939" s="48"/>
      <c r="Y939" s="49"/>
      <c r="Z939" s="50"/>
      <c r="AA939" s="48"/>
      <c r="AC939" s="49"/>
      <c r="AD939" s="50"/>
      <c r="AE939" s="48"/>
      <c r="AJ939" s="48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7"/>
      <c r="O940" s="48"/>
      <c r="Q940" s="49"/>
      <c r="R940" s="50"/>
      <c r="S940" s="48"/>
      <c r="U940" s="49"/>
      <c r="V940" s="50"/>
      <c r="W940" s="48"/>
      <c r="Y940" s="49"/>
      <c r="Z940" s="50"/>
      <c r="AA940" s="48"/>
      <c r="AC940" s="49"/>
      <c r="AD940" s="50"/>
      <c r="AE940" s="48"/>
      <c r="AJ940" s="48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7"/>
      <c r="O941" s="48"/>
      <c r="Q941" s="49"/>
      <c r="R941" s="50"/>
      <c r="S941" s="48"/>
      <c r="U941" s="49"/>
      <c r="V941" s="50"/>
      <c r="W941" s="48"/>
      <c r="Y941" s="49"/>
      <c r="Z941" s="50"/>
      <c r="AA941" s="48"/>
      <c r="AC941" s="49"/>
      <c r="AD941" s="50"/>
      <c r="AE941" s="48"/>
      <c r="AJ941" s="48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7"/>
      <c r="O942" s="48"/>
      <c r="Q942" s="49"/>
      <c r="R942" s="50"/>
      <c r="S942" s="48"/>
      <c r="U942" s="49"/>
      <c r="V942" s="50"/>
      <c r="W942" s="48"/>
      <c r="Y942" s="49"/>
      <c r="Z942" s="50"/>
      <c r="AA942" s="48"/>
      <c r="AC942" s="49"/>
      <c r="AD942" s="50"/>
      <c r="AE942" s="48"/>
      <c r="AJ942" s="48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7"/>
      <c r="O943" s="48"/>
      <c r="Q943" s="49"/>
      <c r="R943" s="50"/>
      <c r="S943" s="48"/>
      <c r="U943" s="49"/>
      <c r="V943" s="50"/>
      <c r="W943" s="48"/>
      <c r="Y943" s="49"/>
      <c r="Z943" s="50"/>
      <c r="AA943" s="48"/>
      <c r="AC943" s="49"/>
      <c r="AD943" s="50"/>
      <c r="AE943" s="48"/>
      <c r="AJ943" s="48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7"/>
      <c r="O944" s="48"/>
      <c r="Q944" s="49"/>
      <c r="R944" s="50"/>
      <c r="S944" s="48"/>
      <c r="U944" s="49"/>
      <c r="V944" s="50"/>
      <c r="W944" s="48"/>
      <c r="Y944" s="49"/>
      <c r="Z944" s="50"/>
      <c r="AA944" s="48"/>
      <c r="AC944" s="49"/>
      <c r="AD944" s="50"/>
      <c r="AE944" s="48"/>
      <c r="AJ944" s="48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7"/>
      <c r="O945" s="48"/>
      <c r="Q945" s="49"/>
      <c r="R945" s="50"/>
      <c r="S945" s="48"/>
      <c r="U945" s="49"/>
      <c r="V945" s="50"/>
      <c r="W945" s="48"/>
      <c r="Y945" s="49"/>
      <c r="Z945" s="50"/>
      <c r="AA945" s="48"/>
      <c r="AC945" s="49"/>
      <c r="AD945" s="50"/>
      <c r="AE945" s="48"/>
      <c r="AJ945" s="48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7"/>
      <c r="O946" s="48"/>
      <c r="Q946" s="49"/>
      <c r="R946" s="50"/>
      <c r="S946" s="48"/>
      <c r="U946" s="49"/>
      <c r="V946" s="50"/>
      <c r="W946" s="48"/>
      <c r="Y946" s="49"/>
      <c r="Z946" s="50"/>
      <c r="AA946" s="48"/>
      <c r="AC946" s="49"/>
      <c r="AD946" s="50"/>
      <c r="AE946" s="48"/>
      <c r="AJ946" s="48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7"/>
      <c r="O947" s="48"/>
      <c r="Q947" s="49"/>
      <c r="R947" s="50"/>
      <c r="S947" s="48"/>
      <c r="U947" s="49"/>
      <c r="V947" s="50"/>
      <c r="W947" s="48"/>
      <c r="Y947" s="49"/>
      <c r="Z947" s="50"/>
      <c r="AA947" s="48"/>
      <c r="AC947" s="49"/>
      <c r="AD947" s="50"/>
      <c r="AE947" s="48"/>
      <c r="AJ947" s="48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7"/>
      <c r="O948" s="48"/>
      <c r="Q948" s="49"/>
      <c r="R948" s="50"/>
      <c r="S948" s="48"/>
      <c r="U948" s="49"/>
      <c r="V948" s="50"/>
      <c r="W948" s="48"/>
      <c r="Y948" s="49"/>
      <c r="Z948" s="50"/>
      <c r="AA948" s="48"/>
      <c r="AC948" s="49"/>
      <c r="AD948" s="50"/>
      <c r="AE948" s="48"/>
      <c r="AJ948" s="48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7"/>
      <c r="O949" s="48"/>
      <c r="Q949" s="49"/>
      <c r="R949" s="50"/>
      <c r="S949" s="48"/>
      <c r="U949" s="49"/>
      <c r="V949" s="50"/>
      <c r="W949" s="48"/>
      <c r="Y949" s="49"/>
      <c r="Z949" s="50"/>
      <c r="AA949" s="48"/>
      <c r="AC949" s="49"/>
      <c r="AD949" s="50"/>
      <c r="AE949" s="48"/>
      <c r="AJ949" s="48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7"/>
      <c r="O950" s="48"/>
      <c r="Q950" s="49"/>
      <c r="R950" s="50"/>
      <c r="S950" s="48"/>
      <c r="U950" s="49"/>
      <c r="V950" s="50"/>
      <c r="W950" s="48"/>
      <c r="Y950" s="49"/>
      <c r="Z950" s="50"/>
      <c r="AA950" s="48"/>
      <c r="AC950" s="49"/>
      <c r="AD950" s="50"/>
      <c r="AE950" s="48"/>
      <c r="AJ950" s="48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7"/>
      <c r="O951" s="48"/>
      <c r="Q951" s="49"/>
      <c r="R951" s="50"/>
      <c r="S951" s="48"/>
      <c r="U951" s="49"/>
      <c r="V951" s="50"/>
      <c r="W951" s="48"/>
      <c r="Y951" s="49"/>
      <c r="Z951" s="50"/>
      <c r="AA951" s="48"/>
      <c r="AC951" s="49"/>
      <c r="AD951" s="50"/>
      <c r="AE951" s="48"/>
      <c r="AJ951" s="48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7"/>
      <c r="O952" s="48"/>
      <c r="Q952" s="49"/>
      <c r="R952" s="50"/>
      <c r="S952" s="48"/>
      <c r="U952" s="49"/>
      <c r="V952" s="50"/>
      <c r="W952" s="48"/>
      <c r="Y952" s="49"/>
      <c r="Z952" s="50"/>
      <c r="AA952" s="48"/>
      <c r="AC952" s="49"/>
      <c r="AD952" s="50"/>
      <c r="AE952" s="48"/>
      <c r="AJ952" s="48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7"/>
      <c r="O953" s="48"/>
      <c r="Q953" s="49"/>
      <c r="R953" s="50"/>
      <c r="S953" s="48"/>
      <c r="U953" s="49"/>
      <c r="V953" s="50"/>
      <c r="W953" s="48"/>
      <c r="Y953" s="49"/>
      <c r="Z953" s="50"/>
      <c r="AA953" s="48"/>
      <c r="AC953" s="49"/>
      <c r="AD953" s="50"/>
      <c r="AE953" s="48"/>
      <c r="AJ953" s="48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7"/>
      <c r="O954" s="48"/>
      <c r="Q954" s="49"/>
      <c r="R954" s="50"/>
      <c r="S954" s="48"/>
      <c r="U954" s="49"/>
      <c r="V954" s="50"/>
      <c r="W954" s="48"/>
      <c r="Y954" s="49"/>
      <c r="Z954" s="50"/>
      <c r="AA954" s="48"/>
      <c r="AC954" s="49"/>
      <c r="AD954" s="50"/>
      <c r="AE954" s="48"/>
      <c r="AJ954" s="48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7"/>
      <c r="O955" s="48"/>
      <c r="Q955" s="49"/>
      <c r="R955" s="50"/>
      <c r="S955" s="48"/>
      <c r="U955" s="49"/>
      <c r="V955" s="50"/>
      <c r="W955" s="48"/>
      <c r="Y955" s="49"/>
      <c r="Z955" s="50"/>
      <c r="AA955" s="48"/>
      <c r="AC955" s="49"/>
      <c r="AD955" s="50"/>
      <c r="AE955" s="48"/>
      <c r="AJ955" s="48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7"/>
      <c r="O956" s="48"/>
      <c r="Q956" s="49"/>
      <c r="R956" s="50"/>
      <c r="S956" s="48"/>
      <c r="U956" s="49"/>
      <c r="V956" s="50"/>
      <c r="W956" s="48"/>
      <c r="Y956" s="49"/>
      <c r="Z956" s="50"/>
      <c r="AA956" s="48"/>
      <c r="AC956" s="49"/>
      <c r="AD956" s="50"/>
      <c r="AE956" s="48"/>
      <c r="AJ956" s="48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7"/>
      <c r="O957" s="48"/>
      <c r="Q957" s="49"/>
      <c r="R957" s="50"/>
      <c r="S957" s="48"/>
      <c r="U957" s="49"/>
      <c r="V957" s="50"/>
      <c r="W957" s="48"/>
      <c r="Y957" s="49"/>
      <c r="Z957" s="50"/>
      <c r="AA957" s="48"/>
      <c r="AC957" s="49"/>
      <c r="AD957" s="50"/>
      <c r="AE957" s="48"/>
      <c r="AJ957" s="48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7"/>
      <c r="O958" s="48"/>
      <c r="Q958" s="49"/>
      <c r="R958" s="50"/>
      <c r="S958" s="48"/>
      <c r="U958" s="49"/>
      <c r="V958" s="50"/>
      <c r="W958" s="48"/>
      <c r="Y958" s="49"/>
      <c r="Z958" s="50"/>
      <c r="AA958" s="48"/>
      <c r="AC958" s="49"/>
      <c r="AD958" s="50"/>
      <c r="AE958" s="48"/>
      <c r="AJ958" s="48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7"/>
      <c r="O959" s="48"/>
      <c r="Q959" s="49"/>
      <c r="R959" s="50"/>
      <c r="S959" s="48"/>
      <c r="U959" s="49"/>
      <c r="V959" s="50"/>
      <c r="W959" s="48"/>
      <c r="Y959" s="49"/>
      <c r="Z959" s="50"/>
      <c r="AA959" s="48"/>
      <c r="AC959" s="49"/>
      <c r="AD959" s="50"/>
      <c r="AE959" s="48"/>
      <c r="AJ959" s="48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7"/>
      <c r="O960" s="48"/>
      <c r="Q960" s="49"/>
      <c r="R960" s="50"/>
      <c r="S960" s="48"/>
      <c r="U960" s="49"/>
      <c r="V960" s="50"/>
      <c r="W960" s="48"/>
      <c r="Y960" s="49"/>
      <c r="Z960" s="50"/>
      <c r="AA960" s="48"/>
      <c r="AC960" s="49"/>
      <c r="AD960" s="50"/>
      <c r="AE960" s="48"/>
      <c r="AJ960" s="48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7"/>
      <c r="O961" s="48"/>
      <c r="Q961" s="49"/>
      <c r="R961" s="50"/>
      <c r="S961" s="48"/>
      <c r="U961" s="49"/>
      <c r="V961" s="50"/>
      <c r="W961" s="48"/>
      <c r="Y961" s="49"/>
      <c r="Z961" s="50"/>
      <c r="AA961" s="48"/>
      <c r="AC961" s="49"/>
      <c r="AD961" s="50"/>
      <c r="AE961" s="48"/>
      <c r="AJ961" s="48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7"/>
      <c r="O962" s="48"/>
      <c r="Q962" s="49"/>
      <c r="R962" s="50"/>
      <c r="S962" s="48"/>
      <c r="U962" s="49"/>
      <c r="V962" s="50"/>
      <c r="W962" s="48"/>
      <c r="Y962" s="49"/>
      <c r="Z962" s="50"/>
      <c r="AA962" s="48"/>
      <c r="AC962" s="49"/>
      <c r="AD962" s="50"/>
      <c r="AE962" s="48"/>
      <c r="AJ962" s="48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7"/>
      <c r="O963" s="48"/>
      <c r="Q963" s="49"/>
      <c r="R963" s="50"/>
      <c r="S963" s="48"/>
      <c r="U963" s="49"/>
      <c r="V963" s="50"/>
      <c r="W963" s="48"/>
      <c r="Y963" s="49"/>
      <c r="Z963" s="50"/>
      <c r="AA963" s="48"/>
      <c r="AC963" s="49"/>
      <c r="AD963" s="50"/>
      <c r="AE963" s="48"/>
      <c r="AJ963" s="48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7"/>
      <c r="O964" s="48"/>
      <c r="Q964" s="49"/>
      <c r="R964" s="50"/>
      <c r="S964" s="48"/>
      <c r="U964" s="49"/>
      <c r="V964" s="50"/>
      <c r="W964" s="48"/>
      <c r="Y964" s="49"/>
      <c r="Z964" s="50"/>
      <c r="AA964" s="48"/>
      <c r="AC964" s="49"/>
      <c r="AD964" s="50"/>
      <c r="AE964" s="48"/>
      <c r="AJ964" s="48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7"/>
      <c r="O965" s="48"/>
      <c r="Q965" s="49"/>
      <c r="R965" s="50"/>
      <c r="S965" s="48"/>
      <c r="U965" s="49"/>
      <c r="V965" s="50"/>
      <c r="W965" s="48"/>
      <c r="Y965" s="49"/>
      <c r="Z965" s="50"/>
      <c r="AA965" s="48"/>
      <c r="AC965" s="49"/>
      <c r="AD965" s="50"/>
      <c r="AE965" s="48"/>
      <c r="AJ965" s="48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7"/>
      <c r="O966" s="48"/>
      <c r="Q966" s="49"/>
      <c r="R966" s="50"/>
      <c r="S966" s="48"/>
      <c r="U966" s="49"/>
      <c r="V966" s="50"/>
      <c r="W966" s="48"/>
      <c r="Y966" s="49"/>
      <c r="Z966" s="50"/>
      <c r="AA966" s="48"/>
      <c r="AC966" s="49"/>
      <c r="AD966" s="50"/>
      <c r="AE966" s="48"/>
      <c r="AJ966" s="48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7"/>
      <c r="O967" s="48"/>
      <c r="Q967" s="49"/>
      <c r="R967" s="50"/>
      <c r="S967" s="48"/>
      <c r="U967" s="49"/>
      <c r="V967" s="50"/>
      <c r="W967" s="48"/>
      <c r="Y967" s="49"/>
      <c r="Z967" s="50"/>
      <c r="AA967" s="48"/>
      <c r="AC967" s="49"/>
      <c r="AD967" s="50"/>
      <c r="AE967" s="48"/>
      <c r="AJ967" s="48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7"/>
      <c r="O968" s="48"/>
      <c r="Q968" s="49"/>
      <c r="R968" s="50"/>
      <c r="S968" s="48"/>
      <c r="U968" s="49"/>
      <c r="V968" s="50"/>
      <c r="W968" s="48"/>
      <c r="Y968" s="49"/>
      <c r="Z968" s="50"/>
      <c r="AA968" s="48"/>
      <c r="AC968" s="49"/>
      <c r="AD968" s="50"/>
      <c r="AE968" s="48"/>
      <c r="AJ968" s="48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7"/>
      <c r="O969" s="48"/>
      <c r="Q969" s="49"/>
      <c r="R969" s="50"/>
      <c r="S969" s="48"/>
      <c r="U969" s="49"/>
      <c r="V969" s="50"/>
      <c r="W969" s="48"/>
      <c r="Y969" s="49"/>
      <c r="Z969" s="50"/>
      <c r="AA969" s="48"/>
      <c r="AC969" s="49"/>
      <c r="AD969" s="50"/>
      <c r="AE969" s="48"/>
      <c r="AJ969" s="48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7"/>
      <c r="O970" s="48"/>
      <c r="Q970" s="49"/>
      <c r="R970" s="50"/>
      <c r="S970" s="48"/>
      <c r="U970" s="49"/>
      <c r="V970" s="50"/>
      <c r="W970" s="48"/>
      <c r="Y970" s="49"/>
      <c r="Z970" s="50"/>
      <c r="AA970" s="48"/>
      <c r="AC970" s="49"/>
      <c r="AD970" s="50"/>
      <c r="AE970" s="48"/>
      <c r="AJ970" s="48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7"/>
      <c r="O971" s="48"/>
      <c r="Q971" s="49"/>
      <c r="R971" s="50"/>
      <c r="S971" s="48"/>
      <c r="U971" s="49"/>
      <c r="V971" s="50"/>
      <c r="W971" s="48"/>
      <c r="Y971" s="49"/>
      <c r="Z971" s="50"/>
      <c r="AA971" s="48"/>
      <c r="AC971" s="49"/>
      <c r="AD971" s="50"/>
      <c r="AE971" s="48"/>
      <c r="AJ971" s="48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7"/>
      <c r="O972" s="48"/>
      <c r="Q972" s="49"/>
      <c r="R972" s="50"/>
      <c r="S972" s="48"/>
      <c r="U972" s="49"/>
      <c r="V972" s="50"/>
      <c r="W972" s="48"/>
      <c r="Y972" s="49"/>
      <c r="Z972" s="50"/>
      <c r="AA972" s="48"/>
      <c r="AC972" s="49"/>
      <c r="AD972" s="50"/>
      <c r="AE972" s="48"/>
      <c r="AJ972" s="48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7"/>
      <c r="O973" s="48"/>
      <c r="Q973" s="49"/>
      <c r="R973" s="50"/>
      <c r="S973" s="48"/>
      <c r="U973" s="49"/>
      <c r="V973" s="50"/>
      <c r="W973" s="48"/>
      <c r="Y973" s="49"/>
      <c r="Z973" s="50"/>
      <c r="AA973" s="48"/>
      <c r="AC973" s="49"/>
      <c r="AD973" s="50"/>
      <c r="AE973" s="48"/>
      <c r="AJ973" s="48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7"/>
      <c r="O974" s="48"/>
      <c r="Q974" s="49"/>
      <c r="R974" s="50"/>
      <c r="S974" s="48"/>
      <c r="U974" s="49"/>
      <c r="V974" s="50"/>
      <c r="W974" s="48"/>
      <c r="Y974" s="49"/>
      <c r="Z974" s="50"/>
      <c r="AA974" s="48"/>
      <c r="AC974" s="49"/>
      <c r="AD974" s="50"/>
      <c r="AE974" s="48"/>
      <c r="AJ974" s="48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7"/>
      <c r="O975" s="48"/>
      <c r="Q975" s="49"/>
      <c r="R975" s="50"/>
      <c r="S975" s="48"/>
      <c r="U975" s="49"/>
      <c r="V975" s="50"/>
      <c r="W975" s="48"/>
      <c r="Y975" s="49"/>
      <c r="Z975" s="50"/>
      <c r="AA975" s="48"/>
      <c r="AC975" s="49"/>
      <c r="AD975" s="50"/>
      <c r="AE975" s="48"/>
      <c r="AJ975" s="48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7"/>
      <c r="O976" s="48"/>
      <c r="Q976" s="49"/>
      <c r="R976" s="50"/>
      <c r="S976" s="48"/>
      <c r="U976" s="49"/>
      <c r="V976" s="50"/>
      <c r="W976" s="48"/>
      <c r="Y976" s="49"/>
      <c r="Z976" s="50"/>
      <c r="AA976" s="48"/>
      <c r="AC976" s="49"/>
      <c r="AD976" s="50"/>
      <c r="AE976" s="48"/>
      <c r="AJ976" s="48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7"/>
      <c r="O977" s="48"/>
      <c r="Q977" s="49"/>
      <c r="R977" s="50"/>
      <c r="S977" s="48"/>
      <c r="U977" s="49"/>
      <c r="V977" s="50"/>
      <c r="W977" s="48"/>
      <c r="Y977" s="49"/>
      <c r="Z977" s="50"/>
      <c r="AA977" s="48"/>
      <c r="AC977" s="49"/>
      <c r="AD977" s="50"/>
      <c r="AE977" s="48"/>
      <c r="AJ977" s="48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7"/>
      <c r="O978" s="48"/>
      <c r="Q978" s="49"/>
      <c r="R978" s="50"/>
      <c r="S978" s="48"/>
      <c r="U978" s="49"/>
      <c r="V978" s="50"/>
      <c r="W978" s="48"/>
      <c r="Y978" s="49"/>
      <c r="Z978" s="50"/>
      <c r="AA978" s="48"/>
      <c r="AC978" s="49"/>
      <c r="AD978" s="50"/>
      <c r="AE978" s="48"/>
      <c r="AJ978" s="48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7"/>
      <c r="O979" s="48"/>
      <c r="Q979" s="49"/>
      <c r="R979" s="50"/>
      <c r="S979" s="48"/>
      <c r="U979" s="49"/>
      <c r="V979" s="50"/>
      <c r="W979" s="48"/>
      <c r="Y979" s="49"/>
      <c r="Z979" s="50"/>
      <c r="AA979" s="48"/>
      <c r="AC979" s="49"/>
      <c r="AD979" s="50"/>
      <c r="AE979" s="48"/>
      <c r="AJ979" s="48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7"/>
      <c r="O980" s="48"/>
      <c r="Q980" s="49"/>
      <c r="R980" s="50"/>
      <c r="S980" s="48"/>
      <c r="U980" s="49"/>
      <c r="V980" s="50"/>
      <c r="W980" s="48"/>
      <c r="Y980" s="49"/>
      <c r="Z980" s="50"/>
      <c r="AA980" s="48"/>
      <c r="AC980" s="49"/>
      <c r="AD980" s="50"/>
      <c r="AE980" s="48"/>
      <c r="AJ980" s="48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7"/>
      <c r="O981" s="48"/>
      <c r="Q981" s="49"/>
      <c r="R981" s="50"/>
      <c r="S981" s="48"/>
      <c r="U981" s="49"/>
      <c r="V981" s="50"/>
      <c r="W981" s="48"/>
      <c r="Y981" s="49"/>
      <c r="Z981" s="50"/>
      <c r="AA981" s="48"/>
      <c r="AC981" s="49"/>
      <c r="AD981" s="50"/>
      <c r="AE981" s="48"/>
      <c r="AJ981" s="48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7"/>
      <c r="O982" s="48"/>
      <c r="Q982" s="49"/>
      <c r="R982" s="50"/>
      <c r="S982" s="48"/>
      <c r="U982" s="49"/>
      <c r="V982" s="50"/>
      <c r="W982" s="48"/>
      <c r="Y982" s="49"/>
      <c r="Z982" s="50"/>
      <c r="AA982" s="48"/>
      <c r="AC982" s="49"/>
      <c r="AD982" s="50"/>
      <c r="AE982" s="48"/>
      <c r="AJ982" s="48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7"/>
      <c r="O983" s="48"/>
      <c r="Q983" s="49"/>
      <c r="R983" s="50"/>
      <c r="S983" s="48"/>
      <c r="U983" s="49"/>
      <c r="V983" s="50"/>
      <c r="W983" s="48"/>
      <c r="Y983" s="49"/>
      <c r="Z983" s="50"/>
      <c r="AA983" s="48"/>
      <c r="AC983" s="49"/>
      <c r="AD983" s="50"/>
      <c r="AE983" s="48"/>
      <c r="AJ983" s="48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7"/>
      <c r="O984" s="48"/>
      <c r="Q984" s="49"/>
      <c r="R984" s="50"/>
      <c r="S984" s="48"/>
      <c r="U984" s="49"/>
      <c r="V984" s="50"/>
      <c r="W984" s="48"/>
      <c r="Y984" s="49"/>
      <c r="Z984" s="50"/>
      <c r="AA984" s="48"/>
      <c r="AC984" s="49"/>
      <c r="AD984" s="50"/>
      <c r="AE984" s="48"/>
      <c r="AJ984" s="48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7"/>
      <c r="O985" s="48"/>
      <c r="Q985" s="49"/>
      <c r="R985" s="50"/>
      <c r="S985" s="48"/>
      <c r="U985" s="49"/>
      <c r="V985" s="50"/>
      <c r="W985" s="48"/>
      <c r="Y985" s="49"/>
      <c r="Z985" s="50"/>
      <c r="AA985" s="48"/>
      <c r="AC985" s="49"/>
      <c r="AD985" s="50"/>
      <c r="AE985" s="48"/>
      <c r="AJ985" s="48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7"/>
      <c r="O986" s="48"/>
      <c r="Q986" s="49"/>
      <c r="R986" s="50"/>
      <c r="S986" s="48"/>
      <c r="U986" s="49"/>
      <c r="V986" s="50"/>
      <c r="W986" s="48"/>
      <c r="Y986" s="49"/>
      <c r="Z986" s="50"/>
      <c r="AA986" s="48"/>
      <c r="AC986" s="49"/>
      <c r="AD986" s="50"/>
      <c r="AE986" s="48"/>
      <c r="AJ986" s="48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7"/>
      <c r="O987" s="48"/>
      <c r="Q987" s="49"/>
      <c r="R987" s="50"/>
      <c r="S987" s="48"/>
      <c r="U987" s="49"/>
      <c r="V987" s="50"/>
      <c r="W987" s="48"/>
      <c r="Y987" s="49"/>
      <c r="Z987" s="50"/>
      <c r="AA987" s="48"/>
      <c r="AC987" s="49"/>
      <c r="AD987" s="50"/>
      <c r="AE987" s="48"/>
      <c r="AJ987" s="48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7"/>
      <c r="O988" s="48"/>
      <c r="Q988" s="49"/>
      <c r="R988" s="50"/>
      <c r="S988" s="48"/>
      <c r="U988" s="49"/>
      <c r="V988" s="50"/>
      <c r="W988" s="48"/>
      <c r="Y988" s="49"/>
      <c r="Z988" s="50"/>
      <c r="AA988" s="48"/>
      <c r="AC988" s="49"/>
      <c r="AD988" s="50"/>
      <c r="AE988" s="48"/>
      <c r="AJ988" s="48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7"/>
      <c r="O989" s="48"/>
      <c r="Q989" s="49"/>
      <c r="R989" s="50"/>
      <c r="S989" s="48"/>
      <c r="U989" s="49"/>
      <c r="V989" s="50"/>
      <c r="W989" s="48"/>
      <c r="Y989" s="49"/>
      <c r="Z989" s="50"/>
      <c r="AA989" s="48"/>
      <c r="AC989" s="49"/>
      <c r="AD989" s="50"/>
      <c r="AE989" s="48"/>
      <c r="AJ989" s="48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7"/>
      <c r="O990" s="48"/>
      <c r="Q990" s="49"/>
      <c r="R990" s="50"/>
      <c r="S990" s="48"/>
      <c r="U990" s="49"/>
      <c r="V990" s="50"/>
      <c r="W990" s="48"/>
      <c r="Y990" s="49"/>
      <c r="Z990" s="50"/>
      <c r="AA990" s="48"/>
      <c r="AC990" s="49"/>
      <c r="AD990" s="50"/>
      <c r="AE990" s="48"/>
      <c r="AJ990" s="48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7"/>
      <c r="O991" s="48"/>
      <c r="Q991" s="49"/>
      <c r="R991" s="50"/>
      <c r="S991" s="48"/>
      <c r="U991" s="49"/>
      <c r="V991" s="50"/>
      <c r="W991" s="48"/>
      <c r="Y991" s="49"/>
      <c r="Z991" s="50"/>
      <c r="AA991" s="48"/>
      <c r="AC991" s="49"/>
      <c r="AD991" s="50"/>
      <c r="AE991" s="48"/>
      <c r="AJ991" s="48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7"/>
      <c r="O992" s="48"/>
      <c r="Q992" s="49"/>
      <c r="R992" s="50"/>
      <c r="S992" s="48"/>
      <c r="U992" s="49"/>
      <c r="V992" s="50"/>
      <c r="W992" s="48"/>
      <c r="Y992" s="49"/>
      <c r="Z992" s="50"/>
      <c r="AA992" s="48"/>
      <c r="AC992" s="49"/>
      <c r="AD992" s="50"/>
      <c r="AE992" s="48"/>
      <c r="AJ992" s="48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7"/>
      <c r="O993" s="48"/>
      <c r="Q993" s="49"/>
      <c r="R993" s="50"/>
      <c r="S993" s="48"/>
      <c r="U993" s="49"/>
      <c r="V993" s="50"/>
      <c r="W993" s="48"/>
      <c r="Y993" s="49"/>
      <c r="Z993" s="50"/>
      <c r="AA993" s="48"/>
      <c r="AC993" s="49"/>
      <c r="AD993" s="50"/>
      <c r="AE993" s="48"/>
      <c r="AJ993" s="48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7"/>
      <c r="O994" s="48"/>
      <c r="Q994" s="49"/>
      <c r="R994" s="50"/>
      <c r="S994" s="48"/>
      <c r="U994" s="49"/>
      <c r="V994" s="50"/>
      <c r="W994" s="48"/>
      <c r="Y994" s="49"/>
      <c r="Z994" s="50"/>
      <c r="AA994" s="48"/>
      <c r="AC994" s="49"/>
      <c r="AD994" s="50"/>
      <c r="AE994" s="48"/>
      <c r="AJ994" s="48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7"/>
      <c r="O995" s="48"/>
      <c r="Q995" s="49"/>
      <c r="R995" s="50"/>
      <c r="S995" s="48"/>
      <c r="U995" s="49"/>
      <c r="V995" s="50"/>
      <c r="W995" s="48"/>
      <c r="Y995" s="49"/>
      <c r="Z995" s="50"/>
      <c r="AA995" s="48"/>
      <c r="AC995" s="49"/>
      <c r="AD995" s="50"/>
      <c r="AE995" s="48"/>
      <c r="AJ995" s="48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7"/>
      <c r="O996" s="48"/>
      <c r="Q996" s="49"/>
      <c r="R996" s="50"/>
      <c r="S996" s="48"/>
      <c r="U996" s="49"/>
      <c r="V996" s="50"/>
      <c r="W996" s="48"/>
      <c r="Y996" s="49"/>
      <c r="Z996" s="50"/>
      <c r="AA996" s="48"/>
      <c r="AC996" s="49"/>
      <c r="AD996" s="50"/>
      <c r="AE996" s="48"/>
      <c r="AJ996" s="48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7"/>
      <c r="O997" s="48"/>
      <c r="Q997" s="49"/>
      <c r="R997" s="50"/>
      <c r="S997" s="48"/>
      <c r="U997" s="49"/>
      <c r="V997" s="50"/>
      <c r="W997" s="48"/>
      <c r="Y997" s="49"/>
      <c r="Z997" s="50"/>
      <c r="AA997" s="48"/>
      <c r="AC997" s="49"/>
      <c r="AD997" s="50"/>
      <c r="AE997" s="48"/>
      <c r="AJ997" s="48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7"/>
      <c r="O998" s="48"/>
      <c r="Q998" s="49"/>
      <c r="R998" s="50"/>
      <c r="S998" s="48"/>
      <c r="U998" s="49"/>
      <c r="V998" s="50"/>
      <c r="W998" s="48"/>
      <c r="Y998" s="49"/>
      <c r="Z998" s="50"/>
      <c r="AA998" s="48"/>
      <c r="AC998" s="49"/>
      <c r="AD998" s="50"/>
      <c r="AE998" s="48"/>
      <c r="AJ998" s="48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7"/>
      <c r="O999" s="48"/>
      <c r="Q999" s="49"/>
      <c r="R999" s="50"/>
      <c r="S999" s="48"/>
      <c r="U999" s="49"/>
      <c r="V999" s="50"/>
      <c r="W999" s="48"/>
      <c r="Y999" s="49"/>
      <c r="Z999" s="50"/>
      <c r="AA999" s="48"/>
      <c r="AC999" s="49"/>
      <c r="AD999" s="50"/>
      <c r="AE999" s="48"/>
      <c r="AJ999" s="48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7"/>
      <c r="O1000" s="48"/>
      <c r="Q1000" s="49"/>
      <c r="R1000" s="50"/>
      <c r="S1000" s="48"/>
      <c r="U1000" s="49"/>
      <c r="V1000" s="50"/>
      <c r="W1000" s="48"/>
      <c r="Y1000" s="49"/>
      <c r="Z1000" s="50"/>
      <c r="AA1000" s="48"/>
      <c r="AC1000" s="49"/>
      <c r="AD1000" s="50"/>
      <c r="AE1000" s="48"/>
      <c r="AJ1000" s="48"/>
    </row>
    <row r="1001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7"/>
      <c r="O1001" s="48"/>
      <c r="Q1001" s="49"/>
      <c r="R1001" s="50"/>
      <c r="S1001" s="48"/>
      <c r="U1001" s="49"/>
      <c r="V1001" s="50"/>
      <c r="W1001" s="48"/>
      <c r="Y1001" s="49"/>
      <c r="Z1001" s="50"/>
      <c r="AA1001" s="48"/>
      <c r="AC1001" s="49"/>
      <c r="AD1001" s="50"/>
      <c r="AE1001" s="48"/>
      <c r="AJ1001" s="48"/>
    </row>
  </sheetData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7.5"/>
    <col customWidth="1" min="3" max="3" width="18.63"/>
    <col customWidth="1" min="5" max="5" width="26.75"/>
    <col customWidth="1" min="6" max="6" width="17.13"/>
    <col customWidth="1" min="7" max="7" width="20.13"/>
  </cols>
  <sheetData>
    <row r="1">
      <c r="A1" s="52" t="s">
        <v>198</v>
      </c>
      <c r="B1" s="53">
        <f>MAX(Principal!N:N)</f>
        <v>4762926995</v>
      </c>
      <c r="C1" s="54" t="str">
        <f>VLOOKUP(B1,Principal!N:AG,20,0)</f>
        <v>Vale</v>
      </c>
      <c r="E1" s="55" t="s">
        <v>34</v>
      </c>
      <c r="F1" s="56" t="s">
        <v>199</v>
      </c>
      <c r="G1" s="55" t="s">
        <v>200</v>
      </c>
    </row>
    <row r="2">
      <c r="A2" s="52" t="s">
        <v>201</v>
      </c>
      <c r="B2" s="57">
        <f>Min(Principal!N:N)</f>
        <v>-1807432634</v>
      </c>
      <c r="C2" s="58" t="str">
        <f>VLOOKUP(B2,Principal!N:AG,20,0)</f>
        <v>Localiza</v>
      </c>
      <c r="E2" s="59" t="str">
        <f>IFERROR(__xludf.DUMMYFUNCTION("UNIQUE(Principal!AH3:AH83)"),"Siderurgia")</f>
        <v>Siderurgia</v>
      </c>
      <c r="F2" s="57">
        <f>SUMIF(Principal!AH:AH,E2,Principal!N:N)</f>
        <v>489935930.9</v>
      </c>
      <c r="G2" s="60">
        <f>SUMIFS(Principal!N:N,Principal!AH:AH,E2,Principal!O:O,"Subiu")</f>
        <v>489935930.9</v>
      </c>
    </row>
    <row r="3">
      <c r="A3" s="52" t="s">
        <v>202</v>
      </c>
      <c r="B3" s="57">
        <f>AVERAGE(Principal!N:N)</f>
        <v>165190210.5</v>
      </c>
      <c r="C3" s="58"/>
      <c r="E3" s="59" t="str">
        <f>IFERROR(__xludf.DUMMYFUNCTION("""COMPUTED_VALUE"""),"Mineração")</f>
        <v>Mineração</v>
      </c>
      <c r="F3" s="57">
        <f>SUMIF(Principal!AH:AH,E3,Principal!N:N)</f>
        <v>4940442966</v>
      </c>
      <c r="G3" s="60">
        <f>SUMIFS(Principal!N:N,Principal!AH:AH,E3,Principal!O:O,"Subiu")</f>
        <v>4940442966</v>
      </c>
    </row>
    <row r="4">
      <c r="A4" s="52" t="s">
        <v>203</v>
      </c>
      <c r="B4" s="57">
        <f>AVERAGEIF(Principal!O:O,"Subiu",Principal!N:N)</f>
        <v>448164250.2</v>
      </c>
      <c r="C4" s="58"/>
      <c r="E4" s="59" t="str">
        <f>IFERROR(__xludf.DUMMYFUNCTION("""COMPUTED_VALUE"""),"Petróleo e Gás")</f>
        <v>Petróleo e Gás</v>
      </c>
      <c r="F4" s="57">
        <f>SUMIF(Principal!AH:AH,E4,Principal!N:N)</f>
        <v>6093288832</v>
      </c>
      <c r="G4" s="60">
        <f>SUMIFS(Principal!N:N,Principal!AH:AH,E4,Principal!O:O,"Subiu")</f>
        <v>6093288832</v>
      </c>
    </row>
    <row r="5">
      <c r="A5" s="52" t="s">
        <v>204</v>
      </c>
      <c r="B5" s="61">
        <f>AVERAGEIF(Principal!O:O,"Desceu",Principal!N:N)</f>
        <v>-181109141.8</v>
      </c>
      <c r="C5" s="62"/>
      <c r="E5" s="59" t="str">
        <f>IFERROR(__xludf.DUMMYFUNCTION("""COMPUTED_VALUE"""),"Papel e Celulose")</f>
        <v>Papel e Celulose</v>
      </c>
      <c r="F5" s="57">
        <f>SUMIF(Principal!AH:AH,E5,Principal!N:N)</f>
        <v>722946282.7</v>
      </c>
      <c r="G5" s="60">
        <f>SUMIFS(Principal!N:N,Principal!AH:AH,E5,Principal!O:O,"Subiu")</f>
        <v>722946282.7</v>
      </c>
    </row>
    <row r="6">
      <c r="B6" s="57"/>
      <c r="E6" s="59" t="str">
        <f>IFERROR(__xludf.DUMMYFUNCTION("""COMPUTED_VALUE"""),"Energia")</f>
        <v>Energia</v>
      </c>
      <c r="F6" s="57">
        <f>SUMIF(Principal!AH:AH,E6,Principal!N:N)</f>
        <v>5568175.596</v>
      </c>
      <c r="G6" s="60">
        <f>SUMIFS(Principal!N:N,Principal!AH:AH,E6,Principal!O:O,"Subiu")</f>
        <v>682315640</v>
      </c>
    </row>
    <row r="7">
      <c r="B7" s="57"/>
      <c r="E7" s="59" t="str">
        <f>IFERROR(__xludf.DUMMYFUNCTION("""COMPUTED_VALUE"""),"Imobiliário (Shoppings)")</f>
        <v>Imobiliário (Shoppings)</v>
      </c>
      <c r="F7" s="57">
        <f>SUMIF(Principal!AH:AH,E7,Principal!N:N)</f>
        <v>80913127.74</v>
      </c>
      <c r="G7" s="60">
        <f>SUMIFS(Principal!N:N,Principal!AH:AH,E7,Principal!O:O,"Subiu")</f>
        <v>117732680.1</v>
      </c>
    </row>
    <row r="8">
      <c r="B8" s="57"/>
      <c r="E8" s="59" t="str">
        <f>IFERROR(__xludf.DUMMYFUNCTION("""COMPUTED_VALUE"""),"Bancário")</f>
        <v>Bancário</v>
      </c>
      <c r="F8" s="57">
        <f>SUMIF(Principal!AH:AH,E8,Principal!N:N)</f>
        <v>3740512019</v>
      </c>
      <c r="G8" s="60">
        <f>SUMIFS(Principal!N:N,Principal!AH:AH,E8,Principal!O:O,"Subiu")</f>
        <v>3740512019</v>
      </c>
    </row>
    <row r="9">
      <c r="E9" s="59" t="str">
        <f>IFERROR(__xludf.DUMMYFUNCTION("""COMPUTED_VALUE"""),"Saúde (Hospitais)")</f>
        <v>Saúde (Hospitais)</v>
      </c>
      <c r="F9" s="57">
        <f>SUMIF(Principal!AH:AH,E9,Principal!N:N)</f>
        <v>103272517.1</v>
      </c>
      <c r="G9" s="60">
        <f>SUMIFS(Principal!N:N,Principal!AH:AH,E9,Principal!O:O,"Subiu")</f>
        <v>453917907</v>
      </c>
    </row>
    <row r="10">
      <c r="A10" s="63" t="s">
        <v>19</v>
      </c>
      <c r="B10" s="64" t="s">
        <v>205</v>
      </c>
      <c r="E10" s="59" t="str">
        <f>IFERROR(__xludf.DUMMYFUNCTION("""COMPUTED_VALUE"""),"Petroquímica")</f>
        <v>Petroquímica</v>
      </c>
      <c r="F10" s="57">
        <f>SUMIF(Principal!AH:AH,E10,Principal!N:N)</f>
        <v>69054317.64</v>
      </c>
      <c r="G10" s="60">
        <f>SUMIFS(Principal!N:N,Principal!AH:AH,E10,Principal!O:O,"Subiu")</f>
        <v>69054317.64</v>
      </c>
    </row>
    <row r="11">
      <c r="A11" s="59" t="str">
        <f>IFERROR(__xludf.DUMMYFUNCTION("UNIQUE(Principal!O3:O83)"),"Subiu")</f>
        <v>Subiu</v>
      </c>
      <c r="B11" s="65">
        <f>SUMIF(Principal!O:O,A11,Principal!N:N)</f>
        <v>19719227010</v>
      </c>
      <c r="E11" s="59" t="str">
        <f>IFERROR(__xludf.DUMMYFUNCTION("""COMPUTED_VALUE"""),"Aéreo")</f>
        <v>Aéreo</v>
      </c>
      <c r="F11" s="57">
        <f>SUMIF(Principal!AH:AH,E11,Principal!N:N)</f>
        <v>-37540997.06</v>
      </c>
      <c r="G11" s="60">
        <f>SUMIFS(Principal!N:N,Principal!AH:AH,E11,Principal!O:O,"Subiu")</f>
        <v>65452205.55</v>
      </c>
    </row>
    <row r="12">
      <c r="A12" s="59" t="str">
        <f>IFERROR(__xludf.DUMMYFUNCTION("""COMPUTED_VALUE"""),"Estável")</f>
        <v>Estável</v>
      </c>
      <c r="B12" s="65">
        <f>SUMIF(Principal!O:O,A12,Principal!N:N)</f>
        <v>0</v>
      </c>
      <c r="E12" s="59" t="str">
        <f>IFERROR(__xludf.DUMMYFUNCTION("""COMPUTED_VALUE"""),"Educação")</f>
        <v>Educação</v>
      </c>
      <c r="F12" s="57">
        <f>SUMIF(Principal!AH:AH,E12,Principal!N:N)</f>
        <v>54641872.47</v>
      </c>
      <c r="G12" s="60">
        <f>SUMIFS(Principal!N:N,Principal!AH:AH,E12,Principal!O:O,"Subiu")</f>
        <v>72295838.99</v>
      </c>
    </row>
    <row r="13">
      <c r="A13" s="59" t="str">
        <f>IFERROR(__xludf.DUMMYFUNCTION("""COMPUTED_VALUE"""),"Desceu")</f>
        <v>Desceu</v>
      </c>
      <c r="B13" s="65">
        <f>SUMIF(Principal!O:O,A13,Principal!N:N)</f>
        <v>-6338819961</v>
      </c>
      <c r="E13" s="59" t="str">
        <f>IFERROR(__xludf.DUMMYFUNCTION("""COMPUTED_VALUE"""),"Distribuição de Combustíveis")</f>
        <v>Distribuição de Combustíveis</v>
      </c>
      <c r="F13" s="57">
        <f>SUMIF(Principal!AH:AH,E13,Principal!N:N)</f>
        <v>388705224</v>
      </c>
      <c r="G13" s="60">
        <f>SUMIFS(Principal!N:N,Principal!AH:AH,E13,Principal!O:O,"Subiu")</f>
        <v>388705224</v>
      </c>
    </row>
    <row r="14">
      <c r="A14" s="66" t="s">
        <v>206</v>
      </c>
      <c r="B14" s="67">
        <f>B11+B13</f>
        <v>13380407049</v>
      </c>
      <c r="E14" s="59" t="str">
        <f>IFERROR(__xludf.DUMMYFUNCTION("""COMPUTED_VALUE"""),"Construção Civil")</f>
        <v>Construção Civil</v>
      </c>
      <c r="F14" s="57">
        <f>SUMIF(Principal!AH:AH,E14,Principal!N:N)</f>
        <v>-61087401.61</v>
      </c>
      <c r="G14" s="60">
        <f>SUMIFS(Principal!N:N,Principal!AH:AH,E14,Principal!O:O,"Subiu")</f>
        <v>37525872.38</v>
      </c>
    </row>
    <row r="15">
      <c r="E15" s="59" t="str">
        <f>IFERROR(__xludf.DUMMYFUNCTION("""COMPUTED_VALUE"""),"Calçados e Acessórios")</f>
        <v>Calçados e Acessórios</v>
      </c>
      <c r="F15" s="57">
        <f>SUMIF(Principal!AH:AH,E15,Principal!N:N)</f>
        <v>41021792.09</v>
      </c>
      <c r="G15" s="60">
        <f>SUMIFS(Principal!N:N,Principal!AH:AH,E15,Principal!O:O,"Subiu")</f>
        <v>41021792.09</v>
      </c>
    </row>
    <row r="16">
      <c r="B16" s="57"/>
      <c r="E16" s="59" t="str">
        <f>IFERROR(__xludf.DUMMYFUNCTION("""COMPUTED_VALUE"""),"Alimentos (Carnes)")</f>
        <v>Alimentos (Carnes)</v>
      </c>
      <c r="F16" s="57">
        <f>SUMIF(Principal!AH:AH,E16,Principal!N:N)</f>
        <v>174787913.5</v>
      </c>
      <c r="G16" s="60">
        <f>SUMIFS(Principal!N:N,Principal!AH:AH,E16,Principal!O:O,"Subiu")</f>
        <v>174787913.5</v>
      </c>
    </row>
    <row r="17">
      <c r="B17" s="57"/>
      <c r="E17" s="59" t="str">
        <f>IFERROR(__xludf.DUMMYFUNCTION("""COMPUTED_VALUE"""),"Varejo")</f>
        <v>Varejo</v>
      </c>
      <c r="F17" s="57">
        <f>SUMIF(Principal!AH:AH,E17,Principal!N:N)</f>
        <v>-129611235.9</v>
      </c>
      <c r="G17" s="60">
        <f>SUMIFS(Principal!N:N,Principal!AH:AH,E17,Principal!O:O,"Subiu")</f>
        <v>34834535.5</v>
      </c>
    </row>
    <row r="18">
      <c r="B18" s="57"/>
      <c r="E18" s="59" t="str">
        <f>IFERROR(__xludf.DUMMYFUNCTION("""COMPUTED_VALUE"""),"Alimentos (Carnes e Processados)")</f>
        <v>Alimentos (Carnes e Processados)</v>
      </c>
      <c r="F18" s="57">
        <f>SUMIF(Principal!AH:AH,E18,Principal!N:N)</f>
        <v>233045769.6</v>
      </c>
      <c r="G18" s="60">
        <f>SUMIFS(Principal!N:N,Principal!AH:AH,E18,Principal!O:O,"Subiu")</f>
        <v>233045769.6</v>
      </c>
    </row>
    <row r="19">
      <c r="A19" s="68" t="s">
        <v>207</v>
      </c>
      <c r="B19" s="69" t="s">
        <v>208</v>
      </c>
      <c r="C19" s="68" t="s">
        <v>209</v>
      </c>
      <c r="E19" s="59" t="str">
        <f>IFERROR(__xludf.DUMMYFUNCTION("""COMPUTED_VALUE"""),"Telecomunicações")</f>
        <v>Telecomunicações</v>
      </c>
      <c r="F19" s="57">
        <f>SUMIF(Principal!AH:AH,E19,Principal!N:N)</f>
        <v>292938114.4</v>
      </c>
      <c r="G19" s="60">
        <f>SUMIFS(Principal!N:N,Principal!AH:AH,E19,Principal!O:O,"Subiu")</f>
        <v>292938114.4</v>
      </c>
    </row>
    <row r="20">
      <c r="A20" s="59" t="str">
        <f>IFERROR(__xludf.DUMMYFUNCTION("UNIQUE(Principal!AJ3:AJ83)"),"Entre 50 e 100 anos")</f>
        <v>Entre 50 e 100 anos</v>
      </c>
      <c r="B20" s="57">
        <f>SUMIF(Principal!AJ:AJ,A20,Principal!N:N)</f>
        <v>13962585235</v>
      </c>
      <c r="C20" s="58">
        <f>COUNTIF(Principal!AJ:AJ,A20)</f>
        <v>36</v>
      </c>
      <c r="E20" s="59" t="str">
        <f>IFERROR(__xludf.DUMMYFUNCTION("""COMPUTED_VALUE"""),"Logística")</f>
        <v>Logística</v>
      </c>
      <c r="F20" s="57">
        <f>SUMIF(Principal!AH:AH,E20,Principal!N:N)</f>
        <v>233902674.8</v>
      </c>
      <c r="G20" s="60">
        <f>SUMIFS(Principal!N:N,Principal!AH:AH,E20,Principal!O:O,"Subiu")</f>
        <v>233902674.8</v>
      </c>
    </row>
    <row r="21">
      <c r="A21" s="59" t="str">
        <f>IFERROR(__xludf.DUMMYFUNCTION("""COMPUTED_VALUE"""),"Mais de 100 anos")</f>
        <v>Mais de 100 anos</v>
      </c>
      <c r="B21" s="57">
        <f>SUMIF(Principal!AJ:AJ,A21,Principal!N:N)</f>
        <v>769024882.8</v>
      </c>
      <c r="C21" s="58">
        <f>COUNTIF(Principal!AJ:AJ,A21)</f>
        <v>6</v>
      </c>
      <c r="E21" s="59" t="str">
        <f>IFERROR(__xludf.DUMMYFUNCTION("""COMPUTED_VALUE"""),"Meios de Pagamento")</f>
        <v>Meios de Pagamento</v>
      </c>
      <c r="F21" s="57">
        <f>SUMIF(Principal!AH:AH,E21,Principal!N:N)</f>
        <v>43657683.38</v>
      </c>
      <c r="G21" s="60">
        <f>SUMIFS(Principal!N:N,Principal!AH:AH,E21,Principal!O:O,"Subiu")</f>
        <v>43657683.38</v>
      </c>
    </row>
    <row r="22">
      <c r="A22" s="70" t="str">
        <f>IFERROR(__xludf.DUMMYFUNCTION("""COMPUTED_VALUE"""),"Menos de 50 anos")</f>
        <v>Menos de 50 anos</v>
      </c>
      <c r="B22" s="61">
        <f>SUMIF(Principal!AJ:AJ,A22,Principal!N:N)</f>
        <v>-1351203069</v>
      </c>
      <c r="C22" s="62">
        <f>COUNTIF(Principal!AJ:AJ,A22)</f>
        <v>39</v>
      </c>
      <c r="E22" s="59" t="str">
        <f>IFERROR(__xludf.DUMMYFUNCTION("""COMPUTED_VALUE"""),"Materiais de Construção")</f>
        <v>Materiais de Construção</v>
      </c>
      <c r="F22" s="57">
        <f>SUMIF(Principal!AH:AH,E22,Principal!N:N)</f>
        <v>18068446.61</v>
      </c>
      <c r="G22" s="60">
        <f>SUMIFS(Principal!N:N,Principal!AH:AH,E22,Principal!O:O,"Subiu")</f>
        <v>18068446.61</v>
      </c>
    </row>
    <row r="23">
      <c r="E23" s="59" t="str">
        <f>IFERROR(__xludf.DUMMYFUNCTION("""COMPUTED_VALUE"""),"Holding (Investimentos)")</f>
        <v>Holding (Investimentos)</v>
      </c>
      <c r="F23" s="57">
        <f>SUMIF(Principal!AH:AH,E23,Principal!N:N)</f>
        <v>416092244.4</v>
      </c>
      <c r="G23" s="60">
        <f>SUMIFS(Principal!N:N,Principal!AH:AH,E23,Principal!O:O,"Subiu")</f>
        <v>416092244.4</v>
      </c>
    </row>
    <row r="24">
      <c r="E24" s="59" t="str">
        <f>IFERROR(__xludf.DUMMYFUNCTION("""COMPUTED_VALUE"""),"Tecnologia da Informação")</f>
        <v>Tecnologia da Informação</v>
      </c>
      <c r="F24" s="57">
        <f>SUMIF(Principal!AH:AH,E24,Principal!N:N)</f>
        <v>15598886.65</v>
      </c>
      <c r="G24" s="60">
        <f>SUMIFS(Principal!N:N,Principal!AH:AH,E24,Principal!O:O,"Subiu")</f>
        <v>15598886.65</v>
      </c>
    </row>
    <row r="25">
      <c r="E25" s="59" t="str">
        <f>IFERROR(__xludf.DUMMYFUNCTION("""COMPUTED_VALUE"""),"Varejo Farmacêutico")</f>
        <v>Varejo Farmacêutico</v>
      </c>
      <c r="F25" s="57">
        <f>SUMIF(Principal!AH:AH,E25,Principal!N:N)</f>
        <v>202352473.7</v>
      </c>
      <c r="G25" s="60">
        <f>SUMIFS(Principal!N:N,Principal!AH:AH,E25,Principal!O:O,"Subiu")</f>
        <v>202352473.7</v>
      </c>
    </row>
    <row r="26">
      <c r="E26" s="59" t="str">
        <f>IFERROR(__xludf.DUMMYFUNCTION("""COMPUTED_VALUE"""),"Energia e Logística")</f>
        <v>Energia e Logística</v>
      </c>
      <c r="F26" s="57">
        <f>SUMIF(Principal!AH:AH,E26,Principal!N:N)</f>
        <v>127229653.2</v>
      </c>
      <c r="G26" s="60">
        <f>SUMIFS(Principal!N:N,Principal!AH:AH,E26,Principal!O:O,"Subiu")</f>
        <v>127229653.2</v>
      </c>
    </row>
    <row r="27">
      <c r="E27" s="59" t="str">
        <f>IFERROR(__xludf.DUMMYFUNCTION("""COMPUTED_VALUE"""),"Energia (Biocombustíveis)")</f>
        <v>Energia (Biocombustíveis)</v>
      </c>
      <c r="F27" s="57">
        <f>SUMIF(Principal!AH:AH,E27,Principal!N:N)</f>
        <v>11571106.42</v>
      </c>
      <c r="G27" s="60">
        <f>SUMIFS(Principal!N:N,Principal!AH:AH,E27,Principal!O:O,"Subiu")</f>
        <v>11571106.42</v>
      </c>
    </row>
    <row r="28">
      <c r="E28" s="59" t="str">
        <f>IFERROR(__xludf.DUMMYFUNCTION("""COMPUTED_VALUE"""),"Bebidas")</f>
        <v>Bebidas</v>
      </c>
      <c r="F28" s="57">
        <f>SUMIF(Principal!AH:AH,E28,Principal!N:N)</f>
        <v>0</v>
      </c>
      <c r="G28" s="60">
        <f>SUMIFS(Principal!N:N,Principal!AH:AH,E28,Principal!O:O,"Subiu")</f>
        <v>0</v>
      </c>
    </row>
    <row r="29">
      <c r="E29" s="59" t="str">
        <f>IFERROR(__xludf.DUMMYFUNCTION("""COMPUTED_VALUE"""),"Seguros")</f>
        <v>Seguros</v>
      </c>
      <c r="F29" s="57">
        <f>SUMIF(Principal!AH:AH,E29,Principal!N:N)</f>
        <v>-4532537.188</v>
      </c>
      <c r="G29" s="60">
        <f>SUMIFS(Principal!N:N,Principal!AH:AH,E29,Principal!O:O,"Subiu")</f>
        <v>0</v>
      </c>
    </row>
    <row r="30">
      <c r="E30" s="59" t="str">
        <f>IFERROR(__xludf.DUMMYFUNCTION("""COMPUTED_VALUE"""),"Saneamento")</f>
        <v>Saneamento</v>
      </c>
      <c r="F30" s="57">
        <f>SUMIF(Principal!AH:AH,E30,Principal!N:N)</f>
        <v>-15725678.56</v>
      </c>
      <c r="G30" s="60">
        <f>SUMIFS(Principal!N:N,Principal!AH:AH,E30,Principal!O:O,"Subiu")</f>
        <v>0</v>
      </c>
    </row>
    <row r="31">
      <c r="E31" s="59" t="str">
        <f>IFERROR(__xludf.DUMMYFUNCTION("""COMPUTED_VALUE"""),"Software")</f>
        <v>Software</v>
      </c>
      <c r="F31" s="57">
        <f>SUMIF(Principal!AH:AH,E31,Principal!N:N)</f>
        <v>-9531377.746</v>
      </c>
      <c r="G31" s="60">
        <f>SUMIFS(Principal!N:N,Principal!AH:AH,E31,Principal!O:O,"Subiu")</f>
        <v>0</v>
      </c>
    </row>
    <row r="32">
      <c r="E32" s="59" t="str">
        <f>IFERROR(__xludf.DUMMYFUNCTION("""COMPUTED_VALUE"""),"Equipamentos Elétricos")</f>
        <v>Equipamentos Elétricos</v>
      </c>
      <c r="F32" s="57">
        <f>SUMIF(Principal!AH:AH,E32,Principal!N:N)</f>
        <v>-118230410.4</v>
      </c>
      <c r="G32" s="60">
        <f>SUMIFS(Principal!N:N,Principal!AH:AH,E32,Principal!O:O,"Subiu")</f>
        <v>0</v>
      </c>
    </row>
    <row r="33">
      <c r="E33" s="59" t="str">
        <f>IFERROR(__xludf.DUMMYFUNCTION("""COMPUTED_VALUE"""),"Agronegócio")</f>
        <v>Agronegócio</v>
      </c>
      <c r="F33" s="57">
        <f>SUMIF(Principal!AH:AH,E33,Principal!N:N)</f>
        <v>-9468663.682</v>
      </c>
      <c r="G33" s="60">
        <f>SUMIFS(Principal!N:N,Principal!AH:AH,E33,Principal!O:O,"Subiu")</f>
        <v>0</v>
      </c>
    </row>
    <row r="34">
      <c r="E34" s="59" t="str">
        <f>IFERROR(__xludf.DUMMYFUNCTION("""COMPUTED_VALUE"""),"Concessões Rodoviárias")</f>
        <v>Concessões Rodoviárias</v>
      </c>
      <c r="F34" s="57">
        <f>SUMIF(Principal!AH:AH,E34,Principal!N:N)</f>
        <v>-39743554.31</v>
      </c>
      <c r="G34" s="60">
        <f>SUMIFS(Principal!N:N,Principal!AH:AH,E34,Principal!O:O,"Subiu")</f>
        <v>0</v>
      </c>
    </row>
    <row r="35">
      <c r="E35" s="59" t="str">
        <f>IFERROR(__xludf.DUMMYFUNCTION("""COMPUTED_VALUE"""),"Energia (Transmissão)")</f>
        <v>Energia (Transmissão)</v>
      </c>
      <c r="F35" s="57">
        <f>SUMIF(Principal!AH:AH,E35,Principal!N:N)</f>
        <v>-42561628.08</v>
      </c>
      <c r="G35" s="60">
        <f>SUMIFS(Principal!N:N,Principal!AH:AH,E35,Principal!O:O,"Subiu")</f>
        <v>0</v>
      </c>
    </row>
    <row r="36">
      <c r="E36" s="59" t="str">
        <f>IFERROR(__xludf.DUMMYFUNCTION("""COMPUTED_VALUE"""),"Energia (Combustíveis)")</f>
        <v>Energia (Combustíveis)</v>
      </c>
      <c r="F36" s="57">
        <f>SUMIF(Principal!AH:AH,E36,Principal!N:N)</f>
        <v>-122247236.7</v>
      </c>
      <c r="G36" s="60">
        <f>SUMIFS(Principal!N:N,Principal!AH:AH,E36,Principal!O:O,"Subiu")</f>
        <v>0</v>
      </c>
    </row>
    <row r="37">
      <c r="E37" s="59" t="str">
        <f>IFERROR(__xludf.DUMMYFUNCTION("""COMPUTED_VALUE"""),"Seguros e Resseguros")</f>
        <v>Seguros e Resseguros</v>
      </c>
      <c r="F37" s="57">
        <f>SUMIF(Principal!AH:AH,E37,Principal!N:N)</f>
        <v>-21765343.02</v>
      </c>
      <c r="G37" s="60">
        <f>SUMIFS(Principal!N:N,Principal!AH:AH,E37,Principal!O:O,"Subiu")</f>
        <v>0</v>
      </c>
    </row>
    <row r="38">
      <c r="E38" s="59" t="str">
        <f>IFERROR(__xludf.DUMMYFUNCTION("""COMPUTED_VALUE"""),"Varejo (Produtos Pet)")</f>
        <v>Varejo (Produtos Pet)</v>
      </c>
      <c r="F38" s="57">
        <f>SUMIF(Principal!AH:AH,E38,Principal!N:N)</f>
        <v>-9242203.652</v>
      </c>
      <c r="G38" s="60">
        <f>SUMIFS(Principal!N:N,Principal!AH:AH,E38,Principal!O:O,"Subiu")</f>
        <v>0</v>
      </c>
    </row>
    <row r="39">
      <c r="E39" s="59" t="str">
        <f>IFERROR(__xludf.DUMMYFUNCTION("""COMPUTED_VALUE"""),"Saúde (Diagnósticos)")</f>
        <v>Saúde (Diagnósticos)</v>
      </c>
      <c r="F39" s="57">
        <f>SUMIF(Principal!AH:AH,E39,Principal!N:N)</f>
        <v>-42951047.22</v>
      </c>
      <c r="G39" s="60">
        <f>SUMIFS(Principal!N:N,Principal!AH:AH,E39,Principal!O:O,"Subiu")</f>
        <v>0</v>
      </c>
    </row>
    <row r="40">
      <c r="E40" s="59" t="str">
        <f>IFERROR(__xludf.DUMMYFUNCTION("""COMPUTED_VALUE"""),"Varejo (Moda)")</f>
        <v>Varejo (Moda)</v>
      </c>
      <c r="F40" s="57">
        <f>SUMIF(Principal!AH:AH,E40,Principal!N:N)</f>
        <v>-396176636.6</v>
      </c>
      <c r="G40" s="60">
        <f>SUMIFS(Principal!N:N,Principal!AH:AH,E40,Principal!O:O,"Subiu")</f>
        <v>0</v>
      </c>
    </row>
    <row r="41">
      <c r="E41" s="59" t="str">
        <f>IFERROR(__xludf.DUMMYFUNCTION("""COMPUTED_VALUE"""),"Calçados e Vestuário")</f>
        <v>Calçados e Vestuário</v>
      </c>
      <c r="F41" s="57">
        <f>SUMIF(Principal!AH:AH,E41,Principal!N:N)</f>
        <v>-21126374.33</v>
      </c>
      <c r="G41" s="60">
        <f>SUMIFS(Principal!N:N,Principal!AH:AH,E41,Principal!O:O,"Subiu")</f>
        <v>0</v>
      </c>
    </row>
    <row r="42">
      <c r="E42" s="59" t="str">
        <f>IFERROR(__xludf.DUMMYFUNCTION("""COMPUTED_VALUE"""),"Aeronáutica")</f>
        <v>Aeronáutica</v>
      </c>
      <c r="F42" s="57">
        <f>SUMIF(Principal!AH:AH,E42,Principal!N:N)</f>
        <v>-233651943.5</v>
      </c>
      <c r="G42" s="60">
        <f>SUMIFS(Principal!N:N,Principal!AH:AH,E42,Principal!O:O,"Subiu")</f>
        <v>0</v>
      </c>
    </row>
    <row r="43">
      <c r="E43" s="59" t="str">
        <f>IFERROR(__xludf.DUMMYFUNCTION("""COMPUTED_VALUE"""),"Cosméticos")</f>
        <v>Cosméticos</v>
      </c>
      <c r="F43" s="57">
        <f>SUMIF(Principal!AH:AH,E43,Principal!N:N)</f>
        <v>-193280001.2</v>
      </c>
      <c r="G43" s="60">
        <f>SUMIFS(Principal!N:N,Principal!AH:AH,E43,Principal!O:O,"Subiu")</f>
        <v>0</v>
      </c>
    </row>
    <row r="44">
      <c r="E44" s="59" t="str">
        <f>IFERROR(__xludf.DUMMYFUNCTION("""COMPUTED_VALUE"""),"Varejo (Atacado)")</f>
        <v>Varejo (Atacado)</v>
      </c>
      <c r="F44" s="57">
        <f>SUMIF(Principal!AH:AH,E44,Principal!N:N)</f>
        <v>-268201195.1</v>
      </c>
      <c r="G44" s="60">
        <f>SUMIFS(Principal!N:N,Principal!AH:AH,E44,Principal!O:O,"Subiu")</f>
        <v>0</v>
      </c>
    </row>
    <row r="45">
      <c r="E45" s="59" t="str">
        <f>IFERROR(__xludf.DUMMYFUNCTION("""COMPUTED_VALUE"""),"Serviços Financeiros (Bolsa)")</f>
        <v>Serviços Financeiros (Bolsa)</v>
      </c>
      <c r="F45" s="57">
        <f>SUMIF(Principal!AH:AH,E45,Principal!N:N)</f>
        <v>-1173785666</v>
      </c>
      <c r="G45" s="60">
        <f>SUMIFS(Principal!N:N,Principal!AH:AH,E45,Principal!O:O,"Subiu")</f>
        <v>0</v>
      </c>
    </row>
    <row r="46">
      <c r="E46" s="59" t="str">
        <f>IFERROR(__xludf.DUMMYFUNCTION("""COMPUTED_VALUE"""),"Farmacêutica")</f>
        <v>Farmacêutica</v>
      </c>
      <c r="F46" s="57">
        <f>SUMIF(Principal!AH:AH,E46,Principal!N:N)</f>
        <v>-208257014.2</v>
      </c>
      <c r="G46" s="60">
        <f>SUMIFS(Principal!N:N,Principal!AH:AH,E46,Principal!O:O,"Subiu")</f>
        <v>0</v>
      </c>
    </row>
    <row r="47">
      <c r="E47" s="59" t="str">
        <f>IFERROR(__xludf.DUMMYFUNCTION("""COMPUTED_VALUE"""),"Agronegócio (Açúcar e Álcool)")</f>
        <v>Agronegócio (Açúcar e Álcool)</v>
      </c>
      <c r="F47" s="57">
        <f>SUMIF(Principal!AH:AH,E47,Principal!N:N)</f>
        <v>-79432785.74</v>
      </c>
      <c r="G47" s="60">
        <f>SUMIFS(Principal!N:N,Principal!AH:AH,E47,Principal!O:O,"Subiu")</f>
        <v>0</v>
      </c>
    </row>
    <row r="48">
      <c r="E48" s="59" t="str">
        <f>IFERROR(__xludf.DUMMYFUNCTION("""COMPUTED_VALUE"""),"Locação de Veículos")</f>
        <v>Locação de Veículos</v>
      </c>
      <c r="F48" s="57">
        <f>SUMIF(Principal!AH:AH,E48,Principal!N:N)</f>
        <v>-1807432634</v>
      </c>
      <c r="G48" s="60">
        <f>SUMIFS(Principal!N:N,Principal!AH:AH,E48,Principal!O:O,"Subiu")</f>
        <v>0</v>
      </c>
    </row>
    <row r="49">
      <c r="E49" s="70" t="str">
        <f>IFERROR(__xludf.DUMMYFUNCTION("""COMPUTED_VALUE"""),"Turismo")</f>
        <v>Turismo</v>
      </c>
      <c r="F49" s="61">
        <f>SUMIF(Principal!AH:AH,E49,Principal!N:N)</f>
        <v>-73557408.06</v>
      </c>
      <c r="G49" s="71">
        <f>SUMIFS(Principal!N:N,Principal!AH:AH,E49,Principal!O:O,"Subiu")</f>
        <v>0</v>
      </c>
    </row>
    <row r="58">
      <c r="B58" s="57"/>
    </row>
    <row r="59">
      <c r="B59" s="57"/>
    </row>
    <row r="73">
      <c r="B73" s="57"/>
    </row>
    <row r="74">
      <c r="B74" s="57"/>
    </row>
    <row r="75">
      <c r="B75" s="57"/>
    </row>
    <row r="76">
      <c r="B76" s="57"/>
    </row>
    <row r="77">
      <c r="B77" s="57"/>
    </row>
    <row r="78">
      <c r="B78" s="57"/>
    </row>
    <row r="79">
      <c r="B79" s="57"/>
    </row>
    <row r="80">
      <c r="B80" s="57"/>
    </row>
    <row r="81">
      <c r="B81" s="57"/>
    </row>
    <row r="82">
      <c r="B82" s="57"/>
    </row>
    <row r="83">
      <c r="B83" s="57"/>
    </row>
    <row r="84">
      <c r="B84" s="57"/>
    </row>
    <row r="85">
      <c r="B85" s="57"/>
    </row>
    <row r="86">
      <c r="B86" s="57"/>
    </row>
    <row r="87">
      <c r="B87" s="57"/>
    </row>
    <row r="88">
      <c r="B88" s="57"/>
    </row>
    <row r="89">
      <c r="B89" s="57"/>
    </row>
    <row r="90">
      <c r="B90" s="57"/>
    </row>
    <row r="91">
      <c r="B91" s="57"/>
    </row>
    <row r="92">
      <c r="B92" s="57"/>
    </row>
    <row r="93">
      <c r="B93" s="57"/>
    </row>
    <row r="94">
      <c r="B94" s="57"/>
    </row>
    <row r="95">
      <c r="B95" s="57"/>
    </row>
    <row r="96">
      <c r="B96" s="57"/>
    </row>
    <row r="97">
      <c r="B97" s="57"/>
    </row>
    <row r="98">
      <c r="B98" s="57"/>
    </row>
    <row r="99">
      <c r="B99" s="57"/>
    </row>
    <row r="100">
      <c r="B100" s="57"/>
    </row>
    <row r="101">
      <c r="B101" s="57"/>
    </row>
    <row r="102">
      <c r="B102" s="57"/>
    </row>
    <row r="103">
      <c r="B103" s="57"/>
    </row>
    <row r="104">
      <c r="B104" s="57"/>
    </row>
    <row r="105">
      <c r="B105" s="57"/>
    </row>
    <row r="106">
      <c r="B106" s="57"/>
    </row>
    <row r="107">
      <c r="B107" s="57"/>
    </row>
    <row r="108">
      <c r="B108" s="57"/>
    </row>
    <row r="109">
      <c r="B109" s="57"/>
    </row>
    <row r="110">
      <c r="B110" s="57"/>
    </row>
    <row r="111">
      <c r="B111" s="57"/>
    </row>
    <row r="112">
      <c r="B112" s="57"/>
    </row>
    <row r="113">
      <c r="B113" s="57"/>
    </row>
    <row r="114">
      <c r="B114" s="57"/>
    </row>
    <row r="115">
      <c r="B115" s="57"/>
    </row>
    <row r="116">
      <c r="B116" s="57"/>
    </row>
    <row r="117">
      <c r="B117" s="57"/>
    </row>
    <row r="118">
      <c r="B118" s="57"/>
    </row>
    <row r="119">
      <c r="B119" s="57"/>
    </row>
    <row r="120">
      <c r="B120" s="57"/>
    </row>
    <row r="121">
      <c r="B121" s="57"/>
    </row>
    <row r="122">
      <c r="B122" s="57"/>
    </row>
    <row r="123">
      <c r="B123" s="57"/>
    </row>
    <row r="124">
      <c r="B124" s="57"/>
    </row>
    <row r="125">
      <c r="B125" s="57"/>
    </row>
    <row r="126">
      <c r="B126" s="57"/>
    </row>
    <row r="127">
      <c r="B127" s="57"/>
    </row>
    <row r="128">
      <c r="B128" s="57"/>
    </row>
    <row r="129">
      <c r="B129" s="57"/>
    </row>
    <row r="130">
      <c r="B130" s="57"/>
    </row>
    <row r="131">
      <c r="B131" s="57"/>
    </row>
    <row r="132">
      <c r="B132" s="57"/>
    </row>
    <row r="133">
      <c r="B133" s="57"/>
    </row>
    <row r="134">
      <c r="B134" s="57"/>
    </row>
    <row r="135">
      <c r="B135" s="57"/>
    </row>
    <row r="136">
      <c r="B136" s="57"/>
    </row>
    <row r="137">
      <c r="B137" s="57"/>
    </row>
    <row r="138">
      <c r="B138" s="57"/>
    </row>
    <row r="139">
      <c r="B139" s="57"/>
    </row>
    <row r="140">
      <c r="B140" s="57"/>
    </row>
    <row r="141">
      <c r="B141" s="57"/>
    </row>
    <row r="142">
      <c r="B142" s="57"/>
    </row>
    <row r="143">
      <c r="B143" s="57"/>
    </row>
    <row r="144">
      <c r="B144" s="57"/>
    </row>
    <row r="145">
      <c r="B145" s="57"/>
    </row>
    <row r="146">
      <c r="B146" s="57"/>
    </row>
    <row r="147">
      <c r="B147" s="57"/>
    </row>
    <row r="148">
      <c r="B148" s="57"/>
    </row>
    <row r="149">
      <c r="B149" s="57"/>
    </row>
    <row r="150">
      <c r="B150" s="57"/>
    </row>
    <row r="151">
      <c r="B151" s="57"/>
    </row>
    <row r="152">
      <c r="B152" s="57"/>
    </row>
    <row r="153">
      <c r="B153" s="57"/>
    </row>
    <row r="154">
      <c r="B154" s="57"/>
    </row>
    <row r="155">
      <c r="B155" s="57"/>
    </row>
    <row r="156">
      <c r="B156" s="57"/>
    </row>
    <row r="157">
      <c r="B157" s="57"/>
    </row>
    <row r="158">
      <c r="B158" s="57"/>
    </row>
    <row r="159">
      <c r="B159" s="57"/>
    </row>
    <row r="160">
      <c r="B160" s="57"/>
    </row>
    <row r="161">
      <c r="B161" s="57"/>
    </row>
    <row r="162">
      <c r="B162" s="57"/>
    </row>
    <row r="163">
      <c r="B163" s="57"/>
    </row>
    <row r="164">
      <c r="B164" s="57"/>
    </row>
    <row r="165">
      <c r="B165" s="57"/>
    </row>
    <row r="166">
      <c r="B166" s="57"/>
    </row>
    <row r="167">
      <c r="B167" s="57"/>
    </row>
    <row r="168">
      <c r="B168" s="57"/>
    </row>
    <row r="169">
      <c r="B169" s="57"/>
    </row>
    <row r="170">
      <c r="B170" s="57"/>
    </row>
    <row r="171">
      <c r="B171" s="57"/>
    </row>
    <row r="172">
      <c r="B172" s="57"/>
    </row>
    <row r="173">
      <c r="B173" s="57"/>
    </row>
    <row r="174">
      <c r="B174" s="57"/>
    </row>
    <row r="175">
      <c r="B175" s="57"/>
    </row>
    <row r="176">
      <c r="B176" s="57"/>
    </row>
    <row r="177">
      <c r="B177" s="57"/>
    </row>
    <row r="178">
      <c r="B178" s="57"/>
    </row>
    <row r="179">
      <c r="B179" s="57"/>
    </row>
    <row r="180">
      <c r="B180" s="57"/>
    </row>
    <row r="181">
      <c r="B181" s="57"/>
    </row>
    <row r="182">
      <c r="B182" s="57"/>
    </row>
    <row r="183">
      <c r="B183" s="57"/>
    </row>
    <row r="184">
      <c r="B184" s="57"/>
    </row>
    <row r="185">
      <c r="B185" s="57"/>
    </row>
    <row r="186">
      <c r="B186" s="57"/>
    </row>
    <row r="187">
      <c r="B187" s="57"/>
    </row>
    <row r="188">
      <c r="B188" s="57"/>
    </row>
    <row r="189">
      <c r="B189" s="57"/>
    </row>
    <row r="190">
      <c r="B190" s="57"/>
    </row>
    <row r="191">
      <c r="B191" s="57"/>
    </row>
    <row r="192">
      <c r="B192" s="57"/>
    </row>
    <row r="193">
      <c r="B193" s="57"/>
    </row>
    <row r="194">
      <c r="B194" s="57"/>
    </row>
    <row r="195">
      <c r="B195" s="57"/>
    </row>
    <row r="196">
      <c r="B196" s="57"/>
    </row>
    <row r="197">
      <c r="B197" s="57"/>
    </row>
    <row r="198">
      <c r="B198" s="57"/>
    </row>
    <row r="199">
      <c r="B199" s="57"/>
    </row>
    <row r="200">
      <c r="B200" s="57"/>
    </row>
    <row r="201">
      <c r="B201" s="57"/>
    </row>
    <row r="202">
      <c r="B202" s="57"/>
    </row>
    <row r="203">
      <c r="B203" s="57"/>
    </row>
    <row r="204">
      <c r="B204" s="57"/>
    </row>
    <row r="205">
      <c r="B205" s="57"/>
    </row>
    <row r="206">
      <c r="B206" s="57"/>
    </row>
    <row r="207">
      <c r="B207" s="57"/>
    </row>
    <row r="208">
      <c r="B208" s="57"/>
    </row>
    <row r="209">
      <c r="B209" s="57"/>
    </row>
    <row r="210">
      <c r="B210" s="57"/>
    </row>
    <row r="211">
      <c r="B211" s="57"/>
    </row>
    <row r="212">
      <c r="B212" s="57"/>
    </row>
    <row r="213">
      <c r="B213" s="57"/>
    </row>
    <row r="214">
      <c r="B214" s="57"/>
    </row>
    <row r="215">
      <c r="B215" s="57"/>
    </row>
    <row r="216">
      <c r="B216" s="57"/>
    </row>
    <row r="217">
      <c r="B217" s="57"/>
    </row>
    <row r="218">
      <c r="B218" s="57"/>
    </row>
    <row r="219">
      <c r="B219" s="57"/>
    </row>
    <row r="220">
      <c r="B220" s="57"/>
    </row>
    <row r="221">
      <c r="B221" s="57"/>
    </row>
    <row r="222">
      <c r="B222" s="57"/>
    </row>
    <row r="223">
      <c r="B223" s="57"/>
    </row>
    <row r="224">
      <c r="B224" s="57"/>
    </row>
    <row r="225">
      <c r="B225" s="57"/>
    </row>
    <row r="226">
      <c r="B226" s="57"/>
    </row>
    <row r="227">
      <c r="B227" s="57"/>
    </row>
    <row r="228">
      <c r="B228" s="57"/>
    </row>
    <row r="229">
      <c r="B229" s="57"/>
    </row>
    <row r="230">
      <c r="B230" s="57"/>
    </row>
    <row r="231">
      <c r="B231" s="57"/>
    </row>
    <row r="232">
      <c r="B232" s="57"/>
    </row>
    <row r="233">
      <c r="B233" s="57"/>
    </row>
    <row r="234">
      <c r="B234" s="57"/>
    </row>
    <row r="235">
      <c r="B235" s="57"/>
    </row>
    <row r="236">
      <c r="B236" s="57"/>
    </row>
    <row r="237">
      <c r="B237" s="57"/>
    </row>
    <row r="238">
      <c r="B238" s="57"/>
    </row>
    <row r="239">
      <c r="B239" s="57"/>
    </row>
    <row r="240">
      <c r="B240" s="57"/>
    </row>
    <row r="241">
      <c r="B241" s="57"/>
    </row>
    <row r="242">
      <c r="B242" s="57"/>
    </row>
    <row r="243">
      <c r="B243" s="57"/>
    </row>
    <row r="244">
      <c r="B244" s="57"/>
    </row>
    <row r="245">
      <c r="B245" s="57"/>
    </row>
    <row r="246">
      <c r="B246" s="57"/>
    </row>
    <row r="247">
      <c r="B247" s="57"/>
    </row>
    <row r="248">
      <c r="B248" s="57"/>
    </row>
    <row r="249">
      <c r="B249" s="57"/>
    </row>
    <row r="250">
      <c r="B250" s="57"/>
    </row>
    <row r="251">
      <c r="B251" s="57"/>
    </row>
    <row r="252">
      <c r="B252" s="57"/>
    </row>
    <row r="253">
      <c r="B253" s="57"/>
    </row>
    <row r="254">
      <c r="B254" s="57"/>
    </row>
    <row r="255">
      <c r="B255" s="57"/>
    </row>
    <row r="256">
      <c r="B256" s="57"/>
    </row>
    <row r="257">
      <c r="B257" s="57"/>
    </row>
    <row r="258">
      <c r="B258" s="57"/>
    </row>
    <row r="259">
      <c r="B259" s="57"/>
    </row>
    <row r="260">
      <c r="B260" s="57"/>
    </row>
    <row r="261">
      <c r="B261" s="57"/>
    </row>
    <row r="262">
      <c r="B262" s="57"/>
    </row>
    <row r="263">
      <c r="B263" s="57"/>
    </row>
    <row r="264">
      <c r="B264" s="57"/>
    </row>
    <row r="265">
      <c r="B265" s="57"/>
    </row>
    <row r="266">
      <c r="B266" s="57"/>
    </row>
    <row r="267">
      <c r="B267" s="57"/>
    </row>
    <row r="268">
      <c r="B268" s="57"/>
    </row>
    <row r="269">
      <c r="B269" s="57"/>
    </row>
    <row r="270">
      <c r="B270" s="57"/>
    </row>
    <row r="271">
      <c r="B271" s="57"/>
    </row>
    <row r="272">
      <c r="B272" s="57"/>
    </row>
    <row r="273">
      <c r="B273" s="57"/>
    </row>
    <row r="274">
      <c r="B274" s="57"/>
    </row>
    <row r="275">
      <c r="B275" s="57"/>
    </row>
    <row r="276">
      <c r="B276" s="57"/>
    </row>
    <row r="277">
      <c r="B277" s="57"/>
    </row>
    <row r="278">
      <c r="B278" s="57"/>
    </row>
    <row r="279">
      <c r="B279" s="57"/>
    </row>
    <row r="280">
      <c r="B280" s="57"/>
    </row>
    <row r="281">
      <c r="B281" s="57"/>
    </row>
    <row r="282">
      <c r="B282" s="57"/>
    </row>
    <row r="283">
      <c r="B283" s="57"/>
    </row>
    <row r="284">
      <c r="B284" s="57"/>
    </row>
    <row r="285">
      <c r="B285" s="57"/>
    </row>
    <row r="286">
      <c r="B286" s="57"/>
    </row>
    <row r="287">
      <c r="B287" s="57"/>
    </row>
    <row r="288">
      <c r="B288" s="57"/>
    </row>
    <row r="289">
      <c r="B289" s="57"/>
    </row>
    <row r="290">
      <c r="B290" s="57"/>
    </row>
    <row r="291">
      <c r="B291" s="57"/>
    </row>
    <row r="292">
      <c r="B292" s="57"/>
    </row>
    <row r="293">
      <c r="B293" s="57"/>
    </row>
    <row r="294">
      <c r="B294" s="57"/>
    </row>
    <row r="295">
      <c r="B295" s="57"/>
    </row>
    <row r="296">
      <c r="B296" s="57"/>
    </row>
    <row r="297">
      <c r="B297" s="57"/>
    </row>
    <row r="298">
      <c r="B298" s="57"/>
    </row>
    <row r="299">
      <c r="B299" s="57"/>
    </row>
    <row r="300">
      <c r="B300" s="57"/>
    </row>
    <row r="301">
      <c r="B301" s="57"/>
    </row>
    <row r="302">
      <c r="B302" s="57"/>
    </row>
    <row r="303">
      <c r="B303" s="57"/>
    </row>
    <row r="304">
      <c r="B304" s="57"/>
    </row>
    <row r="305">
      <c r="B305" s="57"/>
    </row>
    <row r="306">
      <c r="B306" s="57"/>
    </row>
    <row r="307">
      <c r="B307" s="57"/>
    </row>
    <row r="308">
      <c r="B308" s="57"/>
    </row>
    <row r="309">
      <c r="B309" s="57"/>
    </row>
    <row r="310">
      <c r="B310" s="57"/>
    </row>
    <row r="311">
      <c r="B311" s="57"/>
    </row>
    <row r="312">
      <c r="B312" s="57"/>
    </row>
    <row r="313">
      <c r="B313" s="57"/>
    </row>
    <row r="314">
      <c r="B314" s="57"/>
    </row>
    <row r="315">
      <c r="B315" s="57"/>
    </row>
    <row r="316">
      <c r="B316" s="57"/>
    </row>
    <row r="317">
      <c r="B317" s="57"/>
    </row>
    <row r="318">
      <c r="B318" s="57"/>
    </row>
    <row r="319">
      <c r="B319" s="57"/>
    </row>
    <row r="320">
      <c r="B320" s="57"/>
    </row>
    <row r="321">
      <c r="B321" s="57"/>
    </row>
    <row r="322">
      <c r="B322" s="57"/>
    </row>
    <row r="323">
      <c r="B323" s="57"/>
    </row>
    <row r="324">
      <c r="B324" s="57"/>
    </row>
    <row r="325">
      <c r="B325" s="57"/>
    </row>
    <row r="326">
      <c r="B326" s="57"/>
    </row>
    <row r="327">
      <c r="B327" s="57"/>
    </row>
    <row r="328">
      <c r="B328" s="57"/>
    </row>
    <row r="329">
      <c r="B329" s="57"/>
    </row>
    <row r="330">
      <c r="B330" s="57"/>
    </row>
    <row r="331">
      <c r="B331" s="57"/>
    </row>
    <row r="332">
      <c r="B332" s="57"/>
    </row>
    <row r="333">
      <c r="B333" s="57"/>
    </row>
    <row r="334">
      <c r="B334" s="57"/>
    </row>
    <row r="335">
      <c r="B335" s="57"/>
    </row>
    <row r="336">
      <c r="B336" s="57"/>
    </row>
    <row r="337">
      <c r="B337" s="57"/>
    </row>
    <row r="338">
      <c r="B338" s="57"/>
    </row>
    <row r="339">
      <c r="B339" s="57"/>
    </row>
    <row r="340">
      <c r="B340" s="57"/>
    </row>
    <row r="341">
      <c r="B341" s="57"/>
    </row>
    <row r="342">
      <c r="B342" s="57"/>
    </row>
    <row r="343">
      <c r="B343" s="57"/>
    </row>
    <row r="344">
      <c r="B344" s="57"/>
    </row>
    <row r="345">
      <c r="B345" s="57"/>
    </row>
    <row r="346">
      <c r="B346" s="57"/>
    </row>
    <row r="347">
      <c r="B347" s="57"/>
    </row>
    <row r="348">
      <c r="B348" s="57"/>
    </row>
    <row r="349">
      <c r="B349" s="57"/>
    </row>
    <row r="350">
      <c r="B350" s="57"/>
    </row>
    <row r="351">
      <c r="B351" s="57"/>
    </row>
    <row r="352">
      <c r="B352" s="57"/>
    </row>
    <row r="353">
      <c r="B353" s="57"/>
    </row>
    <row r="354">
      <c r="B354" s="57"/>
    </row>
    <row r="355">
      <c r="B355" s="57"/>
    </row>
    <row r="356">
      <c r="B356" s="57"/>
    </row>
    <row r="357">
      <c r="B357" s="57"/>
    </row>
    <row r="358">
      <c r="B358" s="57"/>
    </row>
    <row r="359">
      <c r="B359" s="57"/>
    </row>
    <row r="360">
      <c r="B360" s="57"/>
    </row>
    <row r="361">
      <c r="B361" s="57"/>
    </row>
    <row r="362">
      <c r="B362" s="57"/>
    </row>
    <row r="363">
      <c r="B363" s="57"/>
    </row>
    <row r="364">
      <c r="B364" s="57"/>
    </row>
    <row r="365">
      <c r="B365" s="57"/>
    </row>
    <row r="366">
      <c r="B366" s="57"/>
    </row>
    <row r="367">
      <c r="B367" s="57"/>
    </row>
    <row r="368">
      <c r="B368" s="57"/>
    </row>
    <row r="369">
      <c r="B369" s="57"/>
    </row>
    <row r="370">
      <c r="B370" s="57"/>
    </row>
    <row r="371">
      <c r="B371" s="57"/>
    </row>
    <row r="372">
      <c r="B372" s="57"/>
    </row>
    <row r="373">
      <c r="B373" s="57"/>
    </row>
    <row r="374">
      <c r="B374" s="57"/>
    </row>
    <row r="375">
      <c r="B375" s="57"/>
    </row>
    <row r="376">
      <c r="B376" s="57"/>
    </row>
    <row r="377">
      <c r="B377" s="57"/>
    </row>
    <row r="378">
      <c r="B378" s="57"/>
    </row>
    <row r="379">
      <c r="B379" s="57"/>
    </row>
    <row r="380">
      <c r="B380" s="57"/>
    </row>
    <row r="381">
      <c r="B381" s="57"/>
    </row>
    <row r="382">
      <c r="B382" s="57"/>
    </row>
    <row r="383">
      <c r="B383" s="57"/>
    </row>
    <row r="384">
      <c r="B384" s="57"/>
    </row>
    <row r="385">
      <c r="B385" s="57"/>
    </row>
    <row r="386">
      <c r="B386" s="57"/>
    </row>
    <row r="387">
      <c r="B387" s="57"/>
    </row>
    <row r="388">
      <c r="B388" s="57"/>
    </row>
    <row r="389">
      <c r="B389" s="57"/>
    </row>
    <row r="390">
      <c r="B390" s="57"/>
    </row>
    <row r="391">
      <c r="B391" s="57"/>
    </row>
    <row r="392">
      <c r="B392" s="57"/>
    </row>
    <row r="393">
      <c r="B393" s="57"/>
    </row>
    <row r="394">
      <c r="B394" s="57"/>
    </row>
    <row r="395">
      <c r="B395" s="57"/>
    </row>
    <row r="396">
      <c r="B396" s="57"/>
    </row>
    <row r="397">
      <c r="B397" s="57"/>
    </row>
    <row r="398">
      <c r="B398" s="57"/>
    </row>
    <row r="399">
      <c r="B399" s="57"/>
    </row>
    <row r="400">
      <c r="B400" s="57"/>
    </row>
    <row r="401">
      <c r="B401" s="57"/>
    </row>
    <row r="402">
      <c r="B402" s="57"/>
    </row>
    <row r="403">
      <c r="B403" s="57"/>
    </row>
    <row r="404">
      <c r="B404" s="57"/>
    </row>
    <row r="405">
      <c r="B405" s="57"/>
    </row>
    <row r="406">
      <c r="B406" s="57"/>
    </row>
    <row r="407">
      <c r="B407" s="57"/>
    </row>
    <row r="408">
      <c r="B408" s="57"/>
    </row>
    <row r="409">
      <c r="B409" s="57"/>
    </row>
    <row r="410">
      <c r="B410" s="57"/>
    </row>
    <row r="411">
      <c r="B411" s="57"/>
    </row>
    <row r="412">
      <c r="B412" s="57"/>
    </row>
    <row r="413">
      <c r="B413" s="57"/>
    </row>
    <row r="414">
      <c r="B414" s="57"/>
    </row>
    <row r="415">
      <c r="B415" s="57"/>
    </row>
    <row r="416">
      <c r="B416" s="57"/>
    </row>
    <row r="417">
      <c r="B417" s="57"/>
    </row>
    <row r="418">
      <c r="B418" s="57"/>
    </row>
    <row r="419">
      <c r="B419" s="57"/>
    </row>
    <row r="420">
      <c r="B420" s="57"/>
    </row>
    <row r="421">
      <c r="B421" s="57"/>
    </row>
    <row r="422">
      <c r="B422" s="57"/>
    </row>
    <row r="423">
      <c r="B423" s="57"/>
    </row>
    <row r="424">
      <c r="B424" s="57"/>
    </row>
    <row r="425">
      <c r="B425" s="57"/>
    </row>
    <row r="426">
      <c r="B426" s="57"/>
    </row>
    <row r="427">
      <c r="B427" s="57"/>
    </row>
    <row r="428">
      <c r="B428" s="57"/>
    </row>
    <row r="429">
      <c r="B429" s="57"/>
    </row>
    <row r="430">
      <c r="B430" s="57"/>
    </row>
    <row r="431">
      <c r="B431" s="57"/>
    </row>
    <row r="432">
      <c r="B432" s="57"/>
    </row>
    <row r="433">
      <c r="B433" s="57"/>
    </row>
    <row r="434">
      <c r="B434" s="57"/>
    </row>
    <row r="435">
      <c r="B435" s="57"/>
    </row>
    <row r="436">
      <c r="B436" s="57"/>
    </row>
    <row r="437">
      <c r="B437" s="57"/>
    </row>
    <row r="438">
      <c r="B438" s="57"/>
    </row>
    <row r="439">
      <c r="B439" s="57"/>
    </row>
    <row r="440">
      <c r="B440" s="57"/>
    </row>
    <row r="441">
      <c r="B441" s="57"/>
    </row>
    <row r="442">
      <c r="B442" s="57"/>
    </row>
    <row r="443">
      <c r="B443" s="57"/>
    </row>
    <row r="444">
      <c r="B444" s="57"/>
    </row>
    <row r="445">
      <c r="B445" s="57"/>
    </row>
    <row r="446">
      <c r="B446" s="57"/>
    </row>
    <row r="447">
      <c r="B447" s="57"/>
    </row>
    <row r="448">
      <c r="B448" s="57"/>
    </row>
    <row r="449">
      <c r="B449" s="57"/>
    </row>
    <row r="450">
      <c r="B450" s="57"/>
    </row>
    <row r="451">
      <c r="B451" s="57"/>
    </row>
    <row r="452">
      <c r="B452" s="57"/>
    </row>
    <row r="453">
      <c r="B453" s="57"/>
    </row>
    <row r="454">
      <c r="B454" s="57"/>
    </row>
    <row r="455">
      <c r="B455" s="57"/>
    </row>
    <row r="456">
      <c r="B456" s="57"/>
    </row>
    <row r="457">
      <c r="B457" s="57"/>
    </row>
    <row r="458">
      <c r="B458" s="57"/>
    </row>
    <row r="459">
      <c r="B459" s="57"/>
    </row>
    <row r="460">
      <c r="B460" s="57"/>
    </row>
    <row r="461">
      <c r="B461" s="57"/>
    </row>
    <row r="462">
      <c r="B462" s="57"/>
    </row>
    <row r="463">
      <c r="B463" s="57"/>
    </row>
    <row r="464">
      <c r="B464" s="57"/>
    </row>
    <row r="465">
      <c r="B465" s="57"/>
    </row>
    <row r="466">
      <c r="B466" s="57"/>
    </row>
    <row r="467">
      <c r="B467" s="57"/>
    </row>
    <row r="468">
      <c r="B468" s="57"/>
    </row>
    <row r="469">
      <c r="B469" s="57"/>
    </row>
    <row r="470">
      <c r="B470" s="57"/>
    </row>
    <row r="471">
      <c r="B471" s="57"/>
    </row>
    <row r="472">
      <c r="B472" s="57"/>
    </row>
    <row r="473">
      <c r="B473" s="57"/>
    </row>
    <row r="474">
      <c r="B474" s="57"/>
    </row>
    <row r="475">
      <c r="B475" s="57"/>
    </row>
    <row r="476">
      <c r="B476" s="57"/>
    </row>
    <row r="477">
      <c r="B477" s="57"/>
    </row>
    <row r="478">
      <c r="B478" s="57"/>
    </row>
    <row r="479">
      <c r="B479" s="57"/>
    </row>
    <row r="480">
      <c r="B480" s="57"/>
    </row>
    <row r="481">
      <c r="B481" s="57"/>
    </row>
    <row r="482">
      <c r="B482" s="57"/>
    </row>
    <row r="483">
      <c r="B483" s="57"/>
    </row>
    <row r="484">
      <c r="B484" s="57"/>
    </row>
    <row r="485">
      <c r="B485" s="57"/>
    </row>
    <row r="486">
      <c r="B486" s="57"/>
    </row>
    <row r="487">
      <c r="B487" s="57"/>
    </row>
    <row r="488">
      <c r="B488" s="57"/>
    </row>
    <row r="489">
      <c r="B489" s="57"/>
    </row>
    <row r="490">
      <c r="B490" s="57"/>
    </row>
    <row r="491">
      <c r="B491" s="57"/>
    </row>
    <row r="492">
      <c r="B492" s="57"/>
    </row>
    <row r="493">
      <c r="B493" s="57"/>
    </row>
    <row r="494">
      <c r="B494" s="57"/>
    </row>
    <row r="495">
      <c r="B495" s="57"/>
    </row>
    <row r="496">
      <c r="B496" s="57"/>
    </row>
    <row r="497">
      <c r="B497" s="57"/>
    </row>
    <row r="498">
      <c r="B498" s="57"/>
    </row>
    <row r="499">
      <c r="B499" s="57"/>
    </row>
    <row r="500">
      <c r="B500" s="57"/>
    </row>
    <row r="501">
      <c r="B501" s="57"/>
    </row>
    <row r="502">
      <c r="B502" s="57"/>
    </row>
    <row r="503">
      <c r="B503" s="57"/>
    </row>
    <row r="504">
      <c r="B504" s="57"/>
    </row>
    <row r="505">
      <c r="B505" s="57"/>
    </row>
    <row r="506">
      <c r="B506" s="57"/>
    </row>
    <row r="507">
      <c r="B507" s="57"/>
    </row>
    <row r="508">
      <c r="B508" s="57"/>
    </row>
    <row r="509">
      <c r="B509" s="57"/>
    </row>
    <row r="510">
      <c r="B510" s="57"/>
    </row>
    <row r="511">
      <c r="B511" s="57"/>
    </row>
    <row r="512">
      <c r="B512" s="57"/>
    </row>
    <row r="513">
      <c r="B513" s="57"/>
    </row>
    <row r="514">
      <c r="B514" s="57"/>
    </row>
    <row r="515">
      <c r="B515" s="57"/>
    </row>
    <row r="516">
      <c r="B516" s="57"/>
    </row>
    <row r="517">
      <c r="B517" s="57"/>
    </row>
    <row r="518">
      <c r="B518" s="57"/>
    </row>
    <row r="519">
      <c r="B519" s="57"/>
    </row>
    <row r="520">
      <c r="B520" s="57"/>
    </row>
    <row r="521">
      <c r="B521" s="57"/>
    </row>
    <row r="522">
      <c r="B522" s="57"/>
    </row>
    <row r="523">
      <c r="B523" s="57"/>
    </row>
    <row r="524">
      <c r="B524" s="57"/>
    </row>
    <row r="525">
      <c r="B525" s="57"/>
    </row>
    <row r="526">
      <c r="B526" s="57"/>
    </row>
    <row r="527">
      <c r="B527" s="57"/>
    </row>
    <row r="528">
      <c r="B528" s="57"/>
    </row>
    <row r="529">
      <c r="B529" s="57"/>
    </row>
    <row r="530">
      <c r="B530" s="57"/>
    </row>
    <row r="531">
      <c r="B531" s="57"/>
    </row>
    <row r="532">
      <c r="B532" s="57"/>
    </row>
    <row r="533">
      <c r="B533" s="57"/>
    </row>
    <row r="534">
      <c r="B534" s="57"/>
    </row>
    <row r="535">
      <c r="B535" s="57"/>
    </row>
    <row r="536">
      <c r="B536" s="57"/>
    </row>
    <row r="537">
      <c r="B537" s="57"/>
    </row>
    <row r="538">
      <c r="B538" s="57"/>
    </row>
    <row r="539">
      <c r="B539" s="57"/>
    </row>
    <row r="540">
      <c r="B540" s="57"/>
    </row>
    <row r="541">
      <c r="B541" s="57"/>
    </row>
    <row r="542">
      <c r="B542" s="57"/>
    </row>
    <row r="543">
      <c r="B543" s="57"/>
    </row>
    <row r="544">
      <c r="B544" s="57"/>
    </row>
    <row r="545">
      <c r="B545" s="57"/>
    </row>
    <row r="546">
      <c r="B546" s="57"/>
    </row>
    <row r="547">
      <c r="B547" s="57"/>
    </row>
    <row r="548">
      <c r="B548" s="57"/>
    </row>
    <row r="549">
      <c r="B549" s="57"/>
    </row>
    <row r="550">
      <c r="B550" s="57"/>
    </row>
    <row r="551">
      <c r="B551" s="57"/>
    </row>
    <row r="552">
      <c r="B552" s="57"/>
    </row>
    <row r="553">
      <c r="B553" s="57"/>
    </row>
    <row r="554">
      <c r="B554" s="57"/>
    </row>
    <row r="555">
      <c r="B555" s="57"/>
    </row>
    <row r="556">
      <c r="B556" s="57"/>
    </row>
    <row r="557">
      <c r="B557" s="57"/>
    </row>
    <row r="558">
      <c r="B558" s="57"/>
    </row>
    <row r="559">
      <c r="B559" s="57"/>
    </row>
    <row r="560">
      <c r="B560" s="57"/>
    </row>
    <row r="561">
      <c r="B561" s="57"/>
    </row>
    <row r="562">
      <c r="B562" s="57"/>
    </row>
    <row r="563">
      <c r="B563" s="57"/>
    </row>
    <row r="564">
      <c r="B564" s="57"/>
    </row>
    <row r="565">
      <c r="B565" s="57"/>
    </row>
    <row r="566">
      <c r="B566" s="57"/>
    </row>
    <row r="567">
      <c r="B567" s="57"/>
    </row>
    <row r="568">
      <c r="B568" s="57"/>
    </row>
    <row r="569">
      <c r="B569" s="57"/>
    </row>
    <row r="570">
      <c r="B570" s="57"/>
    </row>
    <row r="571">
      <c r="B571" s="57"/>
    </row>
    <row r="572">
      <c r="B572" s="57"/>
    </row>
    <row r="573">
      <c r="B573" s="57"/>
    </row>
    <row r="574">
      <c r="B574" s="57"/>
    </row>
    <row r="575">
      <c r="B575" s="57"/>
    </row>
    <row r="576">
      <c r="B576" s="57"/>
    </row>
    <row r="577">
      <c r="B577" s="57"/>
    </row>
    <row r="578">
      <c r="B578" s="57"/>
    </row>
    <row r="579">
      <c r="B579" s="57"/>
    </row>
    <row r="580">
      <c r="B580" s="57"/>
    </row>
    <row r="581">
      <c r="B581" s="57"/>
    </row>
    <row r="582">
      <c r="B582" s="57"/>
    </row>
    <row r="583">
      <c r="B583" s="57"/>
    </row>
    <row r="584">
      <c r="B584" s="57"/>
    </row>
    <row r="585">
      <c r="B585" s="57"/>
    </row>
    <row r="586">
      <c r="B586" s="57"/>
    </row>
    <row r="587">
      <c r="B587" s="57"/>
    </row>
    <row r="588">
      <c r="B588" s="57"/>
    </row>
    <row r="589">
      <c r="B589" s="57"/>
    </row>
    <row r="590">
      <c r="B590" s="57"/>
    </row>
    <row r="591">
      <c r="B591" s="57"/>
    </row>
    <row r="592">
      <c r="B592" s="57"/>
    </row>
    <row r="593">
      <c r="B593" s="57"/>
    </row>
    <row r="594">
      <c r="B594" s="57"/>
    </row>
    <row r="595">
      <c r="B595" s="57"/>
    </row>
    <row r="596">
      <c r="B596" s="57"/>
    </row>
    <row r="597">
      <c r="B597" s="57"/>
    </row>
    <row r="598">
      <c r="B598" s="57"/>
    </row>
    <row r="599">
      <c r="B599" s="57"/>
    </row>
    <row r="600">
      <c r="B600" s="57"/>
    </row>
    <row r="601">
      <c r="B601" s="57"/>
    </row>
    <row r="602">
      <c r="B602" s="57"/>
    </row>
    <row r="603">
      <c r="B603" s="57"/>
    </row>
    <row r="604">
      <c r="B604" s="57"/>
    </row>
    <row r="605">
      <c r="B605" s="57"/>
    </row>
    <row r="606">
      <c r="B606" s="57"/>
    </row>
    <row r="607">
      <c r="B607" s="57"/>
    </row>
    <row r="608">
      <c r="B608" s="57"/>
    </row>
    <row r="609">
      <c r="B609" s="57"/>
    </row>
    <row r="610">
      <c r="B610" s="57"/>
    </row>
    <row r="611">
      <c r="B611" s="57"/>
    </row>
    <row r="612">
      <c r="B612" s="57"/>
    </row>
    <row r="613">
      <c r="B613" s="57"/>
    </row>
    <row r="614">
      <c r="B614" s="57"/>
    </row>
    <row r="615">
      <c r="B615" s="57"/>
    </row>
    <row r="616">
      <c r="B616" s="57"/>
    </row>
    <row r="617">
      <c r="B617" s="57"/>
    </row>
    <row r="618">
      <c r="B618" s="57"/>
    </row>
    <row r="619">
      <c r="B619" s="57"/>
    </row>
    <row r="620">
      <c r="B620" s="57"/>
    </row>
    <row r="621">
      <c r="B621" s="57"/>
    </row>
    <row r="622">
      <c r="B622" s="57"/>
    </row>
    <row r="623">
      <c r="B623" s="57"/>
    </row>
    <row r="624">
      <c r="B624" s="57"/>
    </row>
    <row r="625">
      <c r="B625" s="57"/>
    </row>
    <row r="626">
      <c r="B626" s="57"/>
    </row>
    <row r="627">
      <c r="B627" s="57"/>
    </row>
    <row r="628">
      <c r="B628" s="57"/>
    </row>
    <row r="629">
      <c r="B629" s="57"/>
    </row>
    <row r="630">
      <c r="B630" s="57"/>
    </row>
    <row r="631">
      <c r="B631" s="57"/>
    </row>
    <row r="632">
      <c r="B632" s="57"/>
    </row>
    <row r="633">
      <c r="B633" s="57"/>
    </row>
    <row r="634">
      <c r="B634" s="57"/>
    </row>
    <row r="635">
      <c r="B635" s="57"/>
    </row>
    <row r="636">
      <c r="B636" s="57"/>
    </row>
    <row r="637">
      <c r="B637" s="57"/>
    </row>
    <row r="638">
      <c r="B638" s="57"/>
    </row>
    <row r="639">
      <c r="B639" s="57"/>
    </row>
    <row r="640">
      <c r="B640" s="57"/>
    </row>
    <row r="641">
      <c r="B641" s="57"/>
    </row>
    <row r="642">
      <c r="B642" s="57"/>
    </row>
    <row r="643">
      <c r="B643" s="57"/>
    </row>
    <row r="644">
      <c r="B644" s="57"/>
    </row>
    <row r="645">
      <c r="B645" s="57"/>
    </row>
    <row r="646">
      <c r="B646" s="57"/>
    </row>
    <row r="647">
      <c r="B647" s="57"/>
    </row>
    <row r="648">
      <c r="B648" s="57"/>
    </row>
    <row r="649">
      <c r="B649" s="57"/>
    </row>
    <row r="650">
      <c r="B650" s="57"/>
    </row>
    <row r="651">
      <c r="B651" s="57"/>
    </row>
    <row r="652">
      <c r="B652" s="57"/>
    </row>
    <row r="653">
      <c r="B653" s="57"/>
    </row>
    <row r="654">
      <c r="B654" s="57"/>
    </row>
    <row r="655">
      <c r="B655" s="57"/>
    </row>
    <row r="656">
      <c r="B656" s="57"/>
    </row>
    <row r="657">
      <c r="B657" s="57"/>
    </row>
    <row r="658">
      <c r="B658" s="57"/>
    </row>
    <row r="659">
      <c r="B659" s="57"/>
    </row>
    <row r="660">
      <c r="B660" s="57"/>
    </row>
    <row r="661">
      <c r="B661" s="57"/>
    </row>
    <row r="662">
      <c r="B662" s="57"/>
    </row>
    <row r="663">
      <c r="B663" s="57"/>
    </row>
    <row r="664">
      <c r="B664" s="57"/>
    </row>
    <row r="665">
      <c r="B665" s="57"/>
    </row>
    <row r="666">
      <c r="B666" s="57"/>
    </row>
    <row r="667">
      <c r="B667" s="57"/>
    </row>
    <row r="668">
      <c r="B668" s="57"/>
    </row>
    <row r="669">
      <c r="B669" s="57"/>
    </row>
    <row r="670">
      <c r="B670" s="57"/>
    </row>
    <row r="671">
      <c r="B671" s="57"/>
    </row>
    <row r="672">
      <c r="B672" s="57"/>
    </row>
    <row r="673">
      <c r="B673" s="57"/>
    </row>
    <row r="674">
      <c r="B674" s="57"/>
    </row>
    <row r="675">
      <c r="B675" s="57"/>
    </row>
    <row r="676">
      <c r="B676" s="57"/>
    </row>
    <row r="677">
      <c r="B677" s="57"/>
    </row>
    <row r="678">
      <c r="B678" s="57"/>
    </row>
    <row r="679">
      <c r="B679" s="57"/>
    </row>
    <row r="680">
      <c r="B680" s="57"/>
    </row>
    <row r="681">
      <c r="B681" s="57"/>
    </row>
    <row r="682">
      <c r="B682" s="57"/>
    </row>
    <row r="683">
      <c r="B683" s="57"/>
    </row>
    <row r="684">
      <c r="B684" s="57"/>
    </row>
    <row r="685">
      <c r="B685" s="57"/>
    </row>
    <row r="686">
      <c r="B686" s="57"/>
    </row>
    <row r="687">
      <c r="B687" s="57"/>
    </row>
    <row r="688">
      <c r="B688" s="57"/>
    </row>
    <row r="689">
      <c r="B689" s="57"/>
    </row>
    <row r="690">
      <c r="B690" s="57"/>
    </row>
    <row r="691">
      <c r="B691" s="57"/>
    </row>
    <row r="692">
      <c r="B692" s="57"/>
    </row>
    <row r="693">
      <c r="B693" s="57"/>
    </row>
    <row r="694">
      <c r="B694" s="57"/>
    </row>
    <row r="695">
      <c r="B695" s="57"/>
    </row>
    <row r="696">
      <c r="B696" s="57"/>
    </row>
    <row r="697">
      <c r="B697" s="57"/>
    </row>
    <row r="698">
      <c r="B698" s="57"/>
    </row>
    <row r="699">
      <c r="B699" s="57"/>
    </row>
    <row r="700">
      <c r="B700" s="57"/>
    </row>
    <row r="701">
      <c r="B701" s="57"/>
    </row>
    <row r="702">
      <c r="B702" s="57"/>
    </row>
    <row r="703">
      <c r="B703" s="57"/>
    </row>
    <row r="704">
      <c r="B704" s="57"/>
    </row>
    <row r="705">
      <c r="B705" s="57"/>
    </row>
    <row r="706">
      <c r="B706" s="57"/>
    </row>
    <row r="707">
      <c r="B707" s="57"/>
    </row>
    <row r="708">
      <c r="B708" s="57"/>
    </row>
    <row r="709">
      <c r="B709" s="57"/>
    </row>
    <row r="710">
      <c r="B710" s="57"/>
    </row>
    <row r="711">
      <c r="B711" s="57"/>
    </row>
    <row r="712">
      <c r="B712" s="57"/>
    </row>
    <row r="713">
      <c r="B713" s="57"/>
    </row>
    <row r="714">
      <c r="B714" s="57"/>
    </row>
    <row r="715">
      <c r="B715" s="57"/>
    </row>
    <row r="716">
      <c r="B716" s="57"/>
    </row>
    <row r="717">
      <c r="B717" s="57"/>
    </row>
    <row r="718">
      <c r="B718" s="57"/>
    </row>
    <row r="719">
      <c r="B719" s="57"/>
    </row>
    <row r="720">
      <c r="B720" s="57"/>
    </row>
    <row r="721">
      <c r="B721" s="57"/>
    </row>
    <row r="722">
      <c r="B722" s="57"/>
    </row>
    <row r="723">
      <c r="B723" s="57"/>
    </row>
    <row r="724">
      <c r="B724" s="57"/>
    </row>
    <row r="725">
      <c r="B725" s="57"/>
    </row>
    <row r="726">
      <c r="B726" s="57"/>
    </row>
    <row r="727">
      <c r="B727" s="57"/>
    </row>
    <row r="728">
      <c r="B728" s="57"/>
    </row>
    <row r="729">
      <c r="B729" s="57"/>
    </row>
    <row r="730">
      <c r="B730" s="57"/>
    </row>
    <row r="731">
      <c r="B731" s="57"/>
    </row>
    <row r="732">
      <c r="B732" s="57"/>
    </row>
    <row r="733">
      <c r="B733" s="57"/>
    </row>
    <row r="734">
      <c r="B734" s="57"/>
    </row>
    <row r="735">
      <c r="B735" s="57"/>
    </row>
    <row r="736">
      <c r="B736" s="57"/>
    </row>
    <row r="737">
      <c r="B737" s="57"/>
    </row>
    <row r="738">
      <c r="B738" s="57"/>
    </row>
    <row r="739">
      <c r="B739" s="57"/>
    </row>
    <row r="740">
      <c r="B740" s="57"/>
    </row>
    <row r="741">
      <c r="B741" s="57"/>
    </row>
    <row r="742">
      <c r="B742" s="57"/>
    </row>
    <row r="743">
      <c r="B743" s="57"/>
    </row>
    <row r="744">
      <c r="B744" s="57"/>
    </row>
    <row r="745">
      <c r="B745" s="57"/>
    </row>
    <row r="746">
      <c r="B746" s="57"/>
    </row>
    <row r="747">
      <c r="B747" s="57"/>
    </row>
    <row r="748">
      <c r="B748" s="57"/>
    </row>
    <row r="749">
      <c r="B749" s="57"/>
    </row>
    <row r="750">
      <c r="B750" s="57"/>
    </row>
    <row r="751">
      <c r="B751" s="57"/>
    </row>
    <row r="752">
      <c r="B752" s="57"/>
    </row>
    <row r="753">
      <c r="B753" s="57"/>
    </row>
    <row r="754">
      <c r="B754" s="57"/>
    </row>
    <row r="755">
      <c r="B755" s="57"/>
    </row>
    <row r="756">
      <c r="B756" s="57"/>
    </row>
    <row r="757">
      <c r="B757" s="57"/>
    </row>
    <row r="758">
      <c r="B758" s="57"/>
    </row>
    <row r="759">
      <c r="B759" s="57"/>
    </row>
    <row r="760">
      <c r="B760" s="57"/>
    </row>
    <row r="761">
      <c r="B761" s="57"/>
    </row>
    <row r="762">
      <c r="B762" s="57"/>
    </row>
    <row r="763">
      <c r="B763" s="57"/>
    </row>
    <row r="764">
      <c r="B764" s="57"/>
    </row>
    <row r="765">
      <c r="B765" s="57"/>
    </row>
    <row r="766">
      <c r="B766" s="57"/>
    </row>
    <row r="767">
      <c r="B767" s="57"/>
    </row>
    <row r="768">
      <c r="B768" s="57"/>
    </row>
    <row r="769">
      <c r="B769" s="57"/>
    </row>
    <row r="770">
      <c r="B770" s="57"/>
    </row>
    <row r="771">
      <c r="B771" s="57"/>
    </row>
    <row r="772">
      <c r="B772" s="57"/>
    </row>
    <row r="773">
      <c r="B773" s="57"/>
    </row>
    <row r="774">
      <c r="B774" s="57"/>
    </row>
    <row r="775">
      <c r="B775" s="57"/>
    </row>
    <row r="776">
      <c r="B776" s="57"/>
    </row>
    <row r="777">
      <c r="B777" s="57"/>
    </row>
    <row r="778">
      <c r="B778" s="57"/>
    </row>
    <row r="779">
      <c r="B779" s="57"/>
    </row>
    <row r="780">
      <c r="B780" s="57"/>
    </row>
    <row r="781">
      <c r="B781" s="57"/>
    </row>
    <row r="782">
      <c r="B782" s="57"/>
    </row>
    <row r="783">
      <c r="B783" s="57"/>
    </row>
    <row r="784">
      <c r="B784" s="57"/>
    </row>
    <row r="785">
      <c r="B785" s="57"/>
    </row>
    <row r="786">
      <c r="B786" s="57"/>
    </row>
    <row r="787">
      <c r="B787" s="57"/>
    </row>
    <row r="788">
      <c r="B788" s="57"/>
    </row>
    <row r="789">
      <c r="B789" s="57"/>
    </row>
    <row r="790">
      <c r="B790" s="57"/>
    </row>
    <row r="791">
      <c r="B791" s="57"/>
    </row>
    <row r="792">
      <c r="B792" s="57"/>
    </row>
    <row r="793">
      <c r="B793" s="57"/>
    </row>
    <row r="794">
      <c r="B794" s="57"/>
    </row>
    <row r="795">
      <c r="B795" s="57"/>
    </row>
    <row r="796">
      <c r="B796" s="57"/>
    </row>
    <row r="797">
      <c r="B797" s="57"/>
    </row>
    <row r="798">
      <c r="B798" s="57"/>
    </row>
    <row r="799">
      <c r="B799" s="57"/>
    </row>
    <row r="800">
      <c r="B800" s="57"/>
    </row>
    <row r="801">
      <c r="B801" s="57"/>
    </row>
    <row r="802">
      <c r="B802" s="57"/>
    </row>
    <row r="803">
      <c r="B803" s="57"/>
    </row>
    <row r="804">
      <c r="B804" s="57"/>
    </row>
    <row r="805">
      <c r="B805" s="57"/>
    </row>
    <row r="806">
      <c r="B806" s="57"/>
    </row>
    <row r="807">
      <c r="B807" s="57"/>
    </row>
    <row r="808">
      <c r="B808" s="57"/>
    </row>
    <row r="809">
      <c r="B809" s="57"/>
    </row>
    <row r="810">
      <c r="B810" s="57"/>
    </row>
    <row r="811">
      <c r="B811" s="57"/>
    </row>
    <row r="812">
      <c r="B812" s="57"/>
    </row>
    <row r="813">
      <c r="B813" s="57"/>
    </row>
    <row r="814">
      <c r="B814" s="57"/>
    </row>
    <row r="815">
      <c r="B815" s="57"/>
    </row>
    <row r="816">
      <c r="B816" s="57"/>
    </row>
    <row r="817">
      <c r="B817" s="57"/>
    </row>
    <row r="818">
      <c r="B818" s="57"/>
    </row>
    <row r="819">
      <c r="B819" s="57"/>
    </row>
    <row r="820">
      <c r="B820" s="57"/>
    </row>
    <row r="821">
      <c r="B821" s="57"/>
    </row>
    <row r="822">
      <c r="B822" s="57"/>
    </row>
    <row r="823">
      <c r="B823" s="57"/>
    </row>
    <row r="824">
      <c r="B824" s="57"/>
    </row>
    <row r="825">
      <c r="B825" s="57"/>
    </row>
    <row r="826">
      <c r="B826" s="57"/>
    </row>
    <row r="827">
      <c r="B827" s="57"/>
    </row>
    <row r="828">
      <c r="B828" s="57"/>
    </row>
    <row r="829">
      <c r="B829" s="57"/>
    </row>
    <row r="830">
      <c r="B830" s="57"/>
    </row>
    <row r="831">
      <c r="B831" s="57"/>
    </row>
    <row r="832">
      <c r="B832" s="57"/>
    </row>
    <row r="833">
      <c r="B833" s="57"/>
    </row>
    <row r="834">
      <c r="B834" s="57"/>
    </row>
    <row r="835">
      <c r="B835" s="57"/>
    </row>
    <row r="836">
      <c r="B836" s="57"/>
    </row>
    <row r="837">
      <c r="B837" s="57"/>
    </row>
    <row r="838">
      <c r="B838" s="57"/>
    </row>
    <row r="839">
      <c r="B839" s="57"/>
    </row>
    <row r="840">
      <c r="B840" s="57"/>
    </row>
    <row r="841">
      <c r="B841" s="57"/>
    </row>
    <row r="842">
      <c r="B842" s="57"/>
    </row>
    <row r="843">
      <c r="B843" s="57"/>
    </row>
    <row r="844">
      <c r="B844" s="57"/>
    </row>
    <row r="845">
      <c r="B845" s="57"/>
    </row>
    <row r="846">
      <c r="B846" s="57"/>
    </row>
    <row r="847">
      <c r="B847" s="57"/>
    </row>
    <row r="848">
      <c r="B848" s="57"/>
    </row>
    <row r="849">
      <c r="B849" s="57"/>
    </row>
    <row r="850">
      <c r="B850" s="57"/>
    </row>
    <row r="851">
      <c r="B851" s="57"/>
    </row>
    <row r="852">
      <c r="B852" s="57"/>
    </row>
    <row r="853">
      <c r="B853" s="57"/>
    </row>
    <row r="854">
      <c r="B854" s="57"/>
    </row>
    <row r="855">
      <c r="B855" s="57"/>
    </row>
    <row r="856">
      <c r="B856" s="57"/>
    </row>
    <row r="857">
      <c r="B857" s="57"/>
    </row>
    <row r="858">
      <c r="B858" s="57"/>
    </row>
    <row r="859">
      <c r="B859" s="57"/>
    </row>
    <row r="860">
      <c r="B860" s="57"/>
    </row>
    <row r="861">
      <c r="B861" s="57"/>
    </row>
    <row r="862">
      <c r="B862" s="57"/>
    </row>
    <row r="863">
      <c r="B863" s="57"/>
    </row>
    <row r="864">
      <c r="B864" s="57"/>
    </row>
    <row r="865">
      <c r="B865" s="57"/>
    </row>
    <row r="866">
      <c r="B866" s="57"/>
    </row>
    <row r="867">
      <c r="B867" s="57"/>
    </row>
    <row r="868">
      <c r="B868" s="57"/>
    </row>
    <row r="869">
      <c r="B869" s="57"/>
    </row>
    <row r="870">
      <c r="B870" s="57"/>
    </row>
    <row r="871">
      <c r="B871" s="57"/>
    </row>
    <row r="872">
      <c r="B872" s="57"/>
    </row>
    <row r="873">
      <c r="B873" s="57"/>
    </row>
    <row r="874">
      <c r="B874" s="57"/>
    </row>
    <row r="875">
      <c r="B875" s="57"/>
    </row>
    <row r="876">
      <c r="B876" s="57"/>
    </row>
    <row r="877">
      <c r="B877" s="57"/>
    </row>
    <row r="878">
      <c r="B878" s="57"/>
    </row>
    <row r="879">
      <c r="B879" s="57"/>
    </row>
    <row r="880">
      <c r="B880" s="57"/>
    </row>
    <row r="881">
      <c r="B881" s="57"/>
    </row>
    <row r="882">
      <c r="B882" s="57"/>
    </row>
    <row r="883">
      <c r="B883" s="57"/>
    </row>
    <row r="884">
      <c r="B884" s="57"/>
    </row>
    <row r="885">
      <c r="B885" s="57"/>
    </row>
    <row r="886">
      <c r="B886" s="57"/>
    </row>
    <row r="887">
      <c r="B887" s="57"/>
    </row>
    <row r="888">
      <c r="B888" s="57"/>
    </row>
    <row r="889">
      <c r="B889" s="57"/>
    </row>
    <row r="890">
      <c r="B890" s="57"/>
    </row>
    <row r="891">
      <c r="B891" s="57"/>
    </row>
    <row r="892">
      <c r="B892" s="57"/>
    </row>
    <row r="893">
      <c r="B893" s="57"/>
    </row>
    <row r="894">
      <c r="B894" s="57"/>
    </row>
    <row r="895">
      <c r="B895" s="57"/>
    </row>
    <row r="896">
      <c r="B896" s="57"/>
    </row>
    <row r="897">
      <c r="B897" s="57"/>
    </row>
    <row r="898">
      <c r="B898" s="57"/>
    </row>
    <row r="899">
      <c r="B899" s="57"/>
    </row>
    <row r="900">
      <c r="B900" s="57"/>
    </row>
    <row r="901">
      <c r="B901" s="57"/>
    </row>
    <row r="902">
      <c r="B902" s="57"/>
    </row>
    <row r="903">
      <c r="B903" s="57"/>
    </row>
    <row r="904">
      <c r="B904" s="57"/>
    </row>
    <row r="905">
      <c r="B905" s="57"/>
    </row>
    <row r="906">
      <c r="B906" s="57"/>
    </row>
    <row r="907">
      <c r="B907" s="57"/>
    </row>
    <row r="908">
      <c r="B908" s="57"/>
    </row>
    <row r="909">
      <c r="B909" s="57"/>
    </row>
    <row r="910">
      <c r="B910" s="57"/>
    </row>
    <row r="911">
      <c r="B911" s="57"/>
    </row>
    <row r="912">
      <c r="B912" s="57"/>
    </row>
    <row r="913">
      <c r="B913" s="57"/>
    </row>
    <row r="914">
      <c r="B914" s="57"/>
    </row>
    <row r="915">
      <c r="B915" s="57"/>
    </row>
    <row r="916">
      <c r="B916" s="57"/>
    </row>
    <row r="917">
      <c r="B917" s="57"/>
    </row>
    <row r="918">
      <c r="B918" s="57"/>
    </row>
    <row r="919">
      <c r="B919" s="57"/>
    </row>
    <row r="920">
      <c r="B920" s="57"/>
    </row>
    <row r="921">
      <c r="B921" s="57"/>
    </row>
    <row r="922">
      <c r="B922" s="57"/>
    </row>
    <row r="923">
      <c r="B923" s="57"/>
    </row>
    <row r="924">
      <c r="B924" s="57"/>
    </row>
    <row r="925">
      <c r="B925" s="57"/>
    </row>
    <row r="926">
      <c r="B926" s="57"/>
    </row>
    <row r="927">
      <c r="B927" s="57"/>
    </row>
    <row r="928">
      <c r="B928" s="57"/>
    </row>
    <row r="929">
      <c r="B929" s="57"/>
    </row>
    <row r="930">
      <c r="B930" s="57"/>
    </row>
    <row r="931">
      <c r="B931" s="57"/>
    </row>
    <row r="932">
      <c r="B932" s="57"/>
    </row>
    <row r="933">
      <c r="B933" s="57"/>
    </row>
    <row r="934">
      <c r="B934" s="57"/>
    </row>
    <row r="935">
      <c r="B935" s="57"/>
    </row>
    <row r="936">
      <c r="B936" s="57"/>
    </row>
    <row r="937">
      <c r="B937" s="57"/>
    </row>
    <row r="938">
      <c r="B938" s="57"/>
    </row>
    <row r="939">
      <c r="B939" s="57"/>
    </row>
    <row r="940">
      <c r="B940" s="57"/>
    </row>
    <row r="941">
      <c r="B941" s="57"/>
    </row>
    <row r="942">
      <c r="B942" s="57"/>
    </row>
    <row r="943">
      <c r="B943" s="57"/>
    </row>
    <row r="944">
      <c r="B944" s="57"/>
    </row>
    <row r="945">
      <c r="B945" s="57"/>
    </row>
    <row r="946">
      <c r="B946" s="57"/>
    </row>
    <row r="947">
      <c r="B947" s="57"/>
    </row>
    <row r="948">
      <c r="B948" s="57"/>
    </row>
    <row r="949">
      <c r="B949" s="57"/>
    </row>
    <row r="950">
      <c r="B950" s="57"/>
    </row>
    <row r="951">
      <c r="B951" s="57"/>
    </row>
    <row r="952">
      <c r="B952" s="57"/>
    </row>
    <row r="953">
      <c r="B953" s="57"/>
    </row>
    <row r="954">
      <c r="B954" s="57"/>
    </row>
    <row r="955">
      <c r="B955" s="57"/>
    </row>
    <row r="956">
      <c r="B956" s="57"/>
    </row>
    <row r="957">
      <c r="B957" s="57"/>
    </row>
    <row r="958">
      <c r="B958" s="57"/>
    </row>
    <row r="959">
      <c r="B959" s="57"/>
    </row>
    <row r="960">
      <c r="B960" s="57"/>
    </row>
    <row r="961">
      <c r="B961" s="57"/>
    </row>
    <row r="962">
      <c r="B962" s="57"/>
    </row>
    <row r="963">
      <c r="B963" s="57"/>
    </row>
    <row r="964">
      <c r="B964" s="57"/>
    </row>
    <row r="965">
      <c r="B965" s="57"/>
    </row>
    <row r="966">
      <c r="B966" s="57"/>
    </row>
    <row r="967">
      <c r="B967" s="57"/>
    </row>
    <row r="968">
      <c r="B968" s="57"/>
    </row>
    <row r="969">
      <c r="B969" s="57"/>
    </row>
    <row r="970">
      <c r="B970" s="57"/>
    </row>
    <row r="971">
      <c r="B971" s="57"/>
    </row>
    <row r="972">
      <c r="B972" s="57"/>
    </row>
    <row r="973">
      <c r="B973" s="57"/>
    </row>
    <row r="974">
      <c r="B974" s="57"/>
    </row>
    <row r="975">
      <c r="B975" s="57"/>
    </row>
    <row r="976">
      <c r="B976" s="57"/>
    </row>
    <row r="977">
      <c r="B977" s="57"/>
    </row>
    <row r="978">
      <c r="B978" s="57"/>
    </row>
    <row r="979">
      <c r="B979" s="57"/>
    </row>
    <row r="980">
      <c r="B980" s="57"/>
    </row>
    <row r="981">
      <c r="B981" s="57"/>
    </row>
    <row r="982">
      <c r="B982" s="57"/>
    </row>
    <row r="983">
      <c r="B983" s="57"/>
    </row>
    <row r="984">
      <c r="B984" s="57"/>
    </row>
    <row r="985">
      <c r="B985" s="57"/>
    </row>
    <row r="986">
      <c r="B986" s="57"/>
    </row>
    <row r="987">
      <c r="B987" s="57"/>
    </row>
    <row r="988">
      <c r="B988" s="57"/>
    </row>
    <row r="989">
      <c r="B989" s="57"/>
    </row>
    <row r="990">
      <c r="B990" s="57"/>
    </row>
    <row r="991">
      <c r="B991" s="57"/>
    </row>
    <row r="992">
      <c r="B992" s="57"/>
    </row>
    <row r="993">
      <c r="B993" s="57"/>
    </row>
    <row r="994">
      <c r="B994" s="57"/>
    </row>
    <row r="995">
      <c r="B995" s="57"/>
    </row>
    <row r="996">
      <c r="B996" s="57"/>
    </row>
    <row r="997">
      <c r="B997" s="57"/>
    </row>
    <row r="998">
      <c r="B998" s="57"/>
    </row>
    <row r="999">
      <c r="B999" s="57"/>
    </row>
    <row r="1000">
      <c r="B1000" s="57"/>
    </row>
    <row r="1001">
      <c r="B1001" s="5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26.75"/>
    <col customWidth="1" min="3" max="3" width="12.63"/>
  </cols>
  <sheetData>
    <row r="1">
      <c r="A1" s="72" t="s">
        <v>210</v>
      </c>
      <c r="B1" s="72" t="s">
        <v>34</v>
      </c>
      <c r="C1" s="72" t="s">
        <v>211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>
      <c r="A2" s="74" t="s">
        <v>212</v>
      </c>
      <c r="B2" s="74" t="s">
        <v>213</v>
      </c>
      <c r="C2" s="74">
        <v>67.0</v>
      </c>
    </row>
    <row r="3">
      <c r="A3" s="74" t="s">
        <v>214</v>
      </c>
      <c r="B3" s="74" t="s">
        <v>215</v>
      </c>
      <c r="C3" s="74">
        <v>82.0</v>
      </c>
    </row>
    <row r="4">
      <c r="A4" s="74" t="s">
        <v>216</v>
      </c>
      <c r="B4" s="74" t="s">
        <v>217</v>
      </c>
      <c r="C4" s="74">
        <v>70.0</v>
      </c>
    </row>
    <row r="5">
      <c r="A5" s="74" t="s">
        <v>218</v>
      </c>
      <c r="B5" s="74" t="s">
        <v>219</v>
      </c>
      <c r="C5" s="74">
        <v>99.0</v>
      </c>
    </row>
    <row r="6">
      <c r="A6" s="74" t="s">
        <v>220</v>
      </c>
      <c r="B6" s="74" t="s">
        <v>221</v>
      </c>
      <c r="C6" s="74">
        <v>111.0</v>
      </c>
    </row>
    <row r="7">
      <c r="A7" s="74" t="s">
        <v>222</v>
      </c>
      <c r="B7" s="74" t="s">
        <v>217</v>
      </c>
      <c r="C7" s="74">
        <v>14.0</v>
      </c>
    </row>
    <row r="8">
      <c r="A8" s="74" t="s">
        <v>223</v>
      </c>
      <c r="B8" s="74" t="s">
        <v>215</v>
      </c>
      <c r="C8" s="74">
        <v>80.0</v>
      </c>
    </row>
    <row r="9">
      <c r="A9" s="74" t="s">
        <v>224</v>
      </c>
      <c r="B9" s="74" t="s">
        <v>225</v>
      </c>
      <c r="C9" s="74">
        <v>46.0</v>
      </c>
    </row>
    <row r="10">
      <c r="A10" s="74" t="s">
        <v>226</v>
      </c>
      <c r="B10" s="74" t="s">
        <v>227</v>
      </c>
      <c r="C10" s="74">
        <v>98.0</v>
      </c>
    </row>
    <row r="11">
      <c r="A11" s="74" t="s">
        <v>228</v>
      </c>
      <c r="B11" s="74" t="s">
        <v>229</v>
      </c>
      <c r="C11" s="74">
        <v>44.0</v>
      </c>
    </row>
    <row r="12">
      <c r="A12" s="74" t="s">
        <v>230</v>
      </c>
      <c r="B12" s="74" t="s">
        <v>231</v>
      </c>
      <c r="C12" s="74">
        <v>22.0</v>
      </c>
    </row>
    <row r="13">
      <c r="A13" s="74" t="s">
        <v>232</v>
      </c>
      <c r="B13" s="74" t="s">
        <v>233</v>
      </c>
      <c r="C13" s="74">
        <v>15.0</v>
      </c>
    </row>
    <row r="14">
      <c r="A14" s="74" t="s">
        <v>234</v>
      </c>
      <c r="B14" s="74" t="s">
        <v>217</v>
      </c>
      <c r="C14" s="74">
        <v>4.0</v>
      </c>
    </row>
    <row r="15">
      <c r="A15" s="74" t="s">
        <v>235</v>
      </c>
      <c r="B15" s="74" t="s">
        <v>221</v>
      </c>
      <c r="C15" s="74">
        <v>23.0</v>
      </c>
    </row>
    <row r="16">
      <c r="A16" s="74" t="s">
        <v>236</v>
      </c>
      <c r="B16" s="74" t="s">
        <v>213</v>
      </c>
      <c r="C16" s="74">
        <v>80.0</v>
      </c>
    </row>
    <row r="17">
      <c r="A17" s="74" t="s">
        <v>237</v>
      </c>
      <c r="B17" s="74" t="s">
        <v>238</v>
      </c>
      <c r="C17" s="74">
        <v>51.0</v>
      </c>
    </row>
    <row r="18">
      <c r="A18" s="74" t="s">
        <v>239</v>
      </c>
      <c r="B18" s="74" t="s">
        <v>240</v>
      </c>
      <c r="C18" s="74">
        <v>84.0</v>
      </c>
    </row>
    <row r="19">
      <c r="A19" s="74" t="s">
        <v>241</v>
      </c>
      <c r="B19" s="74" t="s">
        <v>242</v>
      </c>
      <c r="C19" s="74">
        <v>43.0</v>
      </c>
    </row>
    <row r="20">
      <c r="A20" s="74" t="s">
        <v>243</v>
      </c>
      <c r="B20" s="74" t="s">
        <v>244</v>
      </c>
      <c r="C20" s="74">
        <v>50.0</v>
      </c>
    </row>
    <row r="21">
      <c r="A21" s="74" t="s">
        <v>245</v>
      </c>
      <c r="B21" s="74" t="s">
        <v>227</v>
      </c>
      <c r="C21" s="74">
        <v>80.0</v>
      </c>
    </row>
    <row r="22">
      <c r="A22" s="74" t="s">
        <v>246</v>
      </c>
      <c r="B22" s="74" t="s">
        <v>247</v>
      </c>
      <c r="C22" s="74">
        <v>30.0</v>
      </c>
    </row>
    <row r="23">
      <c r="A23" s="74" t="s">
        <v>248</v>
      </c>
      <c r="B23" s="74" t="s">
        <v>249</v>
      </c>
      <c r="C23" s="74">
        <v>74.0</v>
      </c>
    </row>
    <row r="24">
      <c r="A24" s="74" t="s">
        <v>250</v>
      </c>
      <c r="B24" s="74" t="s">
        <v>251</v>
      </c>
      <c r="C24" s="74">
        <v>89.0</v>
      </c>
    </row>
    <row r="25">
      <c r="A25" s="74" t="s">
        <v>252</v>
      </c>
      <c r="B25" s="74" t="s">
        <v>253</v>
      </c>
      <c r="C25" s="74">
        <v>29.0</v>
      </c>
    </row>
    <row r="26">
      <c r="A26" s="74" t="s">
        <v>254</v>
      </c>
      <c r="B26" s="74" t="s">
        <v>255</v>
      </c>
      <c r="C26" s="74">
        <v>15.0</v>
      </c>
    </row>
    <row r="27">
      <c r="A27" s="74" t="s">
        <v>256</v>
      </c>
      <c r="B27" s="74" t="s">
        <v>257</v>
      </c>
      <c r="C27" s="74">
        <v>28.0</v>
      </c>
    </row>
    <row r="28">
      <c r="A28" s="74" t="s">
        <v>258</v>
      </c>
      <c r="B28" s="74" t="s">
        <v>259</v>
      </c>
      <c r="C28" s="74">
        <v>70.0</v>
      </c>
    </row>
    <row r="29">
      <c r="A29" s="74" t="s">
        <v>260</v>
      </c>
      <c r="B29" s="74" t="s">
        <v>253</v>
      </c>
      <c r="C29" s="74">
        <v>23.0</v>
      </c>
    </row>
    <row r="30">
      <c r="A30" s="74" t="s">
        <v>261</v>
      </c>
      <c r="B30" s="74" t="s">
        <v>262</v>
      </c>
      <c r="C30" s="74">
        <v>22.0</v>
      </c>
    </row>
    <row r="31">
      <c r="A31" s="74" t="s">
        <v>263</v>
      </c>
      <c r="B31" s="74" t="s">
        <v>264</v>
      </c>
      <c r="C31" s="74">
        <v>24.0</v>
      </c>
    </row>
    <row r="32">
      <c r="A32" s="74" t="s">
        <v>265</v>
      </c>
      <c r="B32" s="74" t="s">
        <v>217</v>
      </c>
      <c r="C32" s="74">
        <v>23.0</v>
      </c>
    </row>
    <row r="33">
      <c r="A33" s="74" t="s">
        <v>266</v>
      </c>
      <c r="B33" s="74" t="s">
        <v>262</v>
      </c>
      <c r="C33" s="74">
        <v>48.0</v>
      </c>
    </row>
    <row r="34">
      <c r="A34" s="74" t="s">
        <v>267</v>
      </c>
      <c r="B34" s="74" t="s">
        <v>227</v>
      </c>
      <c r="C34" s="74">
        <v>215.0</v>
      </c>
    </row>
    <row r="35">
      <c r="A35" s="74" t="s">
        <v>268</v>
      </c>
      <c r="B35" s="74" t="s">
        <v>269</v>
      </c>
      <c r="C35" s="74">
        <v>91.0</v>
      </c>
    </row>
    <row r="36">
      <c r="A36" s="74" t="s">
        <v>270</v>
      </c>
      <c r="B36" s="74" t="s">
        <v>213</v>
      </c>
      <c r="C36" s="74">
        <v>122.0</v>
      </c>
    </row>
    <row r="37">
      <c r="A37" s="74" t="s">
        <v>271</v>
      </c>
      <c r="B37" s="74" t="s">
        <v>272</v>
      </c>
      <c r="C37" s="74">
        <v>83.0</v>
      </c>
    </row>
    <row r="38">
      <c r="A38" s="74" t="s">
        <v>273</v>
      </c>
      <c r="B38" s="74" t="s">
        <v>247</v>
      </c>
      <c r="C38" s="74">
        <v>69.0</v>
      </c>
    </row>
    <row r="39">
      <c r="A39" s="74" t="s">
        <v>274</v>
      </c>
      <c r="B39" s="74" t="s">
        <v>249</v>
      </c>
      <c r="C39" s="74">
        <v>66.0</v>
      </c>
    </row>
    <row r="40">
      <c r="A40" s="74" t="s">
        <v>245</v>
      </c>
      <c r="B40" s="74" t="s">
        <v>227</v>
      </c>
      <c r="C40" s="74">
        <v>80.0</v>
      </c>
    </row>
    <row r="41">
      <c r="A41" s="74" t="s">
        <v>275</v>
      </c>
      <c r="B41" s="74" t="s">
        <v>213</v>
      </c>
      <c r="C41" s="74">
        <v>122.0</v>
      </c>
    </row>
    <row r="42">
      <c r="A42" s="74" t="s">
        <v>276</v>
      </c>
      <c r="B42" s="74" t="s">
        <v>277</v>
      </c>
      <c r="C42" s="74">
        <v>11.0</v>
      </c>
    </row>
    <row r="43">
      <c r="A43" s="74" t="s">
        <v>278</v>
      </c>
      <c r="B43" s="74" t="s">
        <v>221</v>
      </c>
      <c r="C43" s="74">
        <v>68.0</v>
      </c>
    </row>
    <row r="44">
      <c r="A44" s="74" t="s">
        <v>279</v>
      </c>
      <c r="B44" s="74" t="s">
        <v>255</v>
      </c>
      <c r="C44" s="74">
        <v>6.0</v>
      </c>
    </row>
    <row r="45">
      <c r="A45" s="74" t="s">
        <v>280</v>
      </c>
      <c r="B45" s="74" t="s">
        <v>247</v>
      </c>
      <c r="C45" s="74">
        <v>17.0</v>
      </c>
    </row>
    <row r="46">
      <c r="A46" s="74" t="s">
        <v>281</v>
      </c>
      <c r="B46" s="74" t="s">
        <v>282</v>
      </c>
      <c r="C46" s="74">
        <v>133.0</v>
      </c>
    </row>
    <row r="47">
      <c r="A47" s="74" t="s">
        <v>283</v>
      </c>
      <c r="B47" s="74" t="s">
        <v>284</v>
      </c>
      <c r="C47" s="74">
        <v>10.0</v>
      </c>
    </row>
    <row r="48">
      <c r="A48" s="74" t="s">
        <v>285</v>
      </c>
      <c r="B48" s="74" t="s">
        <v>286</v>
      </c>
      <c r="C48" s="74">
        <v>49.0</v>
      </c>
    </row>
    <row r="49">
      <c r="A49" s="74" t="s">
        <v>287</v>
      </c>
      <c r="B49" s="74" t="s">
        <v>288</v>
      </c>
      <c r="C49" s="74">
        <v>39.0</v>
      </c>
    </row>
    <row r="50">
      <c r="A50" s="74" t="s">
        <v>289</v>
      </c>
      <c r="B50" s="74" t="s">
        <v>221</v>
      </c>
      <c r="C50" s="74">
        <v>71.0</v>
      </c>
    </row>
    <row r="51">
      <c r="A51" s="74" t="s">
        <v>290</v>
      </c>
      <c r="B51" s="74" t="s">
        <v>221</v>
      </c>
      <c r="C51" s="74">
        <v>61.0</v>
      </c>
    </row>
    <row r="52">
      <c r="A52" s="74" t="s">
        <v>291</v>
      </c>
      <c r="B52" s="74" t="s">
        <v>221</v>
      </c>
      <c r="C52" s="74">
        <v>17.0</v>
      </c>
    </row>
    <row r="53">
      <c r="A53" s="74" t="s">
        <v>292</v>
      </c>
      <c r="B53" s="74" t="s">
        <v>293</v>
      </c>
      <c r="C53" s="74">
        <v>62.0</v>
      </c>
    </row>
    <row r="54">
      <c r="A54" s="74" t="s">
        <v>294</v>
      </c>
      <c r="B54" s="74" t="s">
        <v>295</v>
      </c>
      <c r="C54" s="74">
        <v>78.0</v>
      </c>
    </row>
    <row r="55">
      <c r="A55" s="74" t="s">
        <v>145</v>
      </c>
      <c r="B55" s="74" t="s">
        <v>225</v>
      </c>
      <c r="C55" s="74">
        <v>16.0</v>
      </c>
    </row>
    <row r="56">
      <c r="A56" s="74" t="s">
        <v>296</v>
      </c>
      <c r="B56" s="74" t="s">
        <v>297</v>
      </c>
      <c r="C56" s="74">
        <v>24.0</v>
      </c>
    </row>
    <row r="57">
      <c r="A57" s="74" t="s">
        <v>298</v>
      </c>
      <c r="B57" s="74" t="s">
        <v>238</v>
      </c>
      <c r="C57" s="74">
        <v>54.0</v>
      </c>
    </row>
    <row r="58">
      <c r="A58" s="74" t="s">
        <v>299</v>
      </c>
      <c r="B58" s="74" t="s">
        <v>300</v>
      </c>
      <c r="C58" s="74">
        <v>24.0</v>
      </c>
    </row>
    <row r="59">
      <c r="A59" s="74" t="s">
        <v>301</v>
      </c>
      <c r="B59" s="74" t="s">
        <v>221</v>
      </c>
      <c r="C59" s="74">
        <v>25.0</v>
      </c>
    </row>
    <row r="60">
      <c r="A60" s="74" t="s">
        <v>302</v>
      </c>
      <c r="B60" s="74" t="s">
        <v>303</v>
      </c>
      <c r="C60" s="74">
        <v>2.0</v>
      </c>
    </row>
    <row r="61">
      <c r="A61" s="74" t="s">
        <v>304</v>
      </c>
      <c r="B61" s="74" t="s">
        <v>305</v>
      </c>
      <c r="C61" s="74">
        <v>83.0</v>
      </c>
    </row>
    <row r="62">
      <c r="A62" s="74" t="s">
        <v>290</v>
      </c>
      <c r="B62" s="74" t="s">
        <v>221</v>
      </c>
      <c r="C62" s="74">
        <v>61.0</v>
      </c>
    </row>
    <row r="63">
      <c r="A63" s="74" t="s">
        <v>306</v>
      </c>
      <c r="B63" s="74" t="s">
        <v>307</v>
      </c>
      <c r="C63" s="74">
        <v>19.0</v>
      </c>
    </row>
    <row r="64">
      <c r="A64" s="74" t="s">
        <v>308</v>
      </c>
      <c r="B64" s="74" t="s">
        <v>242</v>
      </c>
      <c r="C64" s="74">
        <v>43.0</v>
      </c>
    </row>
    <row r="65">
      <c r="A65" s="74" t="s">
        <v>309</v>
      </c>
      <c r="B65" s="74" t="s">
        <v>310</v>
      </c>
      <c r="C65" s="74">
        <v>98.0</v>
      </c>
    </row>
    <row r="66">
      <c r="A66" s="74" t="s">
        <v>311</v>
      </c>
      <c r="B66" s="74" t="s">
        <v>312</v>
      </c>
      <c r="C66" s="74">
        <v>30.0</v>
      </c>
    </row>
    <row r="67">
      <c r="A67" s="74" t="s">
        <v>313</v>
      </c>
      <c r="B67" s="74" t="s">
        <v>314</v>
      </c>
      <c r="C67" s="74">
        <v>115.0</v>
      </c>
    </row>
    <row r="68">
      <c r="A68" s="74" t="s">
        <v>315</v>
      </c>
      <c r="B68" s="74" t="s">
        <v>242</v>
      </c>
      <c r="C68" s="74">
        <v>62.0</v>
      </c>
    </row>
    <row r="69">
      <c r="A69" s="74" t="s">
        <v>316</v>
      </c>
      <c r="B69" s="74" t="s">
        <v>317</v>
      </c>
      <c r="C69" s="74">
        <v>54.0</v>
      </c>
    </row>
    <row r="70">
      <c r="A70" s="74" t="s">
        <v>318</v>
      </c>
      <c r="B70" s="74" t="s">
        <v>319</v>
      </c>
      <c r="C70" s="74">
        <v>53.0</v>
      </c>
    </row>
    <row r="71">
      <c r="A71" s="74" t="s">
        <v>320</v>
      </c>
      <c r="B71" s="74" t="s">
        <v>321</v>
      </c>
      <c r="C71" s="74">
        <v>48.0</v>
      </c>
    </row>
    <row r="72">
      <c r="A72" s="74" t="s">
        <v>322</v>
      </c>
      <c r="B72" s="74" t="s">
        <v>323</v>
      </c>
      <c r="C72" s="74">
        <v>18.0</v>
      </c>
    </row>
    <row r="73">
      <c r="A73" s="74" t="s">
        <v>324</v>
      </c>
      <c r="B73" s="74" t="s">
        <v>325</v>
      </c>
      <c r="C73" s="74">
        <v>19.0</v>
      </c>
    </row>
    <row r="74">
      <c r="A74" s="74" t="s">
        <v>326</v>
      </c>
      <c r="B74" s="74" t="s">
        <v>327</v>
      </c>
      <c r="C74" s="74">
        <v>68.0</v>
      </c>
    </row>
    <row r="75">
      <c r="A75" s="74" t="s">
        <v>328</v>
      </c>
      <c r="B75" s="74" t="s">
        <v>229</v>
      </c>
      <c r="C75" s="74">
        <v>44.0</v>
      </c>
    </row>
    <row r="76">
      <c r="A76" s="74" t="s">
        <v>329</v>
      </c>
      <c r="B76" s="74" t="s">
        <v>312</v>
      </c>
      <c r="C76" s="74">
        <v>57.0</v>
      </c>
    </row>
    <row r="77">
      <c r="A77" s="74" t="s">
        <v>330</v>
      </c>
      <c r="B77" s="74" t="s">
        <v>249</v>
      </c>
      <c r="C77" s="74">
        <v>47.0</v>
      </c>
    </row>
    <row r="78">
      <c r="A78" s="74" t="s">
        <v>331</v>
      </c>
      <c r="B78" s="74" t="s">
        <v>249</v>
      </c>
      <c r="C78" s="74">
        <v>70.0</v>
      </c>
    </row>
    <row r="79">
      <c r="A79" s="74" t="s">
        <v>332</v>
      </c>
      <c r="B79" s="74" t="s">
        <v>333</v>
      </c>
      <c r="C79" s="74">
        <v>49.0</v>
      </c>
    </row>
    <row r="80">
      <c r="A80" s="74" t="s">
        <v>334</v>
      </c>
      <c r="B80" s="74" t="s">
        <v>335</v>
      </c>
      <c r="C80" s="74">
        <v>50.0</v>
      </c>
    </row>
    <row r="81">
      <c r="A81" s="74" t="s">
        <v>336</v>
      </c>
      <c r="B81" s="74" t="s">
        <v>233</v>
      </c>
      <c r="C81" s="74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75" t="s">
        <v>337</v>
      </c>
      <c r="B1" s="75" t="s">
        <v>338</v>
      </c>
    </row>
    <row r="2">
      <c r="A2" s="76" t="s">
        <v>63</v>
      </c>
      <c r="B2" s="77">
        <v>2.35665566E8</v>
      </c>
    </row>
    <row r="3">
      <c r="A3" s="76" t="s">
        <v>145</v>
      </c>
      <c r="B3" s="77">
        <v>5.32616595E8</v>
      </c>
    </row>
    <row r="4">
      <c r="A4" s="76" t="s">
        <v>168</v>
      </c>
      <c r="B4" s="77">
        <v>1.76733968E8</v>
      </c>
    </row>
    <row r="5">
      <c r="A5" s="76" t="s">
        <v>127</v>
      </c>
      <c r="B5" s="77">
        <v>4.394245879E9</v>
      </c>
    </row>
    <row r="6">
      <c r="A6" s="76" t="s">
        <v>75</v>
      </c>
      <c r="B6" s="77">
        <v>6.2305891E7</v>
      </c>
    </row>
    <row r="7">
      <c r="A7" s="76" t="s">
        <v>176</v>
      </c>
      <c r="B7" s="77">
        <v>1.349217892E9</v>
      </c>
    </row>
    <row r="8">
      <c r="A8" s="76" t="s">
        <v>61</v>
      </c>
      <c r="B8" s="77">
        <v>3.27593725E8</v>
      </c>
    </row>
    <row r="9">
      <c r="A9" s="76" t="s">
        <v>178</v>
      </c>
      <c r="B9" s="77">
        <v>5.60279011E9</v>
      </c>
    </row>
    <row r="10">
      <c r="A10" s="76" t="s">
        <v>129</v>
      </c>
      <c r="B10" s="77">
        <v>6.71750768E8</v>
      </c>
    </row>
    <row r="11">
      <c r="A11" s="76" t="s">
        <v>115</v>
      </c>
      <c r="B11" s="77">
        <v>1.500728902E9</v>
      </c>
    </row>
    <row r="12">
      <c r="A12" s="76" t="s">
        <v>77</v>
      </c>
      <c r="B12" s="77">
        <v>5.146576868E9</v>
      </c>
    </row>
    <row r="13">
      <c r="A13" s="76" t="s">
        <v>95</v>
      </c>
      <c r="B13" s="77">
        <v>2.51003438E8</v>
      </c>
    </row>
    <row r="14">
      <c r="A14" s="76" t="s">
        <v>103</v>
      </c>
      <c r="B14" s="77">
        <v>1.420949112E9</v>
      </c>
    </row>
    <row r="15">
      <c r="A15" s="76" t="s">
        <v>59</v>
      </c>
      <c r="B15" s="77">
        <v>2.65877867E8</v>
      </c>
    </row>
    <row r="16">
      <c r="A16" s="76" t="s">
        <v>83</v>
      </c>
      <c r="B16" s="77">
        <v>1.677525446E9</v>
      </c>
    </row>
    <row r="17">
      <c r="A17" s="76" t="s">
        <v>339</v>
      </c>
      <c r="B17" s="77">
        <v>1.150645866E9</v>
      </c>
    </row>
    <row r="18">
      <c r="A18" s="76" t="s">
        <v>188</v>
      </c>
      <c r="B18" s="77">
        <v>5.33990587E8</v>
      </c>
    </row>
    <row r="19">
      <c r="A19" s="76" t="s">
        <v>190</v>
      </c>
      <c r="B19" s="77">
        <v>9.4843047E7</v>
      </c>
    </row>
    <row r="20">
      <c r="A20" s="76" t="s">
        <v>147</v>
      </c>
      <c r="B20" s="77">
        <v>9.95335937E8</v>
      </c>
    </row>
    <row r="21">
      <c r="A21" s="76" t="s">
        <v>135</v>
      </c>
      <c r="B21" s="77">
        <v>1.437415777E9</v>
      </c>
    </row>
    <row r="22">
      <c r="A22" s="76" t="s">
        <v>89</v>
      </c>
      <c r="B22" s="77">
        <v>1.095462329E9</v>
      </c>
    </row>
    <row r="23">
      <c r="A23" s="76" t="s">
        <v>149</v>
      </c>
      <c r="B23" s="77">
        <v>1.81492098E9</v>
      </c>
    </row>
    <row r="24">
      <c r="A24" s="76" t="s">
        <v>121</v>
      </c>
      <c r="B24" s="77">
        <v>1.67933529E9</v>
      </c>
    </row>
    <row r="25">
      <c r="A25" s="76" t="s">
        <v>109</v>
      </c>
      <c r="B25" s="77">
        <v>1.168097881E9</v>
      </c>
    </row>
    <row r="26">
      <c r="A26" s="76" t="s">
        <v>45</v>
      </c>
      <c r="B26" s="77">
        <v>1.87732538E8</v>
      </c>
    </row>
    <row r="27">
      <c r="A27" s="76" t="s">
        <v>39</v>
      </c>
      <c r="B27" s="77">
        <v>1.110559345E9</v>
      </c>
    </row>
    <row r="28">
      <c r="A28" s="76" t="s">
        <v>194</v>
      </c>
      <c r="B28" s="77">
        <v>5.25582771E8</v>
      </c>
    </row>
    <row r="29">
      <c r="A29" s="76" t="s">
        <v>170</v>
      </c>
      <c r="B29" s="77">
        <v>2.65784616E8</v>
      </c>
    </row>
    <row r="30">
      <c r="A30" s="76" t="s">
        <v>91</v>
      </c>
      <c r="B30" s="77">
        <v>3.0276824E8</v>
      </c>
    </row>
    <row r="31">
      <c r="A31" s="76" t="s">
        <v>159</v>
      </c>
      <c r="B31" s="77">
        <v>1.980568384E9</v>
      </c>
    </row>
    <row r="32">
      <c r="A32" s="76" t="s">
        <v>137</v>
      </c>
      <c r="B32" s="77">
        <v>2.68544014E8</v>
      </c>
    </row>
    <row r="33">
      <c r="A33" s="76" t="s">
        <v>172</v>
      </c>
      <c r="B33" s="77">
        <v>7.34632705E8</v>
      </c>
    </row>
    <row r="34">
      <c r="A34" s="76" t="s">
        <v>340</v>
      </c>
      <c r="B34" s="77">
        <v>2.90386402E8</v>
      </c>
    </row>
    <row r="35">
      <c r="A35" s="76" t="s">
        <v>139</v>
      </c>
      <c r="B35" s="77">
        <v>1.579130168E9</v>
      </c>
    </row>
    <row r="36">
      <c r="A36" s="76" t="s">
        <v>153</v>
      </c>
      <c r="B36" s="77">
        <v>2.55236961E8</v>
      </c>
    </row>
    <row r="37">
      <c r="A37" s="76" t="s">
        <v>65</v>
      </c>
      <c r="B37" s="77">
        <v>1.095587251E9</v>
      </c>
    </row>
    <row r="38">
      <c r="A38" s="76" t="s">
        <v>163</v>
      </c>
      <c r="B38" s="77">
        <v>9.1514307E7</v>
      </c>
    </row>
    <row r="39">
      <c r="A39" s="76" t="s">
        <v>165</v>
      </c>
      <c r="B39" s="77">
        <v>2.40822651E8</v>
      </c>
    </row>
    <row r="40">
      <c r="A40" s="76" t="s">
        <v>117</v>
      </c>
      <c r="B40" s="77">
        <v>1.118525506E9</v>
      </c>
    </row>
    <row r="41">
      <c r="A41" s="76" t="s">
        <v>107</v>
      </c>
      <c r="B41" s="77">
        <v>6.60411219E8</v>
      </c>
    </row>
    <row r="42">
      <c r="A42" s="76" t="s">
        <v>196</v>
      </c>
      <c r="B42" s="77">
        <v>1.98184909E8</v>
      </c>
    </row>
    <row r="43">
      <c r="A43" s="76" t="s">
        <v>174</v>
      </c>
      <c r="B43" s="77">
        <v>8.46244302E8</v>
      </c>
    </row>
    <row r="44">
      <c r="A44" s="76" t="s">
        <v>166</v>
      </c>
      <c r="B44" s="77">
        <v>4.96029967E8</v>
      </c>
    </row>
    <row r="45">
      <c r="A45" s="76" t="s">
        <v>184</v>
      </c>
      <c r="B45" s="77">
        <v>4.394332306E9</v>
      </c>
    </row>
    <row r="46">
      <c r="A46" s="76" t="s">
        <v>180</v>
      </c>
      <c r="B46" s="77">
        <v>4.09490388E8</v>
      </c>
    </row>
    <row r="47">
      <c r="A47" s="76" t="s">
        <v>341</v>
      </c>
      <c r="B47" s="77">
        <v>2.17622138E8</v>
      </c>
    </row>
    <row r="48">
      <c r="A48" s="76" t="s">
        <v>157</v>
      </c>
      <c r="B48" s="77">
        <v>8.1838843E7</v>
      </c>
    </row>
    <row r="49">
      <c r="A49" s="76" t="s">
        <v>101</v>
      </c>
      <c r="B49" s="77">
        <v>5.372783971E9</v>
      </c>
    </row>
    <row r="50">
      <c r="A50" s="76" t="s">
        <v>55</v>
      </c>
      <c r="B50" s="77">
        <v>4.801593832E9</v>
      </c>
    </row>
    <row r="51">
      <c r="A51" s="76" t="s">
        <v>111</v>
      </c>
      <c r="B51" s="77">
        <v>1.134986472E9</v>
      </c>
    </row>
    <row r="52">
      <c r="A52" s="76" t="s">
        <v>342</v>
      </c>
      <c r="B52" s="77">
        <v>7.06747385E8</v>
      </c>
    </row>
    <row r="53">
      <c r="A53" s="76" t="s">
        <v>192</v>
      </c>
      <c r="B53" s="77">
        <v>8.53202347E8</v>
      </c>
    </row>
    <row r="54">
      <c r="A54" s="76" t="s">
        <v>186</v>
      </c>
      <c r="B54" s="77">
        <v>9.5132977E8</v>
      </c>
    </row>
    <row r="55">
      <c r="A55" s="76" t="s">
        <v>97</v>
      </c>
      <c r="B55" s="77">
        <v>3.93173139E8</v>
      </c>
    </row>
    <row r="56">
      <c r="A56" s="76" t="s">
        <v>113</v>
      </c>
      <c r="B56" s="77">
        <v>2.867627068E9</v>
      </c>
    </row>
    <row r="57">
      <c r="A57" s="76" t="s">
        <v>125</v>
      </c>
      <c r="B57" s="77">
        <v>3.31799687E8</v>
      </c>
    </row>
    <row r="58">
      <c r="A58" s="76" t="s">
        <v>79</v>
      </c>
      <c r="B58" s="77">
        <v>2.61036182E8</v>
      </c>
    </row>
    <row r="59">
      <c r="A59" s="76" t="s">
        <v>73</v>
      </c>
      <c r="B59" s="77">
        <v>3.76187582E8</v>
      </c>
    </row>
    <row r="60">
      <c r="A60" s="76" t="s">
        <v>53</v>
      </c>
      <c r="B60" s="77">
        <v>2.68505432E8</v>
      </c>
    </row>
    <row r="61">
      <c r="A61" s="76" t="s">
        <v>81</v>
      </c>
      <c r="B61" s="77">
        <v>1.59430826E8</v>
      </c>
    </row>
    <row r="62">
      <c r="A62" s="76" t="s">
        <v>41</v>
      </c>
      <c r="B62" s="77">
        <v>2.379877655E9</v>
      </c>
    </row>
    <row r="63">
      <c r="A63" s="76" t="s">
        <v>49</v>
      </c>
      <c r="B63" s="77">
        <v>4.566445852E9</v>
      </c>
    </row>
    <row r="64">
      <c r="A64" s="76" t="s">
        <v>99</v>
      </c>
      <c r="B64" s="77">
        <v>2.75005663E8</v>
      </c>
    </row>
    <row r="65">
      <c r="A65" s="76" t="s">
        <v>47</v>
      </c>
      <c r="B65" s="77">
        <v>8.00010734E8</v>
      </c>
    </row>
    <row r="66">
      <c r="A66" s="76" t="s">
        <v>161</v>
      </c>
      <c r="B66" s="77">
        <v>3.09729428E8</v>
      </c>
    </row>
    <row r="67">
      <c r="A67" s="76" t="s">
        <v>105</v>
      </c>
      <c r="B67" s="77">
        <v>1.275798515E9</v>
      </c>
    </row>
    <row r="68">
      <c r="A68" s="76" t="s">
        <v>119</v>
      </c>
      <c r="B68" s="77">
        <v>1.193047233E9</v>
      </c>
    </row>
    <row r="69">
      <c r="A69" s="76" t="s">
        <v>57</v>
      </c>
      <c r="B69" s="77">
        <v>1.168230366E9</v>
      </c>
    </row>
    <row r="70">
      <c r="A70" s="76" t="s">
        <v>87</v>
      </c>
      <c r="B70" s="77">
        <v>1.218352541E9</v>
      </c>
    </row>
    <row r="71">
      <c r="A71" s="76" t="s">
        <v>131</v>
      </c>
      <c r="B71" s="77">
        <v>3.40001799E8</v>
      </c>
    </row>
    <row r="72">
      <c r="A72" s="76" t="s">
        <v>343</v>
      </c>
      <c r="B72" s="77">
        <v>3.42918449E8</v>
      </c>
    </row>
    <row r="73">
      <c r="A73" s="76" t="s">
        <v>182</v>
      </c>
      <c r="B73" s="77">
        <v>1.4237733E8</v>
      </c>
    </row>
    <row r="74">
      <c r="A74" s="76" t="s">
        <v>67</v>
      </c>
      <c r="B74" s="77">
        <v>6.00865451E8</v>
      </c>
    </row>
    <row r="75">
      <c r="A75" s="76" t="s">
        <v>143</v>
      </c>
      <c r="B75" s="77">
        <v>1.9575113E8</v>
      </c>
    </row>
    <row r="76">
      <c r="A76" s="76" t="s">
        <v>43</v>
      </c>
      <c r="B76" s="77">
        <v>6.83452836E8</v>
      </c>
    </row>
    <row r="77">
      <c r="A77" s="76" t="s">
        <v>344</v>
      </c>
      <c r="B77" s="77">
        <v>2.18568234E8</v>
      </c>
    </row>
    <row r="78">
      <c r="A78" s="76" t="s">
        <v>85</v>
      </c>
      <c r="B78" s="77">
        <v>4.23091712E8</v>
      </c>
    </row>
    <row r="79">
      <c r="A79" s="76" t="s">
        <v>93</v>
      </c>
      <c r="B79" s="77">
        <v>8.07896814E8</v>
      </c>
    </row>
    <row r="80">
      <c r="A80" s="76" t="s">
        <v>133</v>
      </c>
      <c r="B80" s="77">
        <v>5.14122351E8</v>
      </c>
    </row>
    <row r="81">
      <c r="A81" s="76" t="s">
        <v>151</v>
      </c>
      <c r="B81" s="77">
        <v>3.95801044E8</v>
      </c>
    </row>
    <row r="82">
      <c r="A82" s="76" t="s">
        <v>71</v>
      </c>
      <c r="B82" s="77">
        <v>1.086411192E9</v>
      </c>
    </row>
    <row r="83">
      <c r="A83" s="76" t="s">
        <v>37</v>
      </c>
      <c r="B83" s="77">
        <v>5.15117391E8</v>
      </c>
    </row>
    <row r="84">
      <c r="A84" s="76" t="s">
        <v>51</v>
      </c>
      <c r="B84" s="77">
        <v>4.196924316E9</v>
      </c>
    </row>
    <row r="85">
      <c r="A85" s="76" t="s">
        <v>123</v>
      </c>
      <c r="B85" s="77">
        <v>4.2138333E8</v>
      </c>
    </row>
    <row r="86">
      <c r="A86" s="76" t="s">
        <v>155</v>
      </c>
      <c r="B86" s="77">
        <v>1.114412532E9</v>
      </c>
    </row>
    <row r="87">
      <c r="A87" s="76" t="s">
        <v>141</v>
      </c>
      <c r="B87" s="77">
        <v>1.481593024E9</v>
      </c>
    </row>
    <row r="88">
      <c r="A88" s="76" t="s">
        <v>69</v>
      </c>
      <c r="B88" s="77">
        <v>2.89347914E8</v>
      </c>
    </row>
    <row r="89">
      <c r="A89" s="76" t="s">
        <v>345</v>
      </c>
      <c r="B89" s="77">
        <v>9.6372098181E10</v>
      </c>
    </row>
    <row r="90">
      <c r="A90" s="76" t="s">
        <v>346</v>
      </c>
      <c r="B90" s="78">
        <v>1.70478507866643E7</v>
      </c>
    </row>
    <row r="91">
      <c r="A91" s="46"/>
      <c r="B91" s="46"/>
    </row>
    <row r="92">
      <c r="A92" s="46"/>
      <c r="B92" s="46"/>
    </row>
    <row r="93">
      <c r="A93" s="46"/>
      <c r="B93" s="46"/>
    </row>
    <row r="94">
      <c r="A94" s="46"/>
      <c r="B94" s="46"/>
    </row>
    <row r="95">
      <c r="A95" s="46"/>
      <c r="B95" s="46"/>
    </row>
    <row r="96">
      <c r="A96" s="46"/>
      <c r="B96" s="46"/>
    </row>
    <row r="97">
      <c r="A97" s="46"/>
      <c r="B97" s="46"/>
    </row>
    <row r="98">
      <c r="A98" s="46"/>
      <c r="B98" s="46"/>
    </row>
    <row r="99">
      <c r="A99" s="46"/>
      <c r="B99" s="46"/>
    </row>
    <row r="100">
      <c r="A100" s="46"/>
      <c r="B100" s="46"/>
    </row>
    <row r="101">
      <c r="A101" s="46"/>
      <c r="B101" s="46"/>
    </row>
    <row r="102">
      <c r="A102" s="46"/>
      <c r="B102" s="46"/>
    </row>
    <row r="103">
      <c r="A103" s="46"/>
      <c r="B103" s="46"/>
    </row>
    <row r="104">
      <c r="A104" s="46"/>
      <c r="B104" s="46"/>
    </row>
    <row r="105">
      <c r="A105" s="46"/>
      <c r="B105" s="46"/>
    </row>
    <row r="106">
      <c r="A106" s="46"/>
      <c r="B106" s="46"/>
    </row>
    <row r="107">
      <c r="A107" s="46"/>
      <c r="B107" s="46"/>
    </row>
    <row r="108">
      <c r="A108" s="46"/>
      <c r="B108" s="46"/>
    </row>
    <row r="109">
      <c r="A109" s="46"/>
      <c r="B109" s="46"/>
    </row>
    <row r="110">
      <c r="A110" s="46"/>
      <c r="B110" s="46"/>
    </row>
    <row r="111">
      <c r="A111" s="46"/>
      <c r="B111" s="46"/>
    </row>
    <row r="112">
      <c r="A112" s="46"/>
      <c r="B112" s="46"/>
    </row>
    <row r="113">
      <c r="A113" s="46"/>
      <c r="B113" s="46"/>
    </row>
    <row r="114">
      <c r="A114" s="46"/>
      <c r="B114" s="46"/>
    </row>
    <row r="115">
      <c r="A115" s="46"/>
      <c r="B115" s="46"/>
    </row>
    <row r="116">
      <c r="A116" s="46"/>
      <c r="B116" s="46"/>
    </row>
    <row r="117">
      <c r="A117" s="46"/>
      <c r="B117" s="46"/>
    </row>
    <row r="118">
      <c r="A118" s="46"/>
      <c r="B118" s="46"/>
    </row>
    <row r="119">
      <c r="A119" s="46"/>
      <c r="B119" s="46"/>
    </row>
    <row r="120">
      <c r="A120" s="46"/>
      <c r="B120" s="46"/>
    </row>
    <row r="121">
      <c r="A121" s="46"/>
      <c r="B121" s="46"/>
    </row>
    <row r="122">
      <c r="A122" s="46"/>
      <c r="B122" s="46"/>
    </row>
    <row r="123">
      <c r="A123" s="46"/>
      <c r="B123" s="46"/>
    </row>
    <row r="124">
      <c r="A124" s="46"/>
      <c r="B124" s="46"/>
    </row>
    <row r="125">
      <c r="A125" s="46"/>
      <c r="B125" s="46"/>
    </row>
    <row r="126">
      <c r="A126" s="46"/>
      <c r="B126" s="46"/>
    </row>
    <row r="127">
      <c r="A127" s="46"/>
      <c r="B127" s="46"/>
    </row>
    <row r="128">
      <c r="A128" s="46"/>
      <c r="B128" s="46"/>
    </row>
    <row r="129">
      <c r="A129" s="46"/>
      <c r="B129" s="46"/>
    </row>
    <row r="130">
      <c r="A130" s="46"/>
      <c r="B130" s="46"/>
    </row>
    <row r="131">
      <c r="A131" s="46"/>
      <c r="B131" s="46"/>
    </row>
    <row r="132">
      <c r="A132" s="46"/>
      <c r="B132" s="46"/>
    </row>
    <row r="133">
      <c r="A133" s="46"/>
      <c r="B133" s="46"/>
    </row>
    <row r="134">
      <c r="A134" s="46"/>
      <c r="B134" s="46"/>
    </row>
    <row r="135">
      <c r="A135" s="46"/>
      <c r="B135" s="46"/>
    </row>
    <row r="136">
      <c r="A136" s="46"/>
      <c r="B136" s="46"/>
    </row>
    <row r="137">
      <c r="A137" s="46"/>
      <c r="B137" s="46"/>
    </row>
    <row r="138">
      <c r="A138" s="46"/>
      <c r="B138" s="46"/>
    </row>
    <row r="139">
      <c r="A139" s="46"/>
      <c r="B139" s="46"/>
    </row>
    <row r="140">
      <c r="A140" s="46"/>
      <c r="B140" s="46"/>
    </row>
    <row r="141">
      <c r="A141" s="46"/>
      <c r="B141" s="46"/>
    </row>
    <row r="142">
      <c r="A142" s="46"/>
      <c r="B142" s="46"/>
    </row>
    <row r="143">
      <c r="A143" s="46"/>
      <c r="B143" s="46"/>
    </row>
    <row r="144">
      <c r="A144" s="46"/>
      <c r="B144" s="46"/>
    </row>
    <row r="145">
      <c r="A145" s="46"/>
      <c r="B145" s="46"/>
    </row>
    <row r="146">
      <c r="A146" s="46"/>
      <c r="B146" s="46"/>
    </row>
    <row r="147">
      <c r="A147" s="46"/>
      <c r="B147" s="46"/>
    </row>
    <row r="148">
      <c r="A148" s="46"/>
      <c r="B148" s="46"/>
    </row>
    <row r="149">
      <c r="A149" s="46"/>
      <c r="B149" s="46"/>
    </row>
    <row r="150">
      <c r="A150" s="46"/>
      <c r="B150" s="46"/>
    </row>
    <row r="151">
      <c r="A151" s="46"/>
      <c r="B151" s="46"/>
    </row>
    <row r="152">
      <c r="A152" s="46"/>
      <c r="B152" s="46"/>
    </row>
    <row r="153">
      <c r="A153" s="46"/>
      <c r="B153" s="46"/>
    </row>
    <row r="154">
      <c r="A154" s="46"/>
      <c r="B154" s="46"/>
    </row>
    <row r="155">
      <c r="A155" s="46"/>
      <c r="B155" s="46"/>
    </row>
    <row r="156">
      <c r="A156" s="46"/>
      <c r="B156" s="46"/>
    </row>
    <row r="157">
      <c r="A157" s="46"/>
      <c r="B157" s="46"/>
    </row>
    <row r="158">
      <c r="A158" s="46"/>
      <c r="B158" s="46"/>
    </row>
    <row r="159">
      <c r="A159" s="46"/>
      <c r="B159" s="46"/>
    </row>
    <row r="160">
      <c r="A160" s="46"/>
      <c r="B160" s="46"/>
    </row>
    <row r="161">
      <c r="A161" s="46"/>
      <c r="B161" s="46"/>
    </row>
    <row r="162">
      <c r="A162" s="46"/>
      <c r="B162" s="46"/>
    </row>
    <row r="163">
      <c r="A163" s="46"/>
      <c r="B163" s="46"/>
    </row>
    <row r="164">
      <c r="A164" s="46"/>
      <c r="B164" s="46"/>
    </row>
    <row r="165">
      <c r="A165" s="46"/>
      <c r="B165" s="46"/>
    </row>
    <row r="166">
      <c r="A166" s="46"/>
      <c r="B166" s="46"/>
    </row>
    <row r="167">
      <c r="A167" s="46"/>
      <c r="B167" s="46"/>
    </row>
    <row r="168">
      <c r="A168" s="46"/>
      <c r="B168" s="46"/>
    </row>
    <row r="169">
      <c r="A169" s="46"/>
      <c r="B169" s="46"/>
    </row>
    <row r="170">
      <c r="A170" s="46"/>
      <c r="B170" s="46"/>
    </row>
    <row r="171">
      <c r="A171" s="46"/>
      <c r="B171" s="46"/>
    </row>
    <row r="172">
      <c r="A172" s="46"/>
      <c r="B172" s="46"/>
    </row>
    <row r="173">
      <c r="A173" s="46"/>
      <c r="B173" s="46"/>
    </row>
    <row r="174">
      <c r="A174" s="46"/>
      <c r="B174" s="46"/>
    </row>
    <row r="175">
      <c r="A175" s="46"/>
      <c r="B175" s="46"/>
    </row>
    <row r="176">
      <c r="A176" s="46"/>
      <c r="B176" s="46"/>
    </row>
    <row r="177">
      <c r="A177" s="46"/>
      <c r="B177" s="46"/>
    </row>
    <row r="178">
      <c r="A178" s="46"/>
      <c r="B178" s="46"/>
    </row>
    <row r="179">
      <c r="A179" s="46"/>
      <c r="B179" s="46"/>
    </row>
    <row r="180">
      <c r="A180" s="46"/>
      <c r="B180" s="46"/>
    </row>
    <row r="181">
      <c r="A181" s="46"/>
      <c r="B181" s="46"/>
    </row>
    <row r="182">
      <c r="A182" s="46"/>
      <c r="B182" s="46"/>
    </row>
    <row r="183">
      <c r="A183" s="46"/>
      <c r="B183" s="46"/>
    </row>
    <row r="184">
      <c r="A184" s="46"/>
      <c r="B184" s="46"/>
    </row>
    <row r="185">
      <c r="A185" s="46"/>
      <c r="B185" s="46"/>
    </row>
    <row r="186">
      <c r="A186" s="46"/>
      <c r="B186" s="46"/>
    </row>
    <row r="187">
      <c r="A187" s="46"/>
      <c r="B187" s="46"/>
    </row>
    <row r="188">
      <c r="A188" s="46"/>
      <c r="B188" s="46"/>
    </row>
    <row r="189">
      <c r="A189" s="46"/>
      <c r="B189" s="46"/>
    </row>
    <row r="190">
      <c r="A190" s="46"/>
      <c r="B190" s="46"/>
    </row>
    <row r="191">
      <c r="A191" s="46"/>
      <c r="B191" s="46"/>
    </row>
    <row r="192">
      <c r="A192" s="46"/>
      <c r="B192" s="46"/>
    </row>
    <row r="193">
      <c r="A193" s="46"/>
      <c r="B193" s="46"/>
    </row>
    <row r="194">
      <c r="A194" s="46"/>
      <c r="B194" s="46"/>
    </row>
    <row r="195">
      <c r="A195" s="46"/>
      <c r="B195" s="46"/>
    </row>
    <row r="196">
      <c r="A196" s="46"/>
      <c r="B196" s="46"/>
    </row>
    <row r="197">
      <c r="A197" s="46"/>
      <c r="B197" s="46"/>
    </row>
    <row r="198">
      <c r="A198" s="46"/>
      <c r="B198" s="46"/>
    </row>
    <row r="199">
      <c r="A199" s="46"/>
      <c r="B199" s="46"/>
    </row>
    <row r="200">
      <c r="A200" s="46"/>
      <c r="B200" s="46"/>
    </row>
    <row r="201">
      <c r="A201" s="46"/>
      <c r="B201" s="46"/>
    </row>
    <row r="202">
      <c r="A202" s="46"/>
      <c r="B202" s="46"/>
    </row>
    <row r="203">
      <c r="A203" s="46"/>
      <c r="B203" s="46"/>
    </row>
    <row r="204">
      <c r="A204" s="46"/>
      <c r="B204" s="46"/>
    </row>
    <row r="205">
      <c r="A205" s="46"/>
      <c r="B205" s="46"/>
    </row>
    <row r="206">
      <c r="A206" s="46"/>
      <c r="B206" s="46"/>
    </row>
    <row r="207">
      <c r="A207" s="46"/>
      <c r="B207" s="46"/>
    </row>
    <row r="208">
      <c r="A208" s="46"/>
      <c r="B208" s="46"/>
    </row>
    <row r="209">
      <c r="A209" s="46"/>
      <c r="B209" s="46"/>
    </row>
    <row r="210">
      <c r="A210" s="46"/>
      <c r="B210" s="46"/>
    </row>
    <row r="211">
      <c r="A211" s="46"/>
      <c r="B211" s="46"/>
    </row>
    <row r="212">
      <c r="A212" s="46"/>
      <c r="B212" s="46"/>
    </row>
    <row r="213">
      <c r="A213" s="46"/>
      <c r="B213" s="46"/>
    </row>
    <row r="214">
      <c r="A214" s="46"/>
      <c r="B214" s="46"/>
    </row>
    <row r="215">
      <c r="A215" s="46"/>
      <c r="B215" s="46"/>
    </row>
    <row r="216">
      <c r="A216" s="46"/>
      <c r="B216" s="46"/>
    </row>
    <row r="217">
      <c r="A217" s="46"/>
      <c r="B217" s="46"/>
    </row>
    <row r="218">
      <c r="A218" s="46"/>
      <c r="B218" s="46"/>
    </row>
    <row r="219">
      <c r="A219" s="46"/>
      <c r="B219" s="46"/>
    </row>
    <row r="220">
      <c r="A220" s="46"/>
      <c r="B220" s="46"/>
    </row>
    <row r="221">
      <c r="A221" s="46"/>
      <c r="B221" s="46"/>
    </row>
    <row r="222">
      <c r="A222" s="46"/>
      <c r="B222" s="46"/>
    </row>
    <row r="223">
      <c r="A223" s="46"/>
      <c r="B223" s="46"/>
    </row>
    <row r="224">
      <c r="A224" s="46"/>
      <c r="B224" s="46"/>
    </row>
    <row r="225">
      <c r="A225" s="46"/>
      <c r="B225" s="46"/>
    </row>
    <row r="226">
      <c r="A226" s="46"/>
      <c r="B226" s="46"/>
    </row>
    <row r="227">
      <c r="A227" s="46"/>
      <c r="B227" s="46"/>
    </row>
    <row r="228">
      <c r="A228" s="46"/>
      <c r="B228" s="46"/>
    </row>
    <row r="229">
      <c r="A229" s="46"/>
      <c r="B229" s="46"/>
    </row>
    <row r="230">
      <c r="A230" s="46"/>
      <c r="B230" s="46"/>
    </row>
    <row r="231">
      <c r="A231" s="46"/>
      <c r="B231" s="46"/>
    </row>
    <row r="232">
      <c r="A232" s="46"/>
      <c r="B232" s="46"/>
    </row>
    <row r="233">
      <c r="A233" s="46"/>
      <c r="B233" s="46"/>
    </row>
    <row r="234">
      <c r="A234" s="46"/>
      <c r="B234" s="46"/>
    </row>
    <row r="235">
      <c r="A235" s="46"/>
      <c r="B235" s="46"/>
    </row>
    <row r="236">
      <c r="A236" s="46"/>
      <c r="B236" s="46"/>
    </row>
    <row r="237">
      <c r="A237" s="46"/>
      <c r="B237" s="46"/>
    </row>
    <row r="238">
      <c r="A238" s="46"/>
      <c r="B238" s="46"/>
    </row>
    <row r="239">
      <c r="A239" s="46"/>
      <c r="B239" s="46"/>
    </row>
    <row r="240">
      <c r="A240" s="46"/>
      <c r="B240" s="46"/>
    </row>
    <row r="241">
      <c r="A241" s="46"/>
      <c r="B241" s="46"/>
    </row>
    <row r="242">
      <c r="A242" s="46"/>
      <c r="B242" s="46"/>
    </row>
    <row r="243">
      <c r="A243" s="46"/>
      <c r="B243" s="46"/>
    </row>
    <row r="244">
      <c r="A244" s="46"/>
      <c r="B244" s="46"/>
    </row>
    <row r="245">
      <c r="A245" s="46"/>
      <c r="B245" s="46"/>
    </row>
    <row r="246">
      <c r="A246" s="46"/>
      <c r="B246" s="46"/>
    </row>
    <row r="247">
      <c r="A247" s="46"/>
      <c r="B247" s="46"/>
    </row>
    <row r="248">
      <c r="A248" s="46"/>
      <c r="B248" s="46"/>
    </row>
    <row r="249">
      <c r="A249" s="46"/>
      <c r="B249" s="46"/>
    </row>
    <row r="250">
      <c r="A250" s="46"/>
      <c r="B250" s="46"/>
    </row>
    <row r="251">
      <c r="A251" s="46"/>
      <c r="B251" s="46"/>
    </row>
    <row r="252">
      <c r="A252" s="46"/>
      <c r="B252" s="46"/>
    </row>
    <row r="253">
      <c r="A253" s="46"/>
      <c r="B253" s="46"/>
    </row>
    <row r="254">
      <c r="A254" s="46"/>
      <c r="B254" s="46"/>
    </row>
    <row r="255">
      <c r="A255" s="46"/>
      <c r="B255" s="46"/>
    </row>
    <row r="256">
      <c r="A256" s="46"/>
      <c r="B256" s="46"/>
    </row>
    <row r="257">
      <c r="A257" s="46"/>
      <c r="B257" s="46"/>
    </row>
    <row r="258">
      <c r="A258" s="46"/>
      <c r="B258" s="46"/>
    </row>
    <row r="259">
      <c r="A259" s="46"/>
      <c r="B259" s="46"/>
    </row>
    <row r="260">
      <c r="A260" s="46"/>
      <c r="B260" s="46"/>
    </row>
    <row r="261">
      <c r="A261" s="46"/>
      <c r="B261" s="46"/>
    </row>
    <row r="262">
      <c r="A262" s="46"/>
      <c r="B262" s="46"/>
    </row>
    <row r="263">
      <c r="A263" s="46"/>
      <c r="B263" s="46"/>
    </row>
    <row r="264">
      <c r="A264" s="46"/>
      <c r="B264" s="46"/>
    </row>
    <row r="265">
      <c r="A265" s="46"/>
      <c r="B265" s="46"/>
    </row>
    <row r="266">
      <c r="A266" s="46"/>
      <c r="B266" s="46"/>
    </row>
    <row r="267">
      <c r="A267" s="46"/>
      <c r="B267" s="46"/>
    </row>
    <row r="268">
      <c r="A268" s="46"/>
      <c r="B268" s="46"/>
    </row>
    <row r="269">
      <c r="A269" s="46"/>
      <c r="B269" s="46"/>
    </row>
    <row r="270">
      <c r="A270" s="46"/>
      <c r="B270" s="46"/>
    </row>
    <row r="271">
      <c r="A271" s="46"/>
      <c r="B271" s="46"/>
    </row>
    <row r="272">
      <c r="A272" s="46"/>
      <c r="B272" s="46"/>
    </row>
    <row r="273">
      <c r="A273" s="46"/>
      <c r="B273" s="46"/>
    </row>
    <row r="274">
      <c r="A274" s="46"/>
      <c r="B274" s="46"/>
    </row>
    <row r="275">
      <c r="A275" s="46"/>
      <c r="B275" s="46"/>
    </row>
    <row r="276">
      <c r="A276" s="46"/>
      <c r="B276" s="46"/>
    </row>
    <row r="277">
      <c r="A277" s="46"/>
      <c r="B277" s="46"/>
    </row>
    <row r="278">
      <c r="A278" s="46"/>
      <c r="B278" s="46"/>
    </row>
    <row r="279">
      <c r="A279" s="46"/>
      <c r="B279" s="46"/>
    </row>
    <row r="280">
      <c r="A280" s="46"/>
      <c r="B280" s="46"/>
    </row>
    <row r="281">
      <c r="A281" s="46"/>
      <c r="B281" s="46"/>
    </row>
    <row r="282">
      <c r="A282" s="46"/>
      <c r="B282" s="46"/>
    </row>
    <row r="283">
      <c r="A283" s="46"/>
      <c r="B283" s="46"/>
    </row>
    <row r="284">
      <c r="A284" s="46"/>
      <c r="B284" s="46"/>
    </row>
    <row r="285">
      <c r="A285" s="46"/>
      <c r="B285" s="46"/>
    </row>
    <row r="286">
      <c r="A286" s="46"/>
      <c r="B286" s="46"/>
    </row>
    <row r="287">
      <c r="A287" s="46"/>
      <c r="B287" s="46"/>
    </row>
    <row r="288">
      <c r="A288" s="46"/>
      <c r="B288" s="46"/>
    </row>
    <row r="289">
      <c r="A289" s="46"/>
      <c r="B289" s="46"/>
    </row>
    <row r="290">
      <c r="A290" s="46"/>
      <c r="B290" s="46"/>
    </row>
    <row r="291">
      <c r="A291" s="46"/>
      <c r="B291" s="46"/>
    </row>
    <row r="292">
      <c r="A292" s="46"/>
      <c r="B292" s="46"/>
    </row>
    <row r="293">
      <c r="A293" s="46"/>
      <c r="B293" s="46"/>
    </row>
    <row r="294">
      <c r="A294" s="46"/>
      <c r="B294" s="46"/>
    </row>
    <row r="295">
      <c r="A295" s="46"/>
      <c r="B295" s="46"/>
    </row>
    <row r="296">
      <c r="A296" s="46"/>
      <c r="B296" s="46"/>
    </row>
    <row r="297">
      <c r="A297" s="46"/>
      <c r="B297" s="46"/>
    </row>
    <row r="298">
      <c r="A298" s="46"/>
      <c r="B298" s="46"/>
    </row>
    <row r="299">
      <c r="A299" s="46"/>
      <c r="B299" s="46"/>
    </row>
    <row r="300">
      <c r="A300" s="46"/>
      <c r="B300" s="46"/>
    </row>
    <row r="301">
      <c r="A301" s="46"/>
      <c r="B301" s="46"/>
    </row>
    <row r="302">
      <c r="A302" s="46"/>
      <c r="B302" s="46"/>
    </row>
    <row r="303">
      <c r="A303" s="46"/>
      <c r="B303" s="46"/>
    </row>
    <row r="304">
      <c r="A304" s="46"/>
      <c r="B304" s="46"/>
    </row>
    <row r="305">
      <c r="A305" s="46"/>
      <c r="B305" s="46"/>
    </row>
    <row r="306">
      <c r="A306" s="46"/>
      <c r="B306" s="46"/>
    </row>
    <row r="307">
      <c r="A307" s="46"/>
      <c r="B307" s="46"/>
    </row>
    <row r="308">
      <c r="A308" s="46"/>
      <c r="B308" s="46"/>
    </row>
    <row r="309">
      <c r="A309" s="46"/>
      <c r="B309" s="46"/>
    </row>
    <row r="310">
      <c r="A310" s="46"/>
      <c r="B310" s="46"/>
    </row>
    <row r="311">
      <c r="A311" s="46"/>
      <c r="B311" s="46"/>
    </row>
    <row r="312">
      <c r="A312" s="46"/>
      <c r="B312" s="46"/>
    </row>
    <row r="313">
      <c r="A313" s="46"/>
      <c r="B313" s="46"/>
    </row>
    <row r="314">
      <c r="A314" s="46"/>
      <c r="B314" s="46"/>
    </row>
    <row r="315">
      <c r="A315" s="46"/>
      <c r="B315" s="46"/>
    </row>
    <row r="316">
      <c r="A316" s="46"/>
      <c r="B316" s="46"/>
    </row>
    <row r="317">
      <c r="A317" s="46"/>
      <c r="B317" s="46"/>
    </row>
    <row r="318">
      <c r="A318" s="46"/>
      <c r="B318" s="46"/>
    </row>
    <row r="319">
      <c r="A319" s="46"/>
      <c r="B319" s="46"/>
    </row>
    <row r="320">
      <c r="A320" s="46"/>
      <c r="B320" s="46"/>
    </row>
    <row r="321">
      <c r="A321" s="46"/>
      <c r="B321" s="46"/>
    </row>
    <row r="322">
      <c r="A322" s="46"/>
      <c r="B322" s="46"/>
    </row>
    <row r="323">
      <c r="A323" s="46"/>
      <c r="B323" s="46"/>
    </row>
    <row r="324">
      <c r="A324" s="46"/>
      <c r="B324" s="46"/>
    </row>
    <row r="325">
      <c r="A325" s="46"/>
      <c r="B325" s="46"/>
    </row>
    <row r="326">
      <c r="A326" s="46"/>
      <c r="B326" s="46"/>
    </row>
    <row r="327">
      <c r="A327" s="46"/>
      <c r="B327" s="46"/>
    </row>
    <row r="328">
      <c r="A328" s="46"/>
      <c r="B328" s="46"/>
    </row>
    <row r="329">
      <c r="A329" s="46"/>
      <c r="B329" s="46"/>
    </row>
    <row r="330">
      <c r="A330" s="46"/>
      <c r="B330" s="46"/>
    </row>
    <row r="331">
      <c r="A331" s="46"/>
      <c r="B331" s="46"/>
    </row>
    <row r="332">
      <c r="A332" s="46"/>
      <c r="B332" s="46"/>
    </row>
    <row r="333">
      <c r="A333" s="46"/>
      <c r="B333" s="46"/>
    </row>
    <row r="334">
      <c r="A334" s="46"/>
      <c r="B334" s="46"/>
    </row>
    <row r="335">
      <c r="A335" s="46"/>
      <c r="B335" s="46"/>
    </row>
    <row r="336">
      <c r="A336" s="46"/>
      <c r="B336" s="46"/>
    </row>
    <row r="337">
      <c r="A337" s="46"/>
      <c r="B337" s="46"/>
    </row>
    <row r="338">
      <c r="A338" s="46"/>
      <c r="B338" s="46"/>
    </row>
    <row r="339">
      <c r="A339" s="46"/>
      <c r="B339" s="46"/>
    </row>
    <row r="340">
      <c r="A340" s="46"/>
      <c r="B340" s="46"/>
    </row>
    <row r="341">
      <c r="A341" s="46"/>
      <c r="B341" s="46"/>
    </row>
    <row r="342">
      <c r="A342" s="46"/>
      <c r="B342" s="46"/>
    </row>
    <row r="343">
      <c r="A343" s="46"/>
      <c r="B343" s="46"/>
    </row>
    <row r="344">
      <c r="A344" s="46"/>
      <c r="B344" s="46"/>
    </row>
    <row r="345">
      <c r="A345" s="46"/>
      <c r="B345" s="46"/>
    </row>
    <row r="346">
      <c r="A346" s="46"/>
      <c r="B346" s="46"/>
    </row>
    <row r="347">
      <c r="A347" s="46"/>
      <c r="B347" s="46"/>
    </row>
    <row r="348">
      <c r="A348" s="46"/>
      <c r="B348" s="46"/>
    </row>
    <row r="349">
      <c r="A349" s="46"/>
      <c r="B349" s="46"/>
    </row>
    <row r="350">
      <c r="A350" s="46"/>
      <c r="B350" s="46"/>
    </row>
    <row r="351">
      <c r="A351" s="46"/>
      <c r="B351" s="46"/>
    </row>
    <row r="352">
      <c r="A352" s="46"/>
      <c r="B352" s="46"/>
    </row>
    <row r="353">
      <c r="A353" s="46"/>
      <c r="B353" s="46"/>
    </row>
    <row r="354">
      <c r="A354" s="46"/>
      <c r="B354" s="46"/>
    </row>
    <row r="355">
      <c r="A355" s="46"/>
      <c r="B355" s="46"/>
    </row>
    <row r="356">
      <c r="A356" s="46"/>
      <c r="B356" s="46"/>
    </row>
    <row r="357">
      <c r="A357" s="46"/>
      <c r="B357" s="46"/>
    </row>
    <row r="358">
      <c r="A358" s="46"/>
      <c r="B358" s="46"/>
    </row>
    <row r="359">
      <c r="A359" s="46"/>
      <c r="B359" s="46"/>
    </row>
    <row r="360">
      <c r="A360" s="46"/>
      <c r="B360" s="46"/>
    </row>
    <row r="361">
      <c r="A361" s="46"/>
      <c r="B361" s="46"/>
    </row>
    <row r="362">
      <c r="A362" s="46"/>
      <c r="B362" s="46"/>
    </row>
    <row r="363">
      <c r="A363" s="46"/>
      <c r="B363" s="46"/>
    </row>
    <row r="364">
      <c r="A364" s="46"/>
      <c r="B364" s="46"/>
    </row>
    <row r="365">
      <c r="A365" s="46"/>
      <c r="B365" s="46"/>
    </row>
    <row r="366">
      <c r="A366" s="46"/>
      <c r="B366" s="46"/>
    </row>
    <row r="367">
      <c r="A367" s="46"/>
      <c r="B367" s="46"/>
    </row>
    <row r="368">
      <c r="A368" s="46"/>
      <c r="B368" s="46"/>
    </row>
    <row r="369">
      <c r="A369" s="46"/>
      <c r="B369" s="46"/>
    </row>
    <row r="370">
      <c r="A370" s="46"/>
      <c r="B370" s="46"/>
    </row>
    <row r="371">
      <c r="A371" s="46"/>
      <c r="B371" s="46"/>
    </row>
    <row r="372">
      <c r="A372" s="46"/>
      <c r="B372" s="46"/>
    </row>
    <row r="373">
      <c r="A373" s="46"/>
      <c r="B373" s="46"/>
    </row>
    <row r="374">
      <c r="A374" s="46"/>
      <c r="B374" s="46"/>
    </row>
    <row r="375">
      <c r="A375" s="46"/>
      <c r="B375" s="46"/>
    </row>
    <row r="376">
      <c r="A376" s="46"/>
      <c r="B376" s="46"/>
    </row>
    <row r="377">
      <c r="A377" s="46"/>
      <c r="B377" s="46"/>
    </row>
    <row r="378">
      <c r="A378" s="46"/>
      <c r="B378" s="46"/>
    </row>
    <row r="379">
      <c r="A379" s="46"/>
      <c r="B379" s="46"/>
    </row>
    <row r="380">
      <c r="A380" s="46"/>
      <c r="B380" s="46"/>
    </row>
    <row r="381">
      <c r="A381" s="46"/>
      <c r="B381" s="46"/>
    </row>
    <row r="382">
      <c r="A382" s="46"/>
      <c r="B382" s="46"/>
    </row>
    <row r="383">
      <c r="A383" s="46"/>
      <c r="B383" s="46"/>
    </row>
    <row r="384">
      <c r="A384" s="46"/>
      <c r="B384" s="46"/>
    </row>
    <row r="385">
      <c r="A385" s="46"/>
      <c r="B385" s="46"/>
    </row>
    <row r="386">
      <c r="A386" s="46"/>
      <c r="B386" s="46"/>
    </row>
    <row r="387">
      <c r="A387" s="46"/>
      <c r="B387" s="46"/>
    </row>
    <row r="388">
      <c r="A388" s="46"/>
      <c r="B388" s="46"/>
    </row>
    <row r="389">
      <c r="A389" s="46"/>
      <c r="B389" s="46"/>
    </row>
    <row r="390">
      <c r="A390" s="46"/>
      <c r="B390" s="46"/>
    </row>
    <row r="391">
      <c r="A391" s="46"/>
      <c r="B391" s="46"/>
    </row>
    <row r="392">
      <c r="A392" s="46"/>
      <c r="B392" s="46"/>
    </row>
    <row r="393">
      <c r="A393" s="46"/>
      <c r="B393" s="46"/>
    </row>
    <row r="394">
      <c r="A394" s="46"/>
      <c r="B394" s="46"/>
    </row>
    <row r="395">
      <c r="A395" s="46"/>
      <c r="B395" s="46"/>
    </row>
    <row r="396">
      <c r="A396" s="46"/>
      <c r="B396" s="46"/>
    </row>
    <row r="397">
      <c r="A397" s="46"/>
      <c r="B397" s="46"/>
    </row>
    <row r="398">
      <c r="A398" s="46"/>
      <c r="B398" s="46"/>
    </row>
    <row r="399">
      <c r="A399" s="46"/>
      <c r="B399" s="46"/>
    </row>
    <row r="400">
      <c r="A400" s="46"/>
      <c r="B400" s="46"/>
    </row>
    <row r="401">
      <c r="A401" s="46"/>
      <c r="B401" s="46"/>
    </row>
    <row r="402">
      <c r="A402" s="46"/>
      <c r="B402" s="46"/>
    </row>
    <row r="403">
      <c r="A403" s="46"/>
      <c r="B403" s="46"/>
    </row>
    <row r="404">
      <c r="A404" s="46"/>
      <c r="B404" s="46"/>
    </row>
    <row r="405">
      <c r="A405" s="46"/>
      <c r="B405" s="46"/>
    </row>
    <row r="406">
      <c r="A406" s="46"/>
      <c r="B406" s="46"/>
    </row>
    <row r="407">
      <c r="A407" s="46"/>
      <c r="B407" s="46"/>
    </row>
    <row r="408">
      <c r="A408" s="46"/>
      <c r="B408" s="46"/>
    </row>
    <row r="409">
      <c r="A409" s="46"/>
      <c r="B409" s="46"/>
    </row>
    <row r="410">
      <c r="A410" s="46"/>
      <c r="B410" s="46"/>
    </row>
    <row r="411">
      <c r="A411" s="46"/>
      <c r="B411" s="46"/>
    </row>
    <row r="412">
      <c r="A412" s="46"/>
      <c r="B412" s="46"/>
    </row>
    <row r="413">
      <c r="A413" s="46"/>
      <c r="B413" s="46"/>
    </row>
    <row r="414">
      <c r="A414" s="46"/>
      <c r="B414" s="46"/>
    </row>
    <row r="415">
      <c r="A415" s="46"/>
      <c r="B415" s="46"/>
    </row>
    <row r="416">
      <c r="A416" s="46"/>
      <c r="B416" s="46"/>
    </row>
    <row r="417">
      <c r="A417" s="46"/>
      <c r="B417" s="46"/>
    </row>
    <row r="418">
      <c r="A418" s="46"/>
      <c r="B418" s="46"/>
    </row>
    <row r="419">
      <c r="A419" s="46"/>
      <c r="B419" s="46"/>
    </row>
    <row r="420">
      <c r="A420" s="46"/>
      <c r="B420" s="46"/>
    </row>
    <row r="421">
      <c r="A421" s="46"/>
      <c r="B421" s="46"/>
    </row>
    <row r="422">
      <c r="A422" s="46"/>
      <c r="B422" s="46"/>
    </row>
    <row r="423">
      <c r="A423" s="46"/>
      <c r="B423" s="46"/>
    </row>
    <row r="424">
      <c r="A424" s="46"/>
      <c r="B424" s="46"/>
    </row>
    <row r="425">
      <c r="A425" s="46"/>
      <c r="B425" s="46"/>
    </row>
    <row r="426">
      <c r="A426" s="46"/>
      <c r="B426" s="46"/>
    </row>
    <row r="427">
      <c r="A427" s="46"/>
      <c r="B427" s="46"/>
    </row>
    <row r="428">
      <c r="A428" s="46"/>
      <c r="B428" s="46"/>
    </row>
    <row r="429">
      <c r="A429" s="46"/>
      <c r="B429" s="46"/>
    </row>
    <row r="430">
      <c r="A430" s="46"/>
      <c r="B430" s="46"/>
    </row>
    <row r="431">
      <c r="A431" s="46"/>
      <c r="B431" s="46"/>
    </row>
    <row r="432">
      <c r="A432" s="46"/>
      <c r="B432" s="46"/>
    </row>
    <row r="433">
      <c r="A433" s="46"/>
      <c r="B433" s="46"/>
    </row>
    <row r="434">
      <c r="A434" s="46"/>
      <c r="B434" s="46"/>
    </row>
    <row r="435">
      <c r="A435" s="46"/>
      <c r="B435" s="46"/>
    </row>
    <row r="436">
      <c r="A436" s="46"/>
      <c r="B436" s="46"/>
    </row>
    <row r="437">
      <c r="A437" s="46"/>
      <c r="B437" s="46"/>
    </row>
    <row r="438">
      <c r="A438" s="46"/>
      <c r="B438" s="46"/>
    </row>
    <row r="439">
      <c r="A439" s="46"/>
      <c r="B439" s="46"/>
    </row>
    <row r="440">
      <c r="A440" s="46"/>
      <c r="B440" s="46"/>
    </row>
    <row r="441">
      <c r="A441" s="46"/>
      <c r="B441" s="46"/>
    </row>
    <row r="442">
      <c r="A442" s="46"/>
      <c r="B442" s="46"/>
    </row>
    <row r="443">
      <c r="A443" s="46"/>
      <c r="B443" s="46"/>
    </row>
    <row r="444">
      <c r="A444" s="46"/>
      <c r="B444" s="46"/>
    </row>
    <row r="445">
      <c r="A445" s="46"/>
      <c r="B445" s="46"/>
    </row>
    <row r="446">
      <c r="A446" s="46"/>
      <c r="B446" s="46"/>
    </row>
    <row r="447">
      <c r="A447" s="46"/>
      <c r="B447" s="46"/>
    </row>
    <row r="448">
      <c r="A448" s="46"/>
      <c r="B448" s="46"/>
    </row>
    <row r="449">
      <c r="A449" s="46"/>
      <c r="B449" s="46"/>
    </row>
    <row r="450">
      <c r="A450" s="46"/>
      <c r="B450" s="46"/>
    </row>
    <row r="451">
      <c r="A451" s="46"/>
      <c r="B451" s="46"/>
    </row>
    <row r="452">
      <c r="A452" s="46"/>
      <c r="B452" s="46"/>
    </row>
    <row r="453">
      <c r="A453" s="46"/>
      <c r="B453" s="46"/>
    </row>
    <row r="454">
      <c r="A454" s="46"/>
      <c r="B454" s="46"/>
    </row>
    <row r="455">
      <c r="A455" s="46"/>
      <c r="B455" s="46"/>
    </row>
    <row r="456">
      <c r="A456" s="46"/>
      <c r="B456" s="46"/>
    </row>
    <row r="457">
      <c r="A457" s="46"/>
      <c r="B457" s="46"/>
    </row>
    <row r="458">
      <c r="A458" s="46"/>
      <c r="B458" s="46"/>
    </row>
    <row r="459">
      <c r="A459" s="46"/>
      <c r="B459" s="46"/>
    </row>
    <row r="460">
      <c r="A460" s="46"/>
      <c r="B460" s="46"/>
    </row>
    <row r="461">
      <c r="A461" s="46"/>
      <c r="B461" s="46"/>
    </row>
    <row r="462">
      <c r="A462" s="46"/>
      <c r="B462" s="46"/>
    </row>
    <row r="463">
      <c r="A463" s="46"/>
      <c r="B463" s="46"/>
    </row>
    <row r="464">
      <c r="A464" s="46"/>
      <c r="B464" s="46"/>
    </row>
    <row r="465">
      <c r="A465" s="46"/>
      <c r="B465" s="46"/>
    </row>
    <row r="466">
      <c r="A466" s="46"/>
      <c r="B466" s="46"/>
    </row>
    <row r="467">
      <c r="A467" s="46"/>
      <c r="B467" s="46"/>
    </row>
    <row r="468">
      <c r="A468" s="46"/>
      <c r="B468" s="46"/>
    </row>
    <row r="469">
      <c r="A469" s="46"/>
      <c r="B469" s="46"/>
    </row>
    <row r="470">
      <c r="A470" s="46"/>
      <c r="B470" s="46"/>
    </row>
    <row r="471">
      <c r="A471" s="46"/>
      <c r="B471" s="46"/>
    </row>
    <row r="472">
      <c r="A472" s="46"/>
      <c r="B472" s="46"/>
    </row>
    <row r="473">
      <c r="A473" s="46"/>
      <c r="B473" s="46"/>
    </row>
    <row r="474">
      <c r="A474" s="46"/>
      <c r="B474" s="46"/>
    </row>
    <row r="475">
      <c r="A475" s="46"/>
      <c r="B475" s="46"/>
    </row>
    <row r="476">
      <c r="A476" s="46"/>
      <c r="B476" s="46"/>
    </row>
    <row r="477">
      <c r="A477" s="46"/>
      <c r="B477" s="46"/>
    </row>
    <row r="478">
      <c r="A478" s="46"/>
      <c r="B478" s="46"/>
    </row>
    <row r="479">
      <c r="A479" s="46"/>
      <c r="B479" s="46"/>
    </row>
    <row r="480">
      <c r="A480" s="46"/>
      <c r="B480" s="46"/>
    </row>
    <row r="481">
      <c r="A481" s="46"/>
      <c r="B481" s="46"/>
    </row>
    <row r="482">
      <c r="A482" s="46"/>
      <c r="B482" s="46"/>
    </row>
    <row r="483">
      <c r="A483" s="46"/>
      <c r="B483" s="46"/>
    </row>
    <row r="484">
      <c r="A484" s="46"/>
      <c r="B484" s="46"/>
    </row>
    <row r="485">
      <c r="A485" s="46"/>
      <c r="B485" s="46"/>
    </row>
    <row r="486">
      <c r="A486" s="46"/>
      <c r="B486" s="46"/>
    </row>
    <row r="487">
      <c r="A487" s="46"/>
      <c r="B487" s="46"/>
    </row>
    <row r="488">
      <c r="A488" s="46"/>
      <c r="B488" s="46"/>
    </row>
    <row r="489">
      <c r="A489" s="46"/>
      <c r="B489" s="46"/>
    </row>
    <row r="490">
      <c r="A490" s="46"/>
      <c r="B490" s="46"/>
    </row>
    <row r="491">
      <c r="A491" s="46"/>
      <c r="B491" s="46"/>
    </row>
    <row r="492">
      <c r="A492" s="46"/>
      <c r="B492" s="46"/>
    </row>
    <row r="493">
      <c r="A493" s="46"/>
      <c r="B493" s="46"/>
    </row>
    <row r="494">
      <c r="A494" s="46"/>
      <c r="B494" s="46"/>
    </row>
    <row r="495">
      <c r="A495" s="46"/>
      <c r="B495" s="46"/>
    </row>
    <row r="496">
      <c r="A496" s="46"/>
      <c r="B496" s="46"/>
    </row>
    <row r="497">
      <c r="A497" s="46"/>
      <c r="B497" s="46"/>
    </row>
    <row r="498">
      <c r="A498" s="46"/>
      <c r="B498" s="46"/>
    </row>
    <row r="499">
      <c r="A499" s="46"/>
      <c r="B499" s="46"/>
    </row>
    <row r="500">
      <c r="A500" s="46"/>
      <c r="B500" s="46"/>
    </row>
    <row r="501">
      <c r="A501" s="46"/>
      <c r="B501" s="46"/>
    </row>
    <row r="502">
      <c r="A502" s="46"/>
      <c r="B502" s="46"/>
    </row>
    <row r="503">
      <c r="A503" s="46"/>
      <c r="B503" s="46"/>
    </row>
    <row r="504">
      <c r="A504" s="46"/>
      <c r="B504" s="46"/>
    </row>
    <row r="505">
      <c r="A505" s="46"/>
      <c r="B505" s="46"/>
    </row>
    <row r="506">
      <c r="A506" s="46"/>
      <c r="B506" s="46"/>
    </row>
    <row r="507">
      <c r="A507" s="46"/>
      <c r="B507" s="46"/>
    </row>
    <row r="508">
      <c r="A508" s="46"/>
      <c r="B508" s="46"/>
    </row>
    <row r="509">
      <c r="A509" s="46"/>
      <c r="B509" s="46"/>
    </row>
    <row r="510">
      <c r="A510" s="46"/>
      <c r="B510" s="46"/>
    </row>
    <row r="511">
      <c r="A511" s="46"/>
      <c r="B511" s="46"/>
    </row>
    <row r="512">
      <c r="A512" s="46"/>
      <c r="B512" s="46"/>
    </row>
    <row r="513">
      <c r="A513" s="46"/>
      <c r="B513" s="46"/>
    </row>
    <row r="514">
      <c r="A514" s="46"/>
      <c r="B514" s="46"/>
    </row>
    <row r="515">
      <c r="A515" s="46"/>
      <c r="B515" s="46"/>
    </row>
    <row r="516">
      <c r="A516" s="46"/>
      <c r="B516" s="46"/>
    </row>
    <row r="517">
      <c r="A517" s="46"/>
      <c r="B517" s="46"/>
    </row>
    <row r="518">
      <c r="A518" s="46"/>
      <c r="B518" s="46"/>
    </row>
    <row r="519">
      <c r="A519" s="46"/>
      <c r="B519" s="46"/>
    </row>
    <row r="520">
      <c r="A520" s="46"/>
      <c r="B520" s="46"/>
    </row>
    <row r="521">
      <c r="A521" s="46"/>
      <c r="B521" s="46"/>
    </row>
    <row r="522">
      <c r="A522" s="46"/>
      <c r="B522" s="46"/>
    </row>
    <row r="523">
      <c r="A523" s="46"/>
      <c r="B523" s="46"/>
    </row>
    <row r="524">
      <c r="A524" s="46"/>
      <c r="B524" s="46"/>
    </row>
    <row r="525">
      <c r="A525" s="46"/>
      <c r="B525" s="46"/>
    </row>
    <row r="526">
      <c r="A526" s="46"/>
      <c r="B526" s="46"/>
    </row>
    <row r="527">
      <c r="A527" s="46"/>
      <c r="B527" s="46"/>
    </row>
    <row r="528">
      <c r="A528" s="46"/>
      <c r="B528" s="46"/>
    </row>
    <row r="529">
      <c r="A529" s="46"/>
      <c r="B529" s="46"/>
    </row>
    <row r="530">
      <c r="A530" s="46"/>
      <c r="B530" s="46"/>
    </row>
    <row r="531">
      <c r="A531" s="46"/>
      <c r="B531" s="46"/>
    </row>
    <row r="532">
      <c r="A532" s="46"/>
      <c r="B532" s="46"/>
    </row>
    <row r="533">
      <c r="A533" s="46"/>
      <c r="B533" s="46"/>
    </row>
    <row r="534">
      <c r="A534" s="46"/>
      <c r="B534" s="46"/>
    </row>
    <row r="535">
      <c r="A535" s="46"/>
      <c r="B535" s="46"/>
    </row>
    <row r="536">
      <c r="A536" s="46"/>
      <c r="B536" s="46"/>
    </row>
    <row r="537">
      <c r="A537" s="46"/>
      <c r="B537" s="46"/>
    </row>
    <row r="538">
      <c r="A538" s="46"/>
      <c r="B538" s="46"/>
    </row>
    <row r="539">
      <c r="A539" s="46"/>
      <c r="B539" s="46"/>
    </row>
    <row r="540">
      <c r="A540" s="46"/>
      <c r="B540" s="46"/>
    </row>
    <row r="541">
      <c r="A541" s="46"/>
      <c r="B541" s="46"/>
    </row>
    <row r="542">
      <c r="A542" s="46"/>
      <c r="B542" s="46"/>
    </row>
    <row r="543">
      <c r="A543" s="46"/>
      <c r="B543" s="46"/>
    </row>
    <row r="544">
      <c r="A544" s="46"/>
      <c r="B544" s="46"/>
    </row>
    <row r="545">
      <c r="A545" s="46"/>
      <c r="B545" s="46"/>
    </row>
    <row r="546">
      <c r="A546" s="46"/>
      <c r="B546" s="46"/>
    </row>
    <row r="547">
      <c r="A547" s="46"/>
      <c r="B547" s="46"/>
    </row>
    <row r="548">
      <c r="A548" s="46"/>
      <c r="B548" s="46"/>
    </row>
    <row r="549">
      <c r="A549" s="46"/>
      <c r="B549" s="46"/>
    </row>
    <row r="550">
      <c r="A550" s="46"/>
      <c r="B550" s="46"/>
    </row>
    <row r="551">
      <c r="A551" s="46"/>
      <c r="B551" s="46"/>
    </row>
    <row r="552">
      <c r="A552" s="46"/>
      <c r="B552" s="46"/>
    </row>
    <row r="553">
      <c r="A553" s="46"/>
      <c r="B553" s="46"/>
    </row>
    <row r="554">
      <c r="A554" s="46"/>
      <c r="B554" s="46"/>
    </row>
    <row r="555">
      <c r="A555" s="46"/>
      <c r="B555" s="46"/>
    </row>
    <row r="556">
      <c r="A556" s="46"/>
      <c r="B556" s="46"/>
    </row>
    <row r="557">
      <c r="A557" s="46"/>
      <c r="B557" s="46"/>
    </row>
    <row r="558">
      <c r="A558" s="46"/>
      <c r="B558" s="46"/>
    </row>
    <row r="559">
      <c r="A559" s="46"/>
      <c r="B559" s="46"/>
    </row>
    <row r="560">
      <c r="A560" s="46"/>
      <c r="B560" s="46"/>
    </row>
    <row r="561">
      <c r="A561" s="46"/>
      <c r="B561" s="46"/>
    </row>
    <row r="562">
      <c r="A562" s="46"/>
      <c r="B562" s="46"/>
    </row>
    <row r="563">
      <c r="A563" s="46"/>
      <c r="B563" s="46"/>
    </row>
    <row r="564">
      <c r="A564" s="46"/>
      <c r="B564" s="46"/>
    </row>
    <row r="565">
      <c r="A565" s="46"/>
      <c r="B565" s="46"/>
    </row>
    <row r="566">
      <c r="A566" s="46"/>
      <c r="B566" s="46"/>
    </row>
    <row r="567">
      <c r="A567" s="46"/>
      <c r="B567" s="46"/>
    </row>
    <row r="568">
      <c r="A568" s="46"/>
      <c r="B568" s="46"/>
    </row>
    <row r="569">
      <c r="A569" s="46"/>
      <c r="B569" s="46"/>
    </row>
    <row r="570">
      <c r="A570" s="46"/>
      <c r="B570" s="46"/>
    </row>
    <row r="571">
      <c r="A571" s="46"/>
      <c r="B571" s="46"/>
    </row>
    <row r="572">
      <c r="A572" s="46"/>
      <c r="B572" s="46"/>
    </row>
    <row r="573">
      <c r="A573" s="46"/>
      <c r="B573" s="46"/>
    </row>
    <row r="574">
      <c r="A574" s="46"/>
      <c r="B574" s="46"/>
    </row>
    <row r="575">
      <c r="A575" s="46"/>
      <c r="B575" s="46"/>
    </row>
    <row r="576">
      <c r="A576" s="46"/>
      <c r="B576" s="46"/>
    </row>
    <row r="577">
      <c r="A577" s="46"/>
      <c r="B577" s="46"/>
    </row>
    <row r="578">
      <c r="A578" s="46"/>
      <c r="B578" s="46"/>
    </row>
    <row r="579">
      <c r="A579" s="46"/>
      <c r="B579" s="46"/>
    </row>
    <row r="580">
      <c r="A580" s="46"/>
      <c r="B580" s="46"/>
    </row>
    <row r="581">
      <c r="A581" s="46"/>
      <c r="B581" s="46"/>
    </row>
    <row r="582">
      <c r="A582" s="46"/>
      <c r="B582" s="46"/>
    </row>
    <row r="583">
      <c r="A583" s="46"/>
      <c r="B583" s="46"/>
    </row>
    <row r="584">
      <c r="A584" s="46"/>
      <c r="B584" s="46"/>
    </row>
    <row r="585">
      <c r="A585" s="46"/>
      <c r="B585" s="46"/>
    </row>
    <row r="586">
      <c r="A586" s="46"/>
      <c r="B586" s="46"/>
    </row>
    <row r="587">
      <c r="A587" s="46"/>
      <c r="B587" s="46"/>
    </row>
    <row r="588">
      <c r="A588" s="46"/>
      <c r="B588" s="46"/>
    </row>
    <row r="589">
      <c r="A589" s="46"/>
      <c r="B589" s="46"/>
    </row>
    <row r="590">
      <c r="A590" s="46"/>
      <c r="B590" s="46"/>
    </row>
    <row r="591">
      <c r="A591" s="46"/>
      <c r="B591" s="46"/>
    </row>
    <row r="592">
      <c r="A592" s="46"/>
      <c r="B592" s="46"/>
    </row>
    <row r="593">
      <c r="A593" s="46"/>
      <c r="B593" s="46"/>
    </row>
    <row r="594">
      <c r="A594" s="46"/>
      <c r="B594" s="46"/>
    </row>
    <row r="595">
      <c r="A595" s="46"/>
      <c r="B595" s="46"/>
    </row>
    <row r="596">
      <c r="A596" s="46"/>
      <c r="B596" s="46"/>
    </row>
    <row r="597">
      <c r="A597" s="46"/>
      <c r="B597" s="46"/>
    </row>
    <row r="598">
      <c r="A598" s="46"/>
      <c r="B598" s="46"/>
    </row>
    <row r="599">
      <c r="A599" s="46"/>
      <c r="B599" s="46"/>
    </row>
    <row r="600">
      <c r="A600" s="46"/>
      <c r="B600" s="46"/>
    </row>
    <row r="601">
      <c r="A601" s="46"/>
      <c r="B601" s="46"/>
    </row>
    <row r="602">
      <c r="A602" s="46"/>
      <c r="B602" s="46"/>
    </row>
    <row r="603">
      <c r="A603" s="46"/>
      <c r="B603" s="46"/>
    </row>
    <row r="604">
      <c r="A604" s="46"/>
      <c r="B604" s="46"/>
    </row>
    <row r="605">
      <c r="A605" s="46"/>
      <c r="B605" s="46"/>
    </row>
    <row r="606">
      <c r="A606" s="46"/>
      <c r="B606" s="46"/>
    </row>
    <row r="607">
      <c r="A607" s="46"/>
      <c r="B607" s="46"/>
    </row>
    <row r="608">
      <c r="A608" s="46"/>
      <c r="B608" s="46"/>
    </row>
    <row r="609">
      <c r="A609" s="46"/>
      <c r="B609" s="46"/>
    </row>
    <row r="610">
      <c r="A610" s="46"/>
      <c r="B610" s="46"/>
    </row>
    <row r="611">
      <c r="A611" s="46"/>
      <c r="B611" s="46"/>
    </row>
    <row r="612">
      <c r="A612" s="46"/>
      <c r="B612" s="46"/>
    </row>
    <row r="613">
      <c r="A613" s="46"/>
      <c r="B613" s="46"/>
    </row>
    <row r="614">
      <c r="A614" s="46"/>
      <c r="B614" s="46"/>
    </row>
    <row r="615">
      <c r="A615" s="46"/>
      <c r="B615" s="46"/>
    </row>
    <row r="616">
      <c r="A616" s="46"/>
      <c r="B616" s="46"/>
    </row>
    <row r="617">
      <c r="A617" s="46"/>
      <c r="B617" s="46"/>
    </row>
    <row r="618">
      <c r="A618" s="46"/>
      <c r="B618" s="46"/>
    </row>
    <row r="619">
      <c r="A619" s="46"/>
      <c r="B619" s="46"/>
    </row>
    <row r="620">
      <c r="A620" s="46"/>
      <c r="B620" s="46"/>
    </row>
    <row r="621">
      <c r="A621" s="46"/>
      <c r="B621" s="46"/>
    </row>
    <row r="622">
      <c r="A622" s="46"/>
      <c r="B622" s="46"/>
    </row>
    <row r="623">
      <c r="A623" s="46"/>
      <c r="B623" s="46"/>
    </row>
    <row r="624">
      <c r="A624" s="46"/>
      <c r="B624" s="46"/>
    </row>
    <row r="625">
      <c r="A625" s="46"/>
      <c r="B625" s="46"/>
    </row>
    <row r="626">
      <c r="A626" s="46"/>
      <c r="B626" s="46"/>
    </row>
    <row r="627">
      <c r="A627" s="46"/>
      <c r="B627" s="46"/>
    </row>
    <row r="628">
      <c r="A628" s="46"/>
      <c r="B628" s="46"/>
    </row>
    <row r="629">
      <c r="A629" s="46"/>
      <c r="B629" s="46"/>
    </row>
    <row r="630">
      <c r="A630" s="46"/>
      <c r="B630" s="46"/>
    </row>
    <row r="631">
      <c r="A631" s="46"/>
      <c r="B631" s="46"/>
    </row>
    <row r="632">
      <c r="A632" s="46"/>
      <c r="B632" s="46"/>
    </row>
    <row r="633">
      <c r="A633" s="46"/>
      <c r="B633" s="46"/>
    </row>
    <row r="634">
      <c r="A634" s="46"/>
      <c r="B634" s="46"/>
    </row>
    <row r="635">
      <c r="A635" s="46"/>
      <c r="B635" s="46"/>
    </row>
    <row r="636">
      <c r="A636" s="46"/>
      <c r="B636" s="46"/>
    </row>
    <row r="637">
      <c r="A637" s="46"/>
      <c r="B637" s="46"/>
    </row>
    <row r="638">
      <c r="A638" s="46"/>
      <c r="B638" s="46"/>
    </row>
    <row r="639">
      <c r="A639" s="46"/>
      <c r="B639" s="46"/>
    </row>
    <row r="640">
      <c r="A640" s="46"/>
      <c r="B640" s="46"/>
    </row>
    <row r="641">
      <c r="A641" s="46"/>
      <c r="B641" s="46"/>
    </row>
    <row r="642">
      <c r="A642" s="46"/>
      <c r="B642" s="46"/>
    </row>
    <row r="643">
      <c r="A643" s="46"/>
      <c r="B643" s="46"/>
    </row>
    <row r="644">
      <c r="A644" s="46"/>
      <c r="B644" s="46"/>
    </row>
    <row r="645">
      <c r="A645" s="46"/>
      <c r="B645" s="46"/>
    </row>
    <row r="646">
      <c r="A646" s="46"/>
      <c r="B646" s="46"/>
    </row>
    <row r="647">
      <c r="A647" s="46"/>
      <c r="B647" s="46"/>
    </row>
    <row r="648">
      <c r="A648" s="46"/>
      <c r="B648" s="46"/>
    </row>
    <row r="649">
      <c r="A649" s="46"/>
      <c r="B649" s="46"/>
    </row>
    <row r="650">
      <c r="A650" s="46"/>
      <c r="B650" s="46"/>
    </row>
    <row r="651">
      <c r="A651" s="46"/>
      <c r="B651" s="46"/>
    </row>
    <row r="652">
      <c r="A652" s="46"/>
      <c r="B652" s="46"/>
    </row>
    <row r="653">
      <c r="A653" s="46"/>
      <c r="B653" s="46"/>
    </row>
    <row r="654">
      <c r="A654" s="46"/>
      <c r="B654" s="46"/>
    </row>
    <row r="655">
      <c r="A655" s="46"/>
      <c r="B655" s="46"/>
    </row>
    <row r="656">
      <c r="A656" s="46"/>
      <c r="B656" s="46"/>
    </row>
    <row r="657">
      <c r="A657" s="46"/>
      <c r="B657" s="46"/>
    </row>
    <row r="658">
      <c r="A658" s="46"/>
      <c r="B658" s="46"/>
    </row>
    <row r="659">
      <c r="A659" s="46"/>
      <c r="B659" s="46"/>
    </row>
    <row r="660">
      <c r="A660" s="46"/>
      <c r="B660" s="46"/>
    </row>
    <row r="661">
      <c r="A661" s="46"/>
      <c r="B661" s="46"/>
    </row>
    <row r="662">
      <c r="A662" s="46"/>
      <c r="B662" s="46"/>
    </row>
    <row r="663">
      <c r="A663" s="46"/>
      <c r="B663" s="46"/>
    </row>
    <row r="664">
      <c r="A664" s="46"/>
      <c r="B664" s="46"/>
    </row>
    <row r="665">
      <c r="A665" s="46"/>
      <c r="B665" s="46"/>
    </row>
    <row r="666">
      <c r="A666" s="46"/>
      <c r="B666" s="46"/>
    </row>
    <row r="667">
      <c r="A667" s="46"/>
      <c r="B667" s="46"/>
    </row>
    <row r="668">
      <c r="A668" s="46"/>
      <c r="B668" s="46"/>
    </row>
    <row r="669">
      <c r="A669" s="46"/>
      <c r="B669" s="46"/>
    </row>
    <row r="670">
      <c r="A670" s="46"/>
      <c r="B670" s="46"/>
    </row>
    <row r="671">
      <c r="A671" s="46"/>
      <c r="B671" s="46"/>
    </row>
    <row r="672">
      <c r="A672" s="46"/>
      <c r="B672" s="46"/>
    </row>
    <row r="673">
      <c r="A673" s="46"/>
      <c r="B673" s="46"/>
    </row>
    <row r="674">
      <c r="A674" s="46"/>
      <c r="B674" s="46"/>
    </row>
    <row r="675">
      <c r="A675" s="46"/>
      <c r="B675" s="46"/>
    </row>
    <row r="676">
      <c r="A676" s="46"/>
      <c r="B676" s="46"/>
    </row>
    <row r="677">
      <c r="A677" s="46"/>
      <c r="B677" s="46"/>
    </row>
    <row r="678">
      <c r="A678" s="46"/>
      <c r="B678" s="46"/>
    </row>
    <row r="679">
      <c r="A679" s="46"/>
      <c r="B679" s="46"/>
    </row>
    <row r="680">
      <c r="A680" s="46"/>
      <c r="B680" s="46"/>
    </row>
    <row r="681">
      <c r="A681" s="46"/>
      <c r="B681" s="46"/>
    </row>
    <row r="682">
      <c r="A682" s="46"/>
      <c r="B682" s="46"/>
    </row>
    <row r="683">
      <c r="A683" s="46"/>
      <c r="B683" s="46"/>
    </row>
    <row r="684">
      <c r="A684" s="46"/>
      <c r="B684" s="46"/>
    </row>
    <row r="685">
      <c r="A685" s="46"/>
      <c r="B685" s="46"/>
    </row>
    <row r="686">
      <c r="A686" s="46"/>
      <c r="B686" s="46"/>
    </row>
    <row r="687">
      <c r="A687" s="46"/>
      <c r="B687" s="46"/>
    </row>
    <row r="688">
      <c r="A688" s="46"/>
      <c r="B688" s="46"/>
    </row>
    <row r="689">
      <c r="A689" s="46"/>
      <c r="B689" s="46"/>
    </row>
    <row r="690">
      <c r="A690" s="46"/>
      <c r="B690" s="46"/>
    </row>
    <row r="691">
      <c r="A691" s="46"/>
      <c r="B691" s="46"/>
    </row>
    <row r="692">
      <c r="A692" s="46"/>
      <c r="B692" s="46"/>
    </row>
    <row r="693">
      <c r="A693" s="46"/>
      <c r="B693" s="46"/>
    </row>
    <row r="694">
      <c r="A694" s="46"/>
      <c r="B694" s="46"/>
    </row>
    <row r="695">
      <c r="A695" s="46"/>
      <c r="B695" s="46"/>
    </row>
    <row r="696">
      <c r="A696" s="46"/>
      <c r="B696" s="46"/>
    </row>
    <row r="697">
      <c r="A697" s="46"/>
      <c r="B697" s="46"/>
    </row>
    <row r="698">
      <c r="A698" s="46"/>
      <c r="B698" s="46"/>
    </row>
    <row r="699">
      <c r="A699" s="46"/>
      <c r="B699" s="46"/>
    </row>
    <row r="700">
      <c r="A700" s="46"/>
      <c r="B700" s="46"/>
    </row>
    <row r="701">
      <c r="A701" s="46"/>
      <c r="B701" s="46"/>
    </row>
    <row r="702">
      <c r="A702" s="46"/>
      <c r="B702" s="46"/>
    </row>
    <row r="703">
      <c r="A703" s="46"/>
      <c r="B703" s="46"/>
    </row>
    <row r="704">
      <c r="A704" s="46"/>
      <c r="B704" s="46"/>
    </row>
    <row r="705">
      <c r="A705" s="46"/>
      <c r="B705" s="46"/>
    </row>
    <row r="706">
      <c r="A706" s="46"/>
      <c r="B706" s="46"/>
    </row>
    <row r="707">
      <c r="A707" s="46"/>
      <c r="B707" s="46"/>
    </row>
    <row r="708">
      <c r="A708" s="46"/>
      <c r="B708" s="46"/>
    </row>
    <row r="709">
      <c r="A709" s="46"/>
      <c r="B709" s="46"/>
    </row>
    <row r="710">
      <c r="A710" s="46"/>
      <c r="B710" s="46"/>
    </row>
    <row r="711">
      <c r="A711" s="46"/>
      <c r="B711" s="46"/>
    </row>
    <row r="712">
      <c r="A712" s="46"/>
      <c r="B712" s="46"/>
    </row>
    <row r="713">
      <c r="A713" s="46"/>
      <c r="B713" s="46"/>
    </row>
    <row r="714">
      <c r="A714" s="46"/>
      <c r="B714" s="46"/>
    </row>
    <row r="715">
      <c r="A715" s="46"/>
      <c r="B715" s="46"/>
    </row>
    <row r="716">
      <c r="A716" s="46"/>
      <c r="B716" s="46"/>
    </row>
    <row r="717">
      <c r="A717" s="46"/>
      <c r="B717" s="46"/>
    </row>
    <row r="718">
      <c r="A718" s="46"/>
      <c r="B718" s="46"/>
    </row>
    <row r="719">
      <c r="A719" s="46"/>
      <c r="B719" s="46"/>
    </row>
    <row r="720">
      <c r="A720" s="46"/>
      <c r="B720" s="46"/>
    </row>
    <row r="721">
      <c r="A721" s="46"/>
      <c r="B721" s="46"/>
    </row>
    <row r="722">
      <c r="A722" s="46"/>
      <c r="B722" s="46"/>
    </row>
    <row r="723">
      <c r="A723" s="46"/>
      <c r="B723" s="46"/>
    </row>
    <row r="724">
      <c r="A724" s="46"/>
      <c r="B724" s="46"/>
    </row>
    <row r="725">
      <c r="A725" s="46"/>
      <c r="B725" s="46"/>
    </row>
    <row r="726">
      <c r="A726" s="46"/>
      <c r="B726" s="46"/>
    </row>
    <row r="727">
      <c r="A727" s="46"/>
      <c r="B727" s="46"/>
    </row>
    <row r="728">
      <c r="A728" s="46"/>
      <c r="B728" s="46"/>
    </row>
    <row r="729">
      <c r="A729" s="46"/>
      <c r="B729" s="46"/>
    </row>
    <row r="730">
      <c r="A730" s="46"/>
      <c r="B730" s="46"/>
    </row>
    <row r="731">
      <c r="A731" s="46"/>
      <c r="B731" s="46"/>
    </row>
    <row r="732">
      <c r="A732" s="46"/>
      <c r="B732" s="46"/>
    </row>
    <row r="733">
      <c r="A733" s="46"/>
      <c r="B733" s="46"/>
    </row>
    <row r="734">
      <c r="A734" s="46"/>
      <c r="B734" s="46"/>
    </row>
    <row r="735">
      <c r="A735" s="46"/>
      <c r="B735" s="46"/>
    </row>
    <row r="736">
      <c r="A736" s="46"/>
      <c r="B736" s="46"/>
    </row>
    <row r="737">
      <c r="A737" s="46"/>
      <c r="B737" s="46"/>
    </row>
    <row r="738">
      <c r="A738" s="46"/>
      <c r="B738" s="46"/>
    </row>
    <row r="739">
      <c r="A739" s="46"/>
      <c r="B739" s="46"/>
    </row>
    <row r="740">
      <c r="A740" s="46"/>
      <c r="B740" s="46"/>
    </row>
    <row r="741">
      <c r="A741" s="46"/>
      <c r="B741" s="46"/>
    </row>
    <row r="742">
      <c r="A742" s="46"/>
      <c r="B742" s="46"/>
    </row>
    <row r="743">
      <c r="A743" s="46"/>
      <c r="B743" s="46"/>
    </row>
    <row r="744">
      <c r="A744" s="46"/>
      <c r="B744" s="46"/>
    </row>
    <row r="745">
      <c r="A745" s="46"/>
      <c r="B745" s="46"/>
    </row>
    <row r="746">
      <c r="A746" s="46"/>
      <c r="B746" s="46"/>
    </row>
    <row r="747">
      <c r="A747" s="46"/>
      <c r="B747" s="46"/>
    </row>
    <row r="748">
      <c r="A748" s="46"/>
      <c r="B748" s="46"/>
    </row>
    <row r="749">
      <c r="A749" s="46"/>
      <c r="B749" s="46"/>
    </row>
    <row r="750">
      <c r="A750" s="46"/>
      <c r="B750" s="46"/>
    </row>
    <row r="751">
      <c r="A751" s="46"/>
      <c r="B751" s="46"/>
    </row>
    <row r="752">
      <c r="A752" s="46"/>
      <c r="B752" s="46"/>
    </row>
    <row r="753">
      <c r="A753" s="46"/>
      <c r="B753" s="46"/>
    </row>
    <row r="754">
      <c r="A754" s="46"/>
      <c r="B754" s="46"/>
    </row>
    <row r="755">
      <c r="A755" s="46"/>
      <c r="B755" s="46"/>
    </row>
    <row r="756">
      <c r="A756" s="46"/>
      <c r="B756" s="46"/>
    </row>
    <row r="757">
      <c r="A757" s="46"/>
      <c r="B757" s="46"/>
    </row>
    <row r="758">
      <c r="A758" s="46"/>
      <c r="B758" s="46"/>
    </row>
    <row r="759">
      <c r="A759" s="46"/>
      <c r="B759" s="46"/>
    </row>
    <row r="760">
      <c r="A760" s="46"/>
      <c r="B760" s="46"/>
    </row>
    <row r="761">
      <c r="A761" s="46"/>
      <c r="B761" s="46"/>
    </row>
    <row r="762">
      <c r="A762" s="46"/>
      <c r="B762" s="46"/>
    </row>
    <row r="763">
      <c r="A763" s="46"/>
      <c r="B763" s="46"/>
    </row>
    <row r="764">
      <c r="A764" s="46"/>
      <c r="B764" s="46"/>
    </row>
    <row r="765">
      <c r="A765" s="46"/>
      <c r="B765" s="46"/>
    </row>
    <row r="766">
      <c r="A766" s="46"/>
      <c r="B766" s="46"/>
    </row>
    <row r="767">
      <c r="A767" s="46"/>
      <c r="B767" s="46"/>
    </row>
    <row r="768">
      <c r="A768" s="46"/>
      <c r="B768" s="46"/>
    </row>
    <row r="769">
      <c r="A769" s="46"/>
      <c r="B769" s="46"/>
    </row>
    <row r="770">
      <c r="A770" s="46"/>
      <c r="B770" s="46"/>
    </row>
    <row r="771">
      <c r="A771" s="46"/>
      <c r="B771" s="46"/>
    </row>
    <row r="772">
      <c r="A772" s="46"/>
      <c r="B772" s="46"/>
    </row>
    <row r="773">
      <c r="A773" s="46"/>
      <c r="B773" s="46"/>
    </row>
    <row r="774">
      <c r="A774" s="46"/>
      <c r="B774" s="46"/>
    </row>
    <row r="775">
      <c r="A775" s="46"/>
      <c r="B775" s="46"/>
    </row>
    <row r="776">
      <c r="A776" s="46"/>
      <c r="B776" s="46"/>
    </row>
    <row r="777">
      <c r="A777" s="46"/>
      <c r="B777" s="46"/>
    </row>
    <row r="778">
      <c r="A778" s="46"/>
      <c r="B778" s="46"/>
    </row>
    <row r="779">
      <c r="A779" s="46"/>
      <c r="B779" s="46"/>
    </row>
    <row r="780">
      <c r="A780" s="46"/>
      <c r="B780" s="46"/>
    </row>
    <row r="781">
      <c r="A781" s="46"/>
      <c r="B781" s="46"/>
    </row>
    <row r="782">
      <c r="A782" s="46"/>
      <c r="B782" s="46"/>
    </row>
    <row r="783">
      <c r="A783" s="46"/>
      <c r="B783" s="46"/>
    </row>
    <row r="784">
      <c r="A784" s="46"/>
      <c r="B784" s="46"/>
    </row>
    <row r="785">
      <c r="A785" s="46"/>
      <c r="B785" s="46"/>
    </row>
    <row r="786">
      <c r="A786" s="46"/>
      <c r="B786" s="46"/>
    </row>
    <row r="787">
      <c r="A787" s="46"/>
      <c r="B787" s="46"/>
    </row>
    <row r="788">
      <c r="A788" s="46"/>
      <c r="B788" s="46"/>
    </row>
    <row r="789">
      <c r="A789" s="46"/>
      <c r="B789" s="46"/>
    </row>
    <row r="790">
      <c r="A790" s="46"/>
      <c r="B790" s="46"/>
    </row>
    <row r="791">
      <c r="A791" s="46"/>
      <c r="B791" s="46"/>
    </row>
    <row r="792">
      <c r="A792" s="46"/>
      <c r="B792" s="46"/>
    </row>
    <row r="793">
      <c r="A793" s="46"/>
      <c r="B793" s="46"/>
    </row>
    <row r="794">
      <c r="A794" s="46"/>
      <c r="B794" s="46"/>
    </row>
    <row r="795">
      <c r="A795" s="46"/>
      <c r="B795" s="46"/>
    </row>
    <row r="796">
      <c r="A796" s="46"/>
      <c r="B796" s="46"/>
    </row>
    <row r="797">
      <c r="A797" s="46"/>
      <c r="B797" s="46"/>
    </row>
    <row r="798">
      <c r="A798" s="46"/>
      <c r="B798" s="46"/>
    </row>
    <row r="799">
      <c r="A799" s="46"/>
      <c r="B799" s="46"/>
    </row>
    <row r="800">
      <c r="A800" s="46"/>
      <c r="B800" s="46"/>
    </row>
    <row r="801">
      <c r="A801" s="46"/>
      <c r="B801" s="46"/>
    </row>
    <row r="802">
      <c r="A802" s="46"/>
      <c r="B802" s="46"/>
    </row>
    <row r="803">
      <c r="A803" s="46"/>
      <c r="B803" s="46"/>
    </row>
    <row r="804">
      <c r="A804" s="46"/>
      <c r="B804" s="46"/>
    </row>
    <row r="805">
      <c r="A805" s="46"/>
      <c r="B805" s="46"/>
    </row>
    <row r="806">
      <c r="A806" s="46"/>
      <c r="B806" s="46"/>
    </row>
    <row r="807">
      <c r="A807" s="46"/>
      <c r="B807" s="46"/>
    </row>
    <row r="808">
      <c r="A808" s="46"/>
      <c r="B808" s="46"/>
    </row>
    <row r="809">
      <c r="A809" s="46"/>
      <c r="B809" s="46"/>
    </row>
    <row r="810">
      <c r="A810" s="46"/>
      <c r="B810" s="46"/>
    </row>
    <row r="811">
      <c r="A811" s="46"/>
      <c r="B811" s="46"/>
    </row>
    <row r="812">
      <c r="A812" s="46"/>
      <c r="B812" s="46"/>
    </row>
    <row r="813">
      <c r="A813" s="46"/>
      <c r="B813" s="46"/>
    </row>
    <row r="814">
      <c r="A814" s="46"/>
      <c r="B814" s="46"/>
    </row>
    <row r="815">
      <c r="A815" s="46"/>
      <c r="B815" s="46"/>
    </row>
    <row r="816">
      <c r="A816" s="46"/>
      <c r="B816" s="46"/>
    </row>
    <row r="817">
      <c r="A817" s="46"/>
      <c r="B817" s="46"/>
    </row>
    <row r="818">
      <c r="A818" s="46"/>
      <c r="B818" s="46"/>
    </row>
    <row r="819">
      <c r="A819" s="46"/>
      <c r="B819" s="46"/>
    </row>
    <row r="820">
      <c r="A820" s="46"/>
      <c r="B820" s="46"/>
    </row>
    <row r="821">
      <c r="A821" s="46"/>
      <c r="B821" s="46"/>
    </row>
    <row r="822">
      <c r="A822" s="46"/>
      <c r="B822" s="46"/>
    </row>
    <row r="823">
      <c r="A823" s="46"/>
      <c r="B823" s="46"/>
    </row>
    <row r="824">
      <c r="A824" s="46"/>
      <c r="B824" s="46"/>
    </row>
    <row r="825">
      <c r="A825" s="46"/>
      <c r="B825" s="46"/>
    </row>
    <row r="826">
      <c r="A826" s="46"/>
      <c r="B826" s="46"/>
    </row>
    <row r="827">
      <c r="A827" s="46"/>
      <c r="B827" s="46"/>
    </row>
    <row r="828">
      <c r="A828" s="46"/>
      <c r="B828" s="46"/>
    </row>
    <row r="829">
      <c r="A829" s="46"/>
      <c r="B829" s="46"/>
    </row>
    <row r="830">
      <c r="A830" s="46"/>
      <c r="B830" s="46"/>
    </row>
    <row r="831">
      <c r="A831" s="46"/>
      <c r="B831" s="46"/>
    </row>
    <row r="832">
      <c r="A832" s="46"/>
      <c r="B832" s="46"/>
    </row>
    <row r="833">
      <c r="A833" s="46"/>
      <c r="B833" s="46"/>
    </row>
    <row r="834">
      <c r="A834" s="46"/>
      <c r="B834" s="46"/>
    </row>
    <row r="835">
      <c r="A835" s="46"/>
      <c r="B835" s="46"/>
    </row>
    <row r="836">
      <c r="A836" s="46"/>
      <c r="B836" s="46"/>
    </row>
    <row r="837">
      <c r="A837" s="46"/>
      <c r="B837" s="46"/>
    </row>
    <row r="838">
      <c r="A838" s="46"/>
      <c r="B838" s="46"/>
    </row>
    <row r="839">
      <c r="A839" s="46"/>
      <c r="B839" s="46"/>
    </row>
    <row r="840">
      <c r="A840" s="46"/>
      <c r="B840" s="46"/>
    </row>
    <row r="841">
      <c r="A841" s="46"/>
      <c r="B841" s="46"/>
    </row>
    <row r="842">
      <c r="A842" s="46"/>
      <c r="B842" s="46"/>
    </row>
    <row r="843">
      <c r="A843" s="46"/>
      <c r="B843" s="46"/>
    </row>
    <row r="844">
      <c r="A844" s="46"/>
      <c r="B844" s="46"/>
    </row>
    <row r="845">
      <c r="A845" s="46"/>
      <c r="B845" s="46"/>
    </row>
    <row r="846">
      <c r="A846" s="46"/>
      <c r="B846" s="46"/>
    </row>
    <row r="847">
      <c r="A847" s="46"/>
      <c r="B847" s="46"/>
    </row>
    <row r="848">
      <c r="A848" s="46"/>
      <c r="B848" s="46"/>
    </row>
    <row r="849">
      <c r="A849" s="46"/>
      <c r="B849" s="46"/>
    </row>
    <row r="850">
      <c r="A850" s="46"/>
      <c r="B850" s="46"/>
    </row>
    <row r="851">
      <c r="A851" s="46"/>
      <c r="B851" s="46"/>
    </row>
    <row r="852">
      <c r="A852" s="46"/>
      <c r="B852" s="46"/>
    </row>
    <row r="853">
      <c r="A853" s="46"/>
      <c r="B853" s="46"/>
    </row>
    <row r="854">
      <c r="A854" s="46"/>
      <c r="B854" s="46"/>
    </row>
    <row r="855">
      <c r="A855" s="46"/>
      <c r="B855" s="46"/>
    </row>
    <row r="856">
      <c r="A856" s="46"/>
      <c r="B856" s="46"/>
    </row>
    <row r="857">
      <c r="A857" s="46"/>
      <c r="B857" s="46"/>
    </row>
    <row r="858">
      <c r="A858" s="46"/>
      <c r="B858" s="46"/>
    </row>
    <row r="859">
      <c r="A859" s="46"/>
      <c r="B859" s="46"/>
    </row>
    <row r="860">
      <c r="A860" s="46"/>
      <c r="B860" s="46"/>
    </row>
    <row r="861">
      <c r="A861" s="46"/>
      <c r="B861" s="46"/>
    </row>
    <row r="862">
      <c r="A862" s="46"/>
      <c r="B862" s="46"/>
    </row>
    <row r="863">
      <c r="A863" s="46"/>
      <c r="B863" s="46"/>
    </row>
    <row r="864">
      <c r="A864" s="46"/>
      <c r="B864" s="46"/>
    </row>
    <row r="865">
      <c r="A865" s="46"/>
      <c r="B865" s="46"/>
    </row>
    <row r="866">
      <c r="A866" s="46"/>
      <c r="B866" s="46"/>
    </row>
    <row r="867">
      <c r="A867" s="46"/>
      <c r="B867" s="46"/>
    </row>
    <row r="868">
      <c r="A868" s="46"/>
      <c r="B868" s="46"/>
    </row>
    <row r="869">
      <c r="A869" s="46"/>
      <c r="B869" s="46"/>
    </row>
    <row r="870">
      <c r="A870" s="46"/>
      <c r="B870" s="46"/>
    </row>
    <row r="871">
      <c r="A871" s="46"/>
      <c r="B871" s="46"/>
    </row>
    <row r="872">
      <c r="A872" s="46"/>
      <c r="B872" s="46"/>
    </row>
    <row r="873">
      <c r="A873" s="46"/>
      <c r="B873" s="46"/>
    </row>
    <row r="874">
      <c r="A874" s="46"/>
      <c r="B874" s="46"/>
    </row>
    <row r="875">
      <c r="A875" s="46"/>
      <c r="B875" s="46"/>
    </row>
    <row r="876">
      <c r="A876" s="46"/>
      <c r="B876" s="46"/>
    </row>
    <row r="877">
      <c r="A877" s="46"/>
      <c r="B877" s="46"/>
    </row>
    <row r="878">
      <c r="A878" s="46"/>
      <c r="B878" s="46"/>
    </row>
    <row r="879">
      <c r="A879" s="46"/>
      <c r="B879" s="46"/>
    </row>
    <row r="880">
      <c r="A880" s="46"/>
      <c r="B880" s="46"/>
    </row>
    <row r="881">
      <c r="A881" s="46"/>
      <c r="B881" s="46"/>
    </row>
    <row r="882">
      <c r="A882" s="46"/>
      <c r="B882" s="46"/>
    </row>
    <row r="883">
      <c r="A883" s="46"/>
      <c r="B883" s="46"/>
    </row>
    <row r="884">
      <c r="A884" s="46"/>
      <c r="B884" s="46"/>
    </row>
    <row r="885">
      <c r="A885" s="46"/>
      <c r="B885" s="46"/>
    </row>
    <row r="886">
      <c r="A886" s="46"/>
      <c r="B886" s="46"/>
    </row>
    <row r="887">
      <c r="A887" s="46"/>
      <c r="B887" s="46"/>
    </row>
    <row r="888">
      <c r="A888" s="46"/>
      <c r="B888" s="46"/>
    </row>
    <row r="889">
      <c r="A889" s="46"/>
      <c r="B889" s="46"/>
    </row>
    <row r="890">
      <c r="A890" s="46"/>
      <c r="B890" s="46"/>
    </row>
    <row r="891">
      <c r="A891" s="46"/>
      <c r="B891" s="46"/>
    </row>
    <row r="892">
      <c r="A892" s="46"/>
      <c r="B892" s="46"/>
    </row>
    <row r="893">
      <c r="A893" s="46"/>
      <c r="B893" s="46"/>
    </row>
    <row r="894">
      <c r="A894" s="46"/>
      <c r="B894" s="46"/>
    </row>
    <row r="895">
      <c r="A895" s="46"/>
      <c r="B895" s="46"/>
    </row>
    <row r="896">
      <c r="A896" s="46"/>
      <c r="B896" s="46"/>
    </row>
    <row r="897">
      <c r="A897" s="46"/>
      <c r="B897" s="46"/>
    </row>
    <row r="898">
      <c r="A898" s="46"/>
      <c r="B898" s="46"/>
    </row>
    <row r="899">
      <c r="A899" s="46"/>
      <c r="B899" s="46"/>
    </row>
    <row r="900">
      <c r="A900" s="46"/>
      <c r="B900" s="46"/>
    </row>
    <row r="901">
      <c r="A901" s="46"/>
      <c r="B901" s="46"/>
    </row>
    <row r="902">
      <c r="A902" s="46"/>
      <c r="B902" s="46"/>
    </row>
    <row r="903">
      <c r="A903" s="46"/>
      <c r="B903" s="46"/>
    </row>
    <row r="904">
      <c r="A904" s="46"/>
      <c r="B904" s="46"/>
    </row>
    <row r="905">
      <c r="A905" s="46"/>
      <c r="B905" s="46"/>
    </row>
    <row r="906">
      <c r="A906" s="46"/>
      <c r="B906" s="46"/>
    </row>
    <row r="907">
      <c r="A907" s="46"/>
      <c r="B907" s="46"/>
    </row>
    <row r="908">
      <c r="A908" s="46"/>
      <c r="B908" s="46"/>
    </row>
    <row r="909">
      <c r="A909" s="46"/>
      <c r="B909" s="46"/>
    </row>
    <row r="910">
      <c r="A910" s="46"/>
      <c r="B910" s="46"/>
    </row>
    <row r="911">
      <c r="A911" s="46"/>
      <c r="B911" s="46"/>
    </row>
    <row r="912">
      <c r="A912" s="46"/>
      <c r="B912" s="46"/>
    </row>
    <row r="913">
      <c r="A913" s="46"/>
      <c r="B913" s="46"/>
    </row>
    <row r="914">
      <c r="A914" s="46"/>
      <c r="B914" s="46"/>
    </row>
    <row r="915">
      <c r="A915" s="46"/>
      <c r="B915" s="46"/>
    </row>
    <row r="916">
      <c r="A916" s="46"/>
      <c r="B916" s="46"/>
    </row>
    <row r="917">
      <c r="A917" s="46"/>
      <c r="B917" s="46"/>
    </row>
    <row r="918">
      <c r="A918" s="46"/>
      <c r="B918" s="46"/>
    </row>
    <row r="919">
      <c r="A919" s="46"/>
      <c r="B919" s="46"/>
    </row>
    <row r="920">
      <c r="A920" s="46"/>
      <c r="B920" s="46"/>
    </row>
    <row r="921">
      <c r="A921" s="46"/>
      <c r="B921" s="46"/>
    </row>
    <row r="922">
      <c r="A922" s="46"/>
      <c r="B922" s="46"/>
    </row>
    <row r="923">
      <c r="A923" s="46"/>
      <c r="B923" s="46"/>
    </row>
    <row r="924">
      <c r="A924" s="46"/>
      <c r="B924" s="46"/>
    </row>
    <row r="925">
      <c r="A925" s="46"/>
      <c r="B925" s="46"/>
    </row>
    <row r="926">
      <c r="A926" s="46"/>
      <c r="B926" s="46"/>
    </row>
    <row r="927">
      <c r="A927" s="46"/>
      <c r="B927" s="46"/>
    </row>
    <row r="928">
      <c r="A928" s="46"/>
      <c r="B928" s="46"/>
    </row>
    <row r="929">
      <c r="A929" s="46"/>
      <c r="B929" s="46"/>
    </row>
    <row r="930">
      <c r="A930" s="46"/>
      <c r="B930" s="46"/>
    </row>
    <row r="931">
      <c r="A931" s="46"/>
      <c r="B931" s="46"/>
    </row>
    <row r="932">
      <c r="A932" s="46"/>
      <c r="B932" s="46"/>
    </row>
    <row r="933">
      <c r="A933" s="46"/>
      <c r="B933" s="46"/>
    </row>
    <row r="934">
      <c r="A934" s="46"/>
      <c r="B934" s="46"/>
    </row>
    <row r="935">
      <c r="A935" s="46"/>
      <c r="B935" s="46"/>
    </row>
    <row r="936">
      <c r="A936" s="46"/>
      <c r="B936" s="46"/>
    </row>
    <row r="937">
      <c r="A937" s="46"/>
      <c r="B937" s="46"/>
    </row>
    <row r="938">
      <c r="A938" s="46"/>
      <c r="B938" s="46"/>
    </row>
    <row r="939">
      <c r="A939" s="46"/>
      <c r="B939" s="46"/>
    </row>
    <row r="940">
      <c r="A940" s="46"/>
      <c r="B940" s="46"/>
    </row>
    <row r="941">
      <c r="A941" s="46"/>
      <c r="B941" s="46"/>
    </row>
    <row r="942">
      <c r="A942" s="46"/>
      <c r="B942" s="46"/>
    </row>
    <row r="943">
      <c r="A943" s="46"/>
      <c r="B943" s="46"/>
    </row>
    <row r="944">
      <c r="A944" s="46"/>
      <c r="B944" s="46"/>
    </row>
    <row r="945">
      <c r="A945" s="46"/>
      <c r="B945" s="46"/>
    </row>
    <row r="946">
      <c r="A946" s="46"/>
      <c r="B946" s="46"/>
    </row>
    <row r="947">
      <c r="A947" s="46"/>
      <c r="B947" s="46"/>
    </row>
    <row r="948">
      <c r="A948" s="46"/>
      <c r="B948" s="46"/>
    </row>
    <row r="949">
      <c r="A949" s="46"/>
      <c r="B949" s="46"/>
    </row>
    <row r="950">
      <c r="A950" s="46"/>
      <c r="B950" s="46"/>
    </row>
    <row r="951">
      <c r="A951" s="46"/>
      <c r="B951" s="46"/>
    </row>
    <row r="952">
      <c r="A952" s="46"/>
      <c r="B952" s="46"/>
    </row>
    <row r="953">
      <c r="A953" s="46"/>
      <c r="B953" s="46"/>
    </row>
    <row r="954">
      <c r="A954" s="46"/>
      <c r="B954" s="46"/>
    </row>
    <row r="955">
      <c r="A955" s="46"/>
      <c r="B955" s="46"/>
    </row>
    <row r="956">
      <c r="A956" s="46"/>
      <c r="B956" s="46"/>
    </row>
    <row r="957">
      <c r="A957" s="46"/>
      <c r="B957" s="46"/>
    </row>
    <row r="958">
      <c r="A958" s="46"/>
      <c r="B958" s="46"/>
    </row>
    <row r="959">
      <c r="A959" s="46"/>
      <c r="B959" s="46"/>
    </row>
    <row r="960">
      <c r="A960" s="46"/>
      <c r="B960" s="46"/>
    </row>
    <row r="961">
      <c r="A961" s="46"/>
      <c r="B961" s="46"/>
    </row>
    <row r="962">
      <c r="A962" s="46"/>
      <c r="B962" s="46"/>
    </row>
    <row r="963">
      <c r="A963" s="46"/>
      <c r="B963" s="46"/>
    </row>
    <row r="964">
      <c r="A964" s="46"/>
      <c r="B964" s="46"/>
    </row>
    <row r="965">
      <c r="A965" s="46"/>
      <c r="B965" s="46"/>
    </row>
    <row r="966">
      <c r="A966" s="46"/>
      <c r="B966" s="46"/>
    </row>
    <row r="967">
      <c r="A967" s="46"/>
      <c r="B967" s="46"/>
    </row>
    <row r="968">
      <c r="A968" s="46"/>
      <c r="B968" s="46"/>
    </row>
    <row r="969">
      <c r="A969" s="46"/>
      <c r="B969" s="46"/>
    </row>
    <row r="970">
      <c r="A970" s="46"/>
      <c r="B970" s="46"/>
    </row>
    <row r="971">
      <c r="A971" s="46"/>
      <c r="B971" s="46"/>
    </row>
    <row r="972">
      <c r="A972" s="46"/>
      <c r="B972" s="46"/>
    </row>
    <row r="973">
      <c r="A973" s="46"/>
      <c r="B973" s="46"/>
    </row>
    <row r="974">
      <c r="A974" s="46"/>
      <c r="B974" s="46"/>
    </row>
    <row r="975">
      <c r="A975" s="46"/>
      <c r="B975" s="46"/>
    </row>
    <row r="976">
      <c r="A976" s="46"/>
      <c r="B976" s="46"/>
    </row>
    <row r="977">
      <c r="A977" s="46"/>
      <c r="B977" s="46"/>
    </row>
    <row r="978">
      <c r="A978" s="46"/>
      <c r="B978" s="46"/>
    </row>
    <row r="979">
      <c r="A979" s="46"/>
      <c r="B979" s="46"/>
    </row>
    <row r="980">
      <c r="A980" s="46"/>
      <c r="B980" s="46"/>
    </row>
    <row r="981">
      <c r="A981" s="46"/>
      <c r="B981" s="46"/>
    </row>
    <row r="982">
      <c r="A982" s="46"/>
      <c r="B982" s="46"/>
    </row>
    <row r="983">
      <c r="A983" s="46"/>
      <c r="B983" s="46"/>
    </row>
    <row r="984">
      <c r="A984" s="46"/>
      <c r="B984" s="46"/>
    </row>
    <row r="985">
      <c r="A985" s="46"/>
      <c r="B985" s="46"/>
    </row>
    <row r="986">
      <c r="A986" s="46"/>
      <c r="B986" s="46"/>
    </row>
    <row r="987">
      <c r="A987" s="46"/>
      <c r="B987" s="46"/>
    </row>
    <row r="988">
      <c r="A988" s="46"/>
      <c r="B988" s="46"/>
    </row>
    <row r="989">
      <c r="A989" s="46"/>
      <c r="B989" s="46"/>
    </row>
    <row r="990">
      <c r="A990" s="46"/>
      <c r="B990" s="46"/>
    </row>
    <row r="991">
      <c r="A991" s="46"/>
      <c r="B991" s="46"/>
    </row>
    <row r="992">
      <c r="A992" s="46"/>
      <c r="B992" s="46"/>
    </row>
    <row r="993">
      <c r="A993" s="46"/>
      <c r="B993" s="46"/>
    </row>
    <row r="994">
      <c r="A994" s="46"/>
      <c r="B994" s="46"/>
    </row>
    <row r="995">
      <c r="A995" s="46"/>
      <c r="B995" s="46"/>
    </row>
    <row r="996">
      <c r="A996" s="46"/>
      <c r="B996" s="46"/>
    </row>
    <row r="997">
      <c r="A997" s="46"/>
      <c r="B997" s="46"/>
    </row>
    <row r="998">
      <c r="A998" s="46"/>
      <c r="B998" s="46"/>
    </row>
    <row r="999">
      <c r="A999" s="46"/>
      <c r="B999" s="46"/>
    </row>
    <row r="1000">
      <c r="A1000" s="46"/>
      <c r="B1000" s="4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79" t="s">
        <v>347</v>
      </c>
      <c r="B1" s="79" t="s">
        <v>348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81" t="s">
        <v>113</v>
      </c>
      <c r="B2" s="81" t="s">
        <v>274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>
      <c r="A3" s="82" t="s">
        <v>184</v>
      </c>
      <c r="B3" s="82" t="s">
        <v>328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>
      <c r="A4" s="81" t="s">
        <v>49</v>
      </c>
      <c r="B4" s="81" t="s">
        <v>216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>
      <c r="A5" s="82" t="s">
        <v>178</v>
      </c>
      <c r="B5" s="82" t="s">
        <v>322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>
      <c r="A6" s="81" t="s">
        <v>37</v>
      </c>
      <c r="B6" s="81" t="s">
        <v>212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>
      <c r="A7" s="82" t="s">
        <v>194</v>
      </c>
      <c r="B7" s="82" t="s">
        <v>334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>
      <c r="A8" s="81" t="s">
        <v>89</v>
      </c>
      <c r="B8" s="81" t="s">
        <v>256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>
      <c r="A9" s="82" t="s">
        <v>51</v>
      </c>
      <c r="B9" s="82" t="s">
        <v>223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>
      <c r="A10" s="81" t="s">
        <v>196</v>
      </c>
      <c r="B10" s="81" t="s">
        <v>336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>
      <c r="A11" s="82" t="s">
        <v>77</v>
      </c>
      <c r="B11" s="82" t="s">
        <v>245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>
      <c r="A12" s="81" t="s">
        <v>61</v>
      </c>
      <c r="B12" s="81" t="s">
        <v>232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>
      <c r="A13" s="82" t="s">
        <v>149</v>
      </c>
      <c r="B13" s="82" t="s">
        <v>298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>
      <c r="A14" s="81" t="s">
        <v>101</v>
      </c>
      <c r="B14" s="81" t="s">
        <v>266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>
      <c r="A15" s="82" t="s">
        <v>55</v>
      </c>
      <c r="B15" s="82" t="s">
        <v>226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>
      <c r="A16" s="81" t="s">
        <v>161</v>
      </c>
      <c r="B16" s="81" t="s">
        <v>306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>
      <c r="A17" s="82" t="s">
        <v>73</v>
      </c>
      <c r="B17" s="82" t="s">
        <v>241</v>
      </c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>
      <c r="A18" s="81" t="s">
        <v>174</v>
      </c>
      <c r="B18" s="81" t="s">
        <v>318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>
      <c r="A19" s="82" t="s">
        <v>186</v>
      </c>
      <c r="B19" s="82" t="s">
        <v>329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>
      <c r="A20" s="81" t="s">
        <v>65</v>
      </c>
      <c r="B20" s="81" t="s">
        <v>235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>
      <c r="A21" s="82" t="s">
        <v>192</v>
      </c>
      <c r="B21" s="82" t="s">
        <v>332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>
      <c r="A22" s="81" t="s">
        <v>349</v>
      </c>
      <c r="B22" s="81" t="s">
        <v>350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>
      <c r="A23" s="82" t="s">
        <v>351</v>
      </c>
      <c r="B23" s="82" t="s">
        <v>352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>
      <c r="A24" s="81" t="s">
        <v>41</v>
      </c>
      <c r="B24" s="81" t="s">
        <v>216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>
      <c r="A25" s="82" t="s">
        <v>97</v>
      </c>
      <c r="B25" s="82" t="s">
        <v>263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>
      <c r="A26" s="81" t="s">
        <v>121</v>
      </c>
      <c r="B26" s="81" t="s">
        <v>278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>
      <c r="A27" s="82" t="s">
        <v>353</v>
      </c>
      <c r="B27" s="82" t="s">
        <v>354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>
      <c r="A28" s="81" t="s">
        <v>166</v>
      </c>
      <c r="B28" s="81" t="s">
        <v>311</v>
      </c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>
      <c r="A29" s="82" t="s">
        <v>103</v>
      </c>
      <c r="B29" s="82" t="s">
        <v>267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>
      <c r="A30" s="81" t="s">
        <v>355</v>
      </c>
      <c r="B30" s="81" t="s">
        <v>356</v>
      </c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>
      <c r="A31" s="82" t="s">
        <v>87</v>
      </c>
      <c r="B31" s="82" t="s">
        <v>254</v>
      </c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>
      <c r="A32" s="81" t="s">
        <v>47</v>
      </c>
      <c r="B32" s="81" t="s">
        <v>222</v>
      </c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>
      <c r="A33" s="82" t="s">
        <v>357</v>
      </c>
      <c r="B33" s="82" t="s">
        <v>278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>
      <c r="A34" s="81" t="s">
        <v>83</v>
      </c>
      <c r="B34" s="81" t="s">
        <v>250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>
      <c r="A35" s="82" t="s">
        <v>127</v>
      </c>
      <c r="B35" s="82" t="s">
        <v>281</v>
      </c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>
      <c r="A36" s="81" t="s">
        <v>358</v>
      </c>
      <c r="B36" s="81" t="s">
        <v>359</v>
      </c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>
      <c r="A37" s="82" t="s">
        <v>360</v>
      </c>
      <c r="B37" s="82" t="s">
        <v>361</v>
      </c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>
      <c r="A38" s="81" t="s">
        <v>362</v>
      </c>
      <c r="B38" s="81" t="s">
        <v>363</v>
      </c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>
      <c r="A39" s="82" t="s">
        <v>67</v>
      </c>
      <c r="B39" s="82" t="s">
        <v>236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>
      <c r="A40" s="81" t="s">
        <v>79</v>
      </c>
      <c r="B40" s="81" t="s">
        <v>246</v>
      </c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>
      <c r="A41" s="82" t="s">
        <v>176</v>
      </c>
      <c r="B41" s="82" t="s">
        <v>320</v>
      </c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>
      <c r="A42" s="81" t="s">
        <v>135</v>
      </c>
      <c r="B42" s="81" t="s">
        <v>289</v>
      </c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>
      <c r="A43" s="82" t="s">
        <v>364</v>
      </c>
      <c r="B43" s="82" t="s">
        <v>365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>
      <c r="A44" s="81" t="s">
        <v>119</v>
      </c>
      <c r="B44" s="81" t="s">
        <v>276</v>
      </c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>
      <c r="A45" s="82" t="s">
        <v>81</v>
      </c>
      <c r="B45" s="82" t="s">
        <v>248</v>
      </c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>
      <c r="A46" s="81" t="s">
        <v>123</v>
      </c>
      <c r="B46" s="81" t="s">
        <v>279</v>
      </c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>
      <c r="A47" s="82" t="s">
        <v>117</v>
      </c>
      <c r="B47" s="82" t="s">
        <v>275</v>
      </c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>
      <c r="A48" s="81" t="s">
        <v>366</v>
      </c>
      <c r="B48" s="81" t="s">
        <v>367</v>
      </c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>
      <c r="A49" s="82" t="s">
        <v>39</v>
      </c>
      <c r="B49" s="82" t="s">
        <v>214</v>
      </c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>
      <c r="A50" s="81" t="s">
        <v>368</v>
      </c>
      <c r="B50" s="81" t="s">
        <v>369</v>
      </c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>
      <c r="A51" s="82" t="s">
        <v>370</v>
      </c>
      <c r="B51" s="82" t="s">
        <v>371</v>
      </c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>
      <c r="A52" s="81" t="s">
        <v>170</v>
      </c>
      <c r="B52" s="81" t="s">
        <v>315</v>
      </c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>
      <c r="A53" s="82" t="s">
        <v>372</v>
      </c>
      <c r="B53" s="82" t="s">
        <v>373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>
      <c r="A54" s="81" t="s">
        <v>374</v>
      </c>
      <c r="B54" s="81" t="s">
        <v>361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>
      <c r="A55" s="82" t="s">
        <v>125</v>
      </c>
      <c r="B55" s="82" t="s">
        <v>280</v>
      </c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>
      <c r="A56" s="81" t="s">
        <v>375</v>
      </c>
      <c r="B56" s="81" t="s">
        <v>376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>
      <c r="A57" s="82" t="s">
        <v>105</v>
      </c>
      <c r="B57" s="82" t="s">
        <v>268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>
      <c r="A58" s="81" t="s">
        <v>141</v>
      </c>
      <c r="B58" s="81" t="s">
        <v>292</v>
      </c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>
      <c r="A59" s="82" t="s">
        <v>71</v>
      </c>
      <c r="B59" s="82" t="s">
        <v>239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>
      <c r="A60" s="81" t="s">
        <v>53</v>
      </c>
      <c r="B60" s="81" t="s">
        <v>224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>
      <c r="A61" s="82" t="s">
        <v>107</v>
      </c>
      <c r="B61" s="82" t="s">
        <v>270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>
      <c r="A62" s="81" t="s">
        <v>93</v>
      </c>
      <c r="B62" s="81" t="s">
        <v>260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>
      <c r="A63" s="82" t="s">
        <v>377</v>
      </c>
      <c r="B63" s="82" t="s">
        <v>378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>
      <c r="A64" s="81" t="s">
        <v>188</v>
      </c>
      <c r="B64" s="81" t="s">
        <v>330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>
      <c r="A65" s="82" t="s">
        <v>75</v>
      </c>
      <c r="B65" s="82" t="s">
        <v>243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>
      <c r="A66" s="81" t="s">
        <v>379</v>
      </c>
      <c r="B66" s="81" t="s">
        <v>380</v>
      </c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>
      <c r="A67" s="82" t="s">
        <v>180</v>
      </c>
      <c r="B67" s="82" t="s">
        <v>324</v>
      </c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>
      <c r="A68" s="81" t="s">
        <v>381</v>
      </c>
      <c r="B68" s="81" t="s">
        <v>382</v>
      </c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>
      <c r="A69" s="82" t="s">
        <v>115</v>
      </c>
      <c r="B69" s="82" t="s">
        <v>245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>
      <c r="A70" s="81" t="s">
        <v>69</v>
      </c>
      <c r="B70" s="81" t="s">
        <v>237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>
      <c r="A71" s="82" t="s">
        <v>383</v>
      </c>
      <c r="B71" s="82" t="s">
        <v>384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>
      <c r="A72" s="81" t="s">
        <v>190</v>
      </c>
      <c r="B72" s="81" t="s">
        <v>331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>
      <c r="A73" s="82" t="s">
        <v>43</v>
      </c>
      <c r="B73" s="82" t="s">
        <v>218</v>
      </c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>
      <c r="A74" s="81" t="s">
        <v>385</v>
      </c>
      <c r="B74" s="81" t="s">
        <v>386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>
      <c r="A75" s="82" t="s">
        <v>95</v>
      </c>
      <c r="B75" s="82" t="s">
        <v>261</v>
      </c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>
      <c r="A76" s="81" t="s">
        <v>387</v>
      </c>
      <c r="B76" s="81" t="s">
        <v>388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>
      <c r="A77" s="82" t="s">
        <v>129</v>
      </c>
      <c r="B77" s="82" t="s">
        <v>283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>
      <c r="A78" s="81" t="s">
        <v>389</v>
      </c>
      <c r="B78" s="81" t="s">
        <v>390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>
      <c r="A79" s="82" t="s">
        <v>391</v>
      </c>
      <c r="B79" s="82" t="s">
        <v>392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>
      <c r="A80" s="81" t="s">
        <v>393</v>
      </c>
      <c r="B80" s="83" t="s">
        <v>394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>
      <c r="A81" s="82" t="s">
        <v>395</v>
      </c>
      <c r="B81" s="82" t="s">
        <v>396</v>
      </c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>
      <c r="A82" s="81" t="s">
        <v>91</v>
      </c>
      <c r="B82" s="81" t="s">
        <v>258</v>
      </c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>
      <c r="A83" s="82" t="s">
        <v>63</v>
      </c>
      <c r="B83" s="82" t="s">
        <v>234</v>
      </c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>
      <c r="A84" s="81" t="s">
        <v>172</v>
      </c>
      <c r="B84" s="81" t="s">
        <v>316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>
      <c r="A85" s="82" t="s">
        <v>159</v>
      </c>
      <c r="B85" s="82" t="s">
        <v>290</v>
      </c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>
      <c r="A86" s="81" t="s">
        <v>57</v>
      </c>
      <c r="B86" s="81" t="s">
        <v>228</v>
      </c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>
      <c r="A87" s="82" t="s">
        <v>182</v>
      </c>
      <c r="B87" s="82" t="s">
        <v>326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>
      <c r="A88" s="81" t="s">
        <v>397</v>
      </c>
      <c r="B88" s="81" t="s">
        <v>398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>
      <c r="A89" s="82" t="s">
        <v>399</v>
      </c>
      <c r="B89" s="82" t="s">
        <v>400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>
      <c r="A90" s="81" t="s">
        <v>155</v>
      </c>
      <c r="B90" s="81" t="s">
        <v>302</v>
      </c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>
      <c r="A91" s="82" t="s">
        <v>401</v>
      </c>
      <c r="B91" s="82" t="s">
        <v>402</v>
      </c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>
      <c r="A92" s="81" t="s">
        <v>139</v>
      </c>
      <c r="B92" s="81" t="s">
        <v>291</v>
      </c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>
      <c r="A93" s="82" t="s">
        <v>99</v>
      </c>
      <c r="B93" s="82" t="s">
        <v>265</v>
      </c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>
      <c r="A94" s="81" t="s">
        <v>403</v>
      </c>
      <c r="B94" s="81" t="s">
        <v>404</v>
      </c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>
      <c r="A95" s="82" t="s">
        <v>147</v>
      </c>
      <c r="B95" s="82" t="s">
        <v>296</v>
      </c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>
      <c r="A96" s="81" t="s">
        <v>109</v>
      </c>
      <c r="B96" s="81" t="s">
        <v>271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>
      <c r="A97" s="82" t="s">
        <v>59</v>
      </c>
      <c r="B97" s="82" t="s">
        <v>230</v>
      </c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>
      <c r="A98" s="81" t="s">
        <v>405</v>
      </c>
      <c r="B98" s="81" t="s">
        <v>406</v>
      </c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>
      <c r="A99" s="82" t="s">
        <v>165</v>
      </c>
      <c r="B99" s="82" t="s">
        <v>309</v>
      </c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>
      <c r="A100" s="81" t="s">
        <v>407</v>
      </c>
      <c r="B100" s="81" t="s">
        <v>408</v>
      </c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>
      <c r="A101" s="82" t="s">
        <v>409</v>
      </c>
      <c r="B101" s="82" t="s">
        <v>410</v>
      </c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>
      <c r="A102" s="81" t="s">
        <v>45</v>
      </c>
      <c r="B102" s="81" t="s">
        <v>220</v>
      </c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>
      <c r="A103" s="82" t="s">
        <v>411</v>
      </c>
      <c r="B103" s="82" t="s">
        <v>412</v>
      </c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>
      <c r="A104" s="81" t="s">
        <v>413</v>
      </c>
      <c r="B104" s="81" t="s">
        <v>212</v>
      </c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>
      <c r="A105" s="82" t="s">
        <v>157</v>
      </c>
      <c r="B105" s="82" t="s">
        <v>304</v>
      </c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>
      <c r="A106" s="81" t="s">
        <v>414</v>
      </c>
      <c r="B106" s="81" t="s">
        <v>415</v>
      </c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>
      <c r="A107" s="82" t="s">
        <v>416</v>
      </c>
      <c r="B107" s="82" t="s">
        <v>417</v>
      </c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>
      <c r="A108" s="81" t="s">
        <v>111</v>
      </c>
      <c r="B108" s="81" t="s">
        <v>273</v>
      </c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>
      <c r="A109" s="82" t="s">
        <v>131</v>
      </c>
      <c r="B109" s="82" t="s">
        <v>285</v>
      </c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>
      <c r="A110" s="81" t="s">
        <v>418</v>
      </c>
      <c r="B110" s="81" t="s">
        <v>419</v>
      </c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>
      <c r="A111" s="82" t="s">
        <v>168</v>
      </c>
      <c r="B111" s="82" t="s">
        <v>313</v>
      </c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>
      <c r="A112" s="81" t="s">
        <v>143</v>
      </c>
      <c r="B112" s="81" t="s">
        <v>294</v>
      </c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>
      <c r="A113" s="82" t="s">
        <v>420</v>
      </c>
      <c r="B113" s="82" t="s">
        <v>421</v>
      </c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>
      <c r="A114" s="81" t="s">
        <v>422</v>
      </c>
      <c r="B114" s="81" t="s">
        <v>423</v>
      </c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>
      <c r="A115" s="82" t="s">
        <v>145</v>
      </c>
      <c r="B115" s="82" t="s">
        <v>145</v>
      </c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>
      <c r="A116" s="81" t="s">
        <v>163</v>
      </c>
      <c r="B116" s="81" t="s">
        <v>308</v>
      </c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>
      <c r="A117" s="82" t="s">
        <v>133</v>
      </c>
      <c r="B117" s="82" t="s">
        <v>287</v>
      </c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>
      <c r="A118" s="81" t="s">
        <v>424</v>
      </c>
      <c r="B118" s="81" t="s">
        <v>425</v>
      </c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>
      <c r="A119" s="82" t="s">
        <v>426</v>
      </c>
      <c r="B119" s="82" t="s">
        <v>427</v>
      </c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>
      <c r="A120" s="81" t="s">
        <v>428</v>
      </c>
      <c r="B120" s="81" t="s">
        <v>429</v>
      </c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>
      <c r="A121" s="82" t="s">
        <v>85</v>
      </c>
      <c r="B121" s="82" t="s">
        <v>252</v>
      </c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>
      <c r="A122" s="81" t="s">
        <v>430</v>
      </c>
      <c r="B122" s="81" t="s">
        <v>431</v>
      </c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>
      <c r="A123" s="82" t="s">
        <v>432</v>
      </c>
      <c r="B123" s="82" t="s">
        <v>433</v>
      </c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>
      <c r="A124" s="81" t="s">
        <v>434</v>
      </c>
      <c r="B124" s="81" t="s">
        <v>435</v>
      </c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>
      <c r="A125" s="82" t="s">
        <v>436</v>
      </c>
      <c r="B125" s="82" t="s">
        <v>437</v>
      </c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>
      <c r="A126" s="81" t="s">
        <v>438</v>
      </c>
      <c r="B126" s="81" t="s">
        <v>439</v>
      </c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>
      <c r="A127" s="82" t="s">
        <v>440</v>
      </c>
      <c r="B127" s="82" t="s">
        <v>441</v>
      </c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>
      <c r="A128" s="81" t="s">
        <v>442</v>
      </c>
      <c r="B128" s="81" t="s">
        <v>443</v>
      </c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>
      <c r="A129" s="82" t="s">
        <v>444</v>
      </c>
      <c r="B129" s="82" t="s">
        <v>445</v>
      </c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>
      <c r="A130" s="81" t="s">
        <v>151</v>
      </c>
      <c r="B130" s="81" t="s">
        <v>299</v>
      </c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>
      <c r="A131" s="82" t="s">
        <v>153</v>
      </c>
      <c r="B131" s="82" t="s">
        <v>301</v>
      </c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>
      <c r="A132" s="81" t="s">
        <v>446</v>
      </c>
      <c r="B132" s="81" t="s">
        <v>447</v>
      </c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>
      <c r="A133" s="82" t="s">
        <v>448</v>
      </c>
      <c r="B133" s="82" t="s">
        <v>449</v>
      </c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>
      <c r="A134" s="81" t="s">
        <v>450</v>
      </c>
      <c r="B134" s="81" t="s">
        <v>451</v>
      </c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>
      <c r="A135" s="82" t="s">
        <v>452</v>
      </c>
      <c r="B135" s="82" t="s">
        <v>453</v>
      </c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>
      <c r="A136" s="81" t="s">
        <v>454</v>
      </c>
      <c r="B136" s="81" t="s">
        <v>455</v>
      </c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>
      <c r="A137" s="82" t="s">
        <v>456</v>
      </c>
      <c r="B137" s="82" t="s">
        <v>457</v>
      </c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>
      <c r="A138" s="81" t="s">
        <v>458</v>
      </c>
      <c r="B138" s="81" t="s">
        <v>459</v>
      </c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>
      <c r="A139" s="82" t="s">
        <v>460</v>
      </c>
      <c r="B139" s="82" t="s">
        <v>461</v>
      </c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>
      <c r="A140" s="81" t="s">
        <v>462</v>
      </c>
      <c r="B140" s="81" t="s">
        <v>463</v>
      </c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>
      <c r="A141" s="82" t="s">
        <v>464</v>
      </c>
      <c r="B141" s="82" t="s">
        <v>465</v>
      </c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>
      <c r="A142" s="81" t="s">
        <v>466</v>
      </c>
      <c r="B142" s="81" t="s">
        <v>467</v>
      </c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>
      <c r="A143" s="82" t="s">
        <v>468</v>
      </c>
      <c r="B143" s="82" t="s">
        <v>469</v>
      </c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>
      <c r="A144" s="81" t="s">
        <v>470</v>
      </c>
      <c r="B144" s="81" t="s">
        <v>471</v>
      </c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>
      <c r="A145" s="82" t="s">
        <v>472</v>
      </c>
      <c r="B145" s="82" t="s">
        <v>472</v>
      </c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>
      <c r="A146" s="81" t="s">
        <v>473</v>
      </c>
      <c r="B146" s="81" t="s">
        <v>474</v>
      </c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>
      <c r="A147" s="82" t="s">
        <v>475</v>
      </c>
      <c r="B147" s="82" t="s">
        <v>476</v>
      </c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>
      <c r="A148" s="81" t="s">
        <v>477</v>
      </c>
      <c r="B148" s="81" t="s">
        <v>478</v>
      </c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>
      <c r="A149" s="82" t="s">
        <v>479</v>
      </c>
      <c r="B149" s="82" t="s">
        <v>226</v>
      </c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>
      <c r="A150" s="81" t="s">
        <v>480</v>
      </c>
      <c r="B150" s="81" t="s">
        <v>481</v>
      </c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>
      <c r="A151" s="82" t="s">
        <v>482</v>
      </c>
      <c r="B151" s="82" t="s">
        <v>483</v>
      </c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>
      <c r="A152" s="81" t="s">
        <v>484</v>
      </c>
      <c r="B152" s="81" t="s">
        <v>485</v>
      </c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>
      <c r="A153" s="82" t="s">
        <v>486</v>
      </c>
      <c r="B153" s="82" t="s">
        <v>487</v>
      </c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>
      <c r="A154" s="81" t="s">
        <v>488</v>
      </c>
      <c r="B154" s="81" t="s">
        <v>489</v>
      </c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>
      <c r="A155" s="82" t="s">
        <v>490</v>
      </c>
      <c r="B155" s="82" t="s">
        <v>491</v>
      </c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>
      <c r="A156" s="81" t="s">
        <v>492</v>
      </c>
      <c r="B156" s="81" t="s">
        <v>493</v>
      </c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>
      <c r="A157" s="82" t="s">
        <v>494</v>
      </c>
      <c r="B157" s="82" t="s">
        <v>495</v>
      </c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>
      <c r="A158" s="81" t="s">
        <v>496</v>
      </c>
      <c r="B158" s="81" t="s">
        <v>497</v>
      </c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>
      <c r="A159" s="82" t="s">
        <v>498</v>
      </c>
      <c r="B159" s="82" t="s">
        <v>499</v>
      </c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>
      <c r="A160" s="81" t="s">
        <v>500</v>
      </c>
      <c r="B160" s="81" t="s">
        <v>501</v>
      </c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>
      <c r="A161" s="82" t="s">
        <v>502</v>
      </c>
      <c r="B161" s="82" t="s">
        <v>503</v>
      </c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>
      <c r="A162" s="81" t="s">
        <v>504</v>
      </c>
      <c r="B162" s="81" t="s">
        <v>505</v>
      </c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>
      <c r="A163" s="82" t="s">
        <v>506</v>
      </c>
      <c r="B163" s="82" t="s">
        <v>507</v>
      </c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>
      <c r="A164" s="81" t="s">
        <v>508</v>
      </c>
      <c r="B164" s="81" t="s">
        <v>509</v>
      </c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>
      <c r="A165" s="82" t="s">
        <v>510</v>
      </c>
      <c r="B165" s="82" t="s">
        <v>511</v>
      </c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>
      <c r="A166" s="81" t="s">
        <v>512</v>
      </c>
      <c r="B166" s="81" t="s">
        <v>513</v>
      </c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>
      <c r="A167" s="82" t="s">
        <v>514</v>
      </c>
      <c r="B167" s="82" t="s">
        <v>515</v>
      </c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>
      <c r="A168" s="81" t="s">
        <v>516</v>
      </c>
      <c r="B168" s="81" t="s">
        <v>517</v>
      </c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>
      <c r="A169" s="82" t="s">
        <v>518</v>
      </c>
      <c r="B169" s="82" t="s">
        <v>519</v>
      </c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>
      <c r="A170" s="81" t="s">
        <v>520</v>
      </c>
      <c r="B170" s="81" t="s">
        <v>521</v>
      </c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>
      <c r="A171" s="82" t="s">
        <v>522</v>
      </c>
      <c r="B171" s="82" t="s">
        <v>523</v>
      </c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>
      <c r="A172" s="81" t="s">
        <v>524</v>
      </c>
      <c r="B172" s="81" t="s">
        <v>289</v>
      </c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>
      <c r="A173" s="82" t="s">
        <v>137</v>
      </c>
      <c r="B173" s="82" t="s">
        <v>290</v>
      </c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>
      <c r="A174" s="81" t="s">
        <v>525</v>
      </c>
      <c r="B174" s="81" t="s">
        <v>526</v>
      </c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>
      <c r="A175" s="82" t="s">
        <v>527</v>
      </c>
      <c r="B175" s="82" t="s">
        <v>528</v>
      </c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>
      <c r="A176" s="81" t="s">
        <v>529</v>
      </c>
      <c r="B176" s="81" t="s">
        <v>530</v>
      </c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>
      <c r="A177" s="82" t="s">
        <v>531</v>
      </c>
      <c r="B177" s="82" t="s">
        <v>532</v>
      </c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>
      <c r="A178" s="81" t="s">
        <v>533</v>
      </c>
      <c r="B178" s="81" t="s">
        <v>534</v>
      </c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>
      <c r="A179" s="82" t="s">
        <v>535</v>
      </c>
      <c r="B179" s="82" t="s">
        <v>536</v>
      </c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>
      <c r="A180" s="81" t="s">
        <v>537</v>
      </c>
      <c r="B180" s="81" t="s">
        <v>419</v>
      </c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>
      <c r="A181" s="82" t="s">
        <v>538</v>
      </c>
      <c r="B181" s="82" t="s">
        <v>539</v>
      </c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>
      <c r="A182" s="81" t="s">
        <v>540</v>
      </c>
      <c r="B182" s="81" t="s">
        <v>541</v>
      </c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>
      <c r="A183" s="82" t="s">
        <v>542</v>
      </c>
      <c r="B183" s="82" t="s">
        <v>543</v>
      </c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>
      <c r="A184" s="81" t="s">
        <v>544</v>
      </c>
      <c r="B184" s="81" t="s">
        <v>545</v>
      </c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>
      <c r="A185" s="82" t="s">
        <v>546</v>
      </c>
      <c r="B185" s="82" t="s">
        <v>547</v>
      </c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>
      <c r="A186" s="81" t="s">
        <v>548</v>
      </c>
      <c r="B186" s="81" t="s">
        <v>549</v>
      </c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>
      <c r="A187" s="82" t="s">
        <v>550</v>
      </c>
      <c r="B187" s="82" t="s">
        <v>551</v>
      </c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>
      <c r="A188" s="81" t="s">
        <v>552</v>
      </c>
      <c r="B188" s="81" t="s">
        <v>553</v>
      </c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>
      <c r="A189" s="82" t="s">
        <v>554</v>
      </c>
      <c r="B189" s="82" t="s">
        <v>555</v>
      </c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>
      <c r="A190" s="81" t="s">
        <v>556</v>
      </c>
      <c r="B190" s="81" t="s">
        <v>557</v>
      </c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>
      <c r="A191" s="82" t="s">
        <v>558</v>
      </c>
      <c r="B191" s="82" t="s">
        <v>437</v>
      </c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>
      <c r="A192" s="81" t="s">
        <v>559</v>
      </c>
      <c r="B192" s="81" t="s">
        <v>469</v>
      </c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>
      <c r="A193" s="82" t="s">
        <v>560</v>
      </c>
      <c r="B193" s="82" t="s">
        <v>561</v>
      </c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>
      <c r="A194" s="81" t="s">
        <v>562</v>
      </c>
      <c r="B194" s="81" t="s">
        <v>563</v>
      </c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>
      <c r="A195" s="82" t="s">
        <v>564</v>
      </c>
      <c r="B195" s="82" t="s">
        <v>565</v>
      </c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>
      <c r="A196" s="81" t="s">
        <v>566</v>
      </c>
      <c r="B196" s="81" t="s">
        <v>567</v>
      </c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>
      <c r="A197" s="82" t="s">
        <v>568</v>
      </c>
      <c r="B197" s="82" t="s">
        <v>569</v>
      </c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>
      <c r="A198" s="81" t="s">
        <v>570</v>
      </c>
      <c r="B198" s="81" t="s">
        <v>571</v>
      </c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>
      <c r="A199" s="82" t="s">
        <v>572</v>
      </c>
      <c r="B199" s="82" t="s">
        <v>573</v>
      </c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>
      <c r="A200" s="81" t="s">
        <v>574</v>
      </c>
      <c r="B200" s="81" t="s">
        <v>575</v>
      </c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>
      <c r="A201" s="82" t="s">
        <v>576</v>
      </c>
      <c r="B201" s="82" t="s">
        <v>577</v>
      </c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>
      <c r="A202" s="81" t="s">
        <v>578</v>
      </c>
      <c r="B202" s="81" t="s">
        <v>579</v>
      </c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>
      <c r="A203" s="82" t="s">
        <v>580</v>
      </c>
      <c r="B203" s="82" t="s">
        <v>581</v>
      </c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>
      <c r="A204" s="81" t="s">
        <v>582</v>
      </c>
      <c r="B204" s="81" t="s">
        <v>583</v>
      </c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>
      <c r="A205" s="82" t="s">
        <v>584</v>
      </c>
      <c r="B205" s="82" t="s">
        <v>585</v>
      </c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>
      <c r="A206" s="81" t="s">
        <v>586</v>
      </c>
      <c r="B206" s="81" t="s">
        <v>587</v>
      </c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>
      <c r="A207" s="82" t="s">
        <v>588</v>
      </c>
      <c r="B207" s="82" t="s">
        <v>589</v>
      </c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>
      <c r="A208" s="81" t="s">
        <v>590</v>
      </c>
      <c r="B208" s="81" t="s">
        <v>350</v>
      </c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>
      <c r="A209" s="82" t="s">
        <v>591</v>
      </c>
      <c r="B209" s="82" t="s">
        <v>592</v>
      </c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>
      <c r="A210" s="81" t="s">
        <v>593</v>
      </c>
      <c r="B210" s="81" t="s">
        <v>594</v>
      </c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>
      <c r="A211" s="82" t="s">
        <v>595</v>
      </c>
      <c r="B211" s="82" t="s">
        <v>596</v>
      </c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>
      <c r="A212" s="81" t="s">
        <v>597</v>
      </c>
      <c r="B212" s="81" t="s">
        <v>598</v>
      </c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>
      <c r="A213" s="82" t="s">
        <v>599</v>
      </c>
      <c r="B213" s="82" t="s">
        <v>600</v>
      </c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>
      <c r="A214" s="81" t="s">
        <v>601</v>
      </c>
      <c r="B214" s="81" t="s">
        <v>602</v>
      </c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>
      <c r="A215" s="82" t="s">
        <v>603</v>
      </c>
      <c r="B215" s="82" t="s">
        <v>367</v>
      </c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>
      <c r="A216" s="81" t="s">
        <v>604</v>
      </c>
      <c r="B216" s="81" t="s">
        <v>605</v>
      </c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>
      <c r="A217" s="82" t="s">
        <v>606</v>
      </c>
      <c r="B217" s="82" t="s">
        <v>607</v>
      </c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>
      <c r="A218" s="81" t="s">
        <v>608</v>
      </c>
      <c r="B218" s="81" t="s">
        <v>609</v>
      </c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>
      <c r="A219" s="82" t="s">
        <v>610</v>
      </c>
      <c r="B219" s="82" t="s">
        <v>266</v>
      </c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>
      <c r="A220" s="81" t="s">
        <v>611</v>
      </c>
      <c r="B220" s="81" t="s">
        <v>612</v>
      </c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>
      <c r="A221" s="82" t="s">
        <v>613</v>
      </c>
      <c r="B221" s="82" t="s">
        <v>614</v>
      </c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>
      <c r="A222" s="81" t="s">
        <v>613</v>
      </c>
      <c r="B222" s="81" t="s">
        <v>615</v>
      </c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>
      <c r="A223" s="82" t="s">
        <v>616</v>
      </c>
      <c r="B223" s="82" t="s">
        <v>617</v>
      </c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>
      <c r="A224" s="81" t="s">
        <v>618</v>
      </c>
      <c r="B224" s="81" t="s">
        <v>619</v>
      </c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>
      <c r="A225" s="82" t="s">
        <v>620</v>
      </c>
      <c r="B225" s="82" t="s">
        <v>621</v>
      </c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>
      <c r="A226" s="81" t="s">
        <v>622</v>
      </c>
      <c r="B226" s="81" t="s">
        <v>623</v>
      </c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>
      <c r="A227" s="82" t="s">
        <v>624</v>
      </c>
      <c r="B227" s="82" t="s">
        <v>625</v>
      </c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>
      <c r="A228" s="81" t="s">
        <v>626</v>
      </c>
      <c r="B228" s="81" t="s">
        <v>627</v>
      </c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>
      <c r="A229" s="82" t="s">
        <v>628</v>
      </c>
      <c r="B229" s="82" t="s">
        <v>629</v>
      </c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>
      <c r="A230" s="81" t="s">
        <v>630</v>
      </c>
      <c r="B230" s="81" t="s">
        <v>627</v>
      </c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>
      <c r="A231" s="82" t="s">
        <v>631</v>
      </c>
      <c r="B231" s="82" t="s">
        <v>632</v>
      </c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>
      <c r="A232" s="81" t="s">
        <v>633</v>
      </c>
      <c r="B232" s="81" t="s">
        <v>634</v>
      </c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>
      <c r="A233" s="82" t="s">
        <v>635</v>
      </c>
      <c r="B233" s="82" t="s">
        <v>636</v>
      </c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>
      <c r="A234" s="81" t="s">
        <v>637</v>
      </c>
      <c r="B234" s="81" t="s">
        <v>638</v>
      </c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>
      <c r="A235" s="82" t="s">
        <v>639</v>
      </c>
      <c r="B235" s="82" t="s">
        <v>600</v>
      </c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>
      <c r="A236" s="81" t="s">
        <v>640</v>
      </c>
      <c r="B236" s="81" t="s">
        <v>641</v>
      </c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>
      <c r="A237" s="82" t="s">
        <v>642</v>
      </c>
      <c r="B237" s="82" t="s">
        <v>643</v>
      </c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>
      <c r="A238" s="81" t="s">
        <v>644</v>
      </c>
      <c r="B238" s="81" t="s">
        <v>275</v>
      </c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>
      <c r="A239" s="82" t="s">
        <v>645</v>
      </c>
      <c r="B239" s="82" t="s">
        <v>646</v>
      </c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>
      <c r="A240" s="81" t="s">
        <v>647</v>
      </c>
      <c r="B240" s="81" t="s">
        <v>617</v>
      </c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>
      <c r="A241" s="82" t="s">
        <v>648</v>
      </c>
      <c r="B241" s="82" t="s">
        <v>649</v>
      </c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>
      <c r="A242" s="81" t="s">
        <v>650</v>
      </c>
      <c r="B242" s="81" t="s">
        <v>651</v>
      </c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>
      <c r="A243" s="82" t="s">
        <v>652</v>
      </c>
      <c r="B243" s="82" t="s">
        <v>653</v>
      </c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>
      <c r="A244" s="81" t="s">
        <v>654</v>
      </c>
      <c r="B244" s="81" t="s">
        <v>270</v>
      </c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>
      <c r="A245" s="82" t="s">
        <v>655</v>
      </c>
      <c r="B245" s="82" t="s">
        <v>656</v>
      </c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>
      <c r="A246" s="81" t="s">
        <v>657</v>
      </c>
      <c r="B246" s="81" t="s">
        <v>571</v>
      </c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>
      <c r="A247" s="82" t="s">
        <v>658</v>
      </c>
      <c r="B247" s="82" t="s">
        <v>659</v>
      </c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>
      <c r="A248" s="81" t="s">
        <v>660</v>
      </c>
      <c r="B248" s="81" t="s">
        <v>661</v>
      </c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>
      <c r="A249" s="82" t="s">
        <v>662</v>
      </c>
      <c r="B249" s="82" t="s">
        <v>663</v>
      </c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>
      <c r="A250" s="81" t="s">
        <v>664</v>
      </c>
      <c r="B250" s="81" t="s">
        <v>665</v>
      </c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>
      <c r="A251" s="82" t="s">
        <v>666</v>
      </c>
      <c r="B251" s="82" t="s">
        <v>667</v>
      </c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>
      <c r="A252" s="81" t="s">
        <v>668</v>
      </c>
      <c r="B252" s="81" t="s">
        <v>423</v>
      </c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>
      <c r="A253" s="82" t="s">
        <v>669</v>
      </c>
      <c r="B253" s="82" t="s">
        <v>670</v>
      </c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>
      <c r="A254" s="81" t="s">
        <v>671</v>
      </c>
      <c r="B254" s="81" t="s">
        <v>672</v>
      </c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>
      <c r="A255" s="82" t="s">
        <v>673</v>
      </c>
      <c r="B255" s="82" t="s">
        <v>674</v>
      </c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>
      <c r="A256" s="81" t="s">
        <v>675</v>
      </c>
      <c r="B256" s="81" t="s">
        <v>261</v>
      </c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>
      <c r="A257" s="82" t="s">
        <v>676</v>
      </c>
      <c r="B257" s="82" t="s">
        <v>230</v>
      </c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>
      <c r="A258" s="81" t="s">
        <v>677</v>
      </c>
      <c r="B258" s="81" t="s">
        <v>678</v>
      </c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>
      <c r="A259" s="82" t="s">
        <v>679</v>
      </c>
      <c r="B259" s="82" t="s">
        <v>680</v>
      </c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>
      <c r="A260" s="81" t="s">
        <v>681</v>
      </c>
      <c r="B260" s="81" t="s">
        <v>672</v>
      </c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>
      <c r="A261" s="82" t="s">
        <v>682</v>
      </c>
      <c r="B261" s="82" t="s">
        <v>683</v>
      </c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>
      <c r="A262" s="81" t="s">
        <v>684</v>
      </c>
      <c r="B262" s="81" t="s">
        <v>685</v>
      </c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>
      <c r="A263" s="82" t="s">
        <v>686</v>
      </c>
      <c r="B263" s="82" t="s">
        <v>687</v>
      </c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>
      <c r="A264" s="81" t="s">
        <v>688</v>
      </c>
      <c r="B264" s="81" t="s">
        <v>689</v>
      </c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>
      <c r="A265" s="82" t="s">
        <v>690</v>
      </c>
      <c r="B265" s="82" t="s">
        <v>691</v>
      </c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>
      <c r="A266" s="81" t="s">
        <v>692</v>
      </c>
      <c r="B266" s="81" t="s">
        <v>693</v>
      </c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>
      <c r="A267" s="82" t="s">
        <v>694</v>
      </c>
      <c r="B267" s="82" t="s">
        <v>695</v>
      </c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>
      <c r="A268" s="81" t="s">
        <v>696</v>
      </c>
      <c r="B268" s="81" t="s">
        <v>596</v>
      </c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>
      <c r="A269" s="82" t="s">
        <v>697</v>
      </c>
      <c r="B269" s="82" t="s">
        <v>698</v>
      </c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>
      <c r="A270" s="81" t="s">
        <v>699</v>
      </c>
      <c r="B270" s="81" t="s">
        <v>698</v>
      </c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>
      <c r="A271" s="82" t="s">
        <v>700</v>
      </c>
      <c r="B271" s="82" t="s">
        <v>701</v>
      </c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>
      <c r="A272" s="81" t="s">
        <v>702</v>
      </c>
      <c r="B272" s="81" t="s">
        <v>703</v>
      </c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>
      <c r="A273" s="82" t="s">
        <v>704</v>
      </c>
      <c r="B273" s="82" t="s">
        <v>705</v>
      </c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>
      <c r="A274" s="81" t="s">
        <v>706</v>
      </c>
      <c r="B274" s="81" t="s">
        <v>707</v>
      </c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>
      <c r="A275" s="82" t="s">
        <v>708</v>
      </c>
      <c r="B275" s="82" t="s">
        <v>709</v>
      </c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>
      <c r="A276" s="81" t="s">
        <v>710</v>
      </c>
      <c r="B276" s="81" t="s">
        <v>711</v>
      </c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>
      <c r="A277" s="82" t="s">
        <v>712</v>
      </c>
      <c r="B277" s="82" t="s">
        <v>713</v>
      </c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>
      <c r="A278" s="81" t="s">
        <v>714</v>
      </c>
      <c r="B278" s="81" t="s">
        <v>715</v>
      </c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>
      <c r="A279" s="82" t="s">
        <v>716</v>
      </c>
      <c r="B279" s="82" t="s">
        <v>713</v>
      </c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>
      <c r="A280" s="81" t="s">
        <v>717</v>
      </c>
      <c r="B280" s="81" t="s">
        <v>577</v>
      </c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>
      <c r="A281" s="82" t="s">
        <v>718</v>
      </c>
      <c r="B281" s="82" t="s">
        <v>719</v>
      </c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>
      <c r="A282" s="81" t="s">
        <v>720</v>
      </c>
      <c r="B282" s="81" t="s">
        <v>713</v>
      </c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>
      <c r="A283" s="82" t="s">
        <v>721</v>
      </c>
      <c r="B283" s="82" t="s">
        <v>722</v>
      </c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>
      <c r="A284" s="81" t="s">
        <v>723</v>
      </c>
      <c r="B284" s="81" t="s">
        <v>455</v>
      </c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>
      <c r="A285" s="82" t="s">
        <v>724</v>
      </c>
      <c r="B285" s="82" t="s">
        <v>725</v>
      </c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>
      <c r="A286" s="81" t="s">
        <v>726</v>
      </c>
      <c r="B286" s="81" t="s">
        <v>687</v>
      </c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>
      <c r="A287" s="82" t="s">
        <v>727</v>
      </c>
      <c r="B287" s="82" t="s">
        <v>663</v>
      </c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>
      <c r="A288" s="81" t="s">
        <v>728</v>
      </c>
      <c r="B288" s="81" t="s">
        <v>729</v>
      </c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>
      <c r="A289" s="82" t="s">
        <v>730</v>
      </c>
      <c r="B289" s="82" t="s">
        <v>731</v>
      </c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>
      <c r="A290" s="81" t="s">
        <v>732</v>
      </c>
      <c r="B290" s="81" t="s">
        <v>733</v>
      </c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>
      <c r="A291" s="82" t="s">
        <v>734</v>
      </c>
      <c r="B291" s="82" t="s">
        <v>735</v>
      </c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>
      <c r="A292" s="81" t="s">
        <v>736</v>
      </c>
      <c r="B292" s="81" t="s">
        <v>737</v>
      </c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>
      <c r="A293" s="82" t="s">
        <v>738</v>
      </c>
      <c r="B293" s="82" t="s">
        <v>739</v>
      </c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>
      <c r="A294" s="81" t="s">
        <v>740</v>
      </c>
      <c r="B294" s="81" t="s">
        <v>741</v>
      </c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>
      <c r="A295" s="82" t="s">
        <v>742</v>
      </c>
      <c r="B295" s="82" t="s">
        <v>743</v>
      </c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>
      <c r="A296" s="81" t="s">
        <v>744</v>
      </c>
      <c r="B296" s="81" t="s">
        <v>745</v>
      </c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>
      <c r="A297" s="82" t="s">
        <v>746</v>
      </c>
      <c r="B297" s="82" t="s">
        <v>747</v>
      </c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>
      <c r="A298" s="81" t="s">
        <v>748</v>
      </c>
      <c r="B298" s="81" t="s">
        <v>749</v>
      </c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>
      <c r="A299" s="82" t="s">
        <v>750</v>
      </c>
      <c r="B299" s="82" t="s">
        <v>751</v>
      </c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>
      <c r="A300" s="81" t="s">
        <v>752</v>
      </c>
      <c r="B300" s="81" t="s">
        <v>753</v>
      </c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>
      <c r="A301" s="82" t="s">
        <v>754</v>
      </c>
      <c r="B301" s="82" t="s">
        <v>755</v>
      </c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>
      <c r="A302" s="81" t="s">
        <v>756</v>
      </c>
      <c r="B302" s="81" t="s">
        <v>757</v>
      </c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>
      <c r="A303" s="82" t="s">
        <v>758</v>
      </c>
      <c r="B303" s="82" t="s">
        <v>299</v>
      </c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>
      <c r="A304" s="81" t="s">
        <v>759</v>
      </c>
      <c r="B304" s="81" t="s">
        <v>760</v>
      </c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>
      <c r="A305" s="82" t="s">
        <v>761</v>
      </c>
      <c r="B305" s="82" t="s">
        <v>762</v>
      </c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>
      <c r="A306" s="81" t="s">
        <v>763</v>
      </c>
      <c r="B306" s="81" t="s">
        <v>764</v>
      </c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>
      <c r="A307" s="82" t="s">
        <v>765</v>
      </c>
      <c r="B307" s="82" t="s">
        <v>766</v>
      </c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>
      <c r="A308" s="81" t="s">
        <v>767</v>
      </c>
      <c r="B308" s="81" t="s">
        <v>768</v>
      </c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>
      <c r="A309" s="82" t="s">
        <v>769</v>
      </c>
      <c r="B309" s="82" t="s">
        <v>485</v>
      </c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>
      <c r="A310" s="81" t="s">
        <v>770</v>
      </c>
      <c r="B310" s="81" t="s">
        <v>771</v>
      </c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>
      <c r="A311" s="82" t="s">
        <v>772</v>
      </c>
      <c r="B311" s="82" t="s">
        <v>729</v>
      </c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>
      <c r="A312" s="81" t="s">
        <v>773</v>
      </c>
      <c r="B312" s="81" t="s">
        <v>774</v>
      </c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>
      <c r="A313" s="82" t="s">
        <v>775</v>
      </c>
      <c r="B313" s="82" t="s">
        <v>735</v>
      </c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>
      <c r="A314" s="81" t="s">
        <v>776</v>
      </c>
      <c r="B314" s="81" t="s">
        <v>678</v>
      </c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>
      <c r="A315" s="82" t="s">
        <v>777</v>
      </c>
      <c r="B315" s="82" t="s">
        <v>778</v>
      </c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>
      <c r="A316" s="81" t="s">
        <v>779</v>
      </c>
      <c r="B316" s="81" t="s">
        <v>780</v>
      </c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>
      <c r="A317" s="82" t="s">
        <v>781</v>
      </c>
      <c r="B317" s="82" t="s">
        <v>782</v>
      </c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>
      <c r="A318" s="81" t="s">
        <v>783</v>
      </c>
      <c r="B318" s="81" t="s">
        <v>784</v>
      </c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>
      <c r="A319" s="82" t="s">
        <v>785</v>
      </c>
      <c r="B319" s="82" t="s">
        <v>786</v>
      </c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>
      <c r="A320" s="81" t="s">
        <v>787</v>
      </c>
      <c r="B320" s="81" t="s">
        <v>788</v>
      </c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>
      <c r="A321" s="82" t="s">
        <v>789</v>
      </c>
      <c r="B321" s="82" t="s">
        <v>722</v>
      </c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>
      <c r="A322" s="81" t="s">
        <v>790</v>
      </c>
      <c r="B322" s="81" t="s">
        <v>791</v>
      </c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>
      <c r="A323" s="82" t="s">
        <v>792</v>
      </c>
      <c r="B323" s="82" t="s">
        <v>793</v>
      </c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>
      <c r="A324" s="81" t="s">
        <v>794</v>
      </c>
      <c r="B324" s="81" t="s">
        <v>795</v>
      </c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>
      <c r="A325" s="82" t="s">
        <v>796</v>
      </c>
      <c r="B325" s="82" t="s">
        <v>797</v>
      </c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>
      <c r="A326" s="81" t="s">
        <v>798</v>
      </c>
      <c r="B326" s="81" t="s">
        <v>743</v>
      </c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>
      <c r="A327" s="82" t="s">
        <v>799</v>
      </c>
      <c r="B327" s="82" t="s">
        <v>501</v>
      </c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>
      <c r="A328" s="81" t="s">
        <v>800</v>
      </c>
      <c r="B328" s="81" t="s">
        <v>801</v>
      </c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>
      <c r="A329" s="82" t="s">
        <v>802</v>
      </c>
      <c r="B329" s="82" t="s">
        <v>703</v>
      </c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>
      <c r="A330" s="81" t="s">
        <v>803</v>
      </c>
      <c r="B330" s="81" t="s">
        <v>804</v>
      </c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>
      <c r="A331" s="82" t="s">
        <v>805</v>
      </c>
      <c r="B331" s="82" t="s">
        <v>806</v>
      </c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>
      <c r="A332" s="81" t="s">
        <v>807</v>
      </c>
      <c r="B332" s="81" t="s">
        <v>808</v>
      </c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>
      <c r="A333" s="82" t="s">
        <v>809</v>
      </c>
      <c r="B333" s="82" t="s">
        <v>810</v>
      </c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>
      <c r="A334" s="81" t="s">
        <v>811</v>
      </c>
      <c r="B334" s="81" t="s">
        <v>812</v>
      </c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>
      <c r="A335" s="82" t="s">
        <v>813</v>
      </c>
      <c r="B335" s="82" t="s">
        <v>705</v>
      </c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>
      <c r="A336" s="81" t="s">
        <v>814</v>
      </c>
      <c r="B336" s="81" t="s">
        <v>815</v>
      </c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>
      <c r="A337" s="82" t="s">
        <v>816</v>
      </c>
      <c r="B337" s="82" t="s">
        <v>731</v>
      </c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>
      <c r="A338" s="81" t="s">
        <v>817</v>
      </c>
      <c r="B338" s="81" t="s">
        <v>818</v>
      </c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>
      <c r="A339" s="82" t="s">
        <v>819</v>
      </c>
      <c r="B339" s="82" t="s">
        <v>820</v>
      </c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>
      <c r="A340" s="81" t="s">
        <v>821</v>
      </c>
      <c r="B340" s="81" t="s">
        <v>822</v>
      </c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>
      <c r="A341" s="82" t="s">
        <v>823</v>
      </c>
      <c r="B341" s="82" t="s">
        <v>791</v>
      </c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>
      <c r="A342" s="81" t="s">
        <v>824</v>
      </c>
      <c r="B342" s="81" t="s">
        <v>659</v>
      </c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>
      <c r="A343" s="82" t="s">
        <v>825</v>
      </c>
      <c r="B343" s="82" t="s">
        <v>762</v>
      </c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>
      <c r="A344" s="81" t="s">
        <v>826</v>
      </c>
      <c r="B344" s="81" t="s">
        <v>818</v>
      </c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>
      <c r="A345" s="82" t="s">
        <v>827</v>
      </c>
      <c r="B345" s="82" t="s">
        <v>828</v>
      </c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>
      <c r="A346" s="81" t="s">
        <v>829</v>
      </c>
      <c r="B346" s="81" t="s">
        <v>830</v>
      </c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>
      <c r="A347" s="82" t="s">
        <v>831</v>
      </c>
      <c r="B347" s="82" t="s">
        <v>832</v>
      </c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>
      <c r="A348" s="81" t="s">
        <v>833</v>
      </c>
      <c r="B348" s="81" t="s">
        <v>707</v>
      </c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>
      <c r="A349" s="82" t="s">
        <v>834</v>
      </c>
      <c r="B349" s="82" t="s">
        <v>778</v>
      </c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>
      <c r="A350" s="81" t="s">
        <v>835</v>
      </c>
      <c r="B350" s="81" t="s">
        <v>812</v>
      </c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>
      <c r="A351" s="82" t="s">
        <v>836</v>
      </c>
      <c r="B351" s="82" t="s">
        <v>837</v>
      </c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>
      <c r="A352" s="81" t="s">
        <v>838</v>
      </c>
      <c r="B352" s="81" t="s">
        <v>839</v>
      </c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>
      <c r="A353" s="82" t="s">
        <v>840</v>
      </c>
      <c r="B353" s="82" t="s">
        <v>278</v>
      </c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>
      <c r="A354" s="81" t="s">
        <v>841</v>
      </c>
      <c r="B354" s="81" t="s">
        <v>804</v>
      </c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>
      <c r="A355" s="82" t="s">
        <v>842</v>
      </c>
      <c r="B355" s="82" t="s">
        <v>636</v>
      </c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>
      <c r="A356" s="81" t="s">
        <v>843</v>
      </c>
      <c r="B356" s="81" t="s">
        <v>609</v>
      </c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>
      <c r="A357" s="82" t="s">
        <v>844</v>
      </c>
      <c r="B357" s="82" t="s">
        <v>313</v>
      </c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>
      <c r="A358" s="81" t="s">
        <v>845</v>
      </c>
      <c r="B358" s="81" t="s">
        <v>846</v>
      </c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>
      <c r="A359" s="82" t="s">
        <v>847</v>
      </c>
      <c r="B359" s="82" t="s">
        <v>848</v>
      </c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>
      <c r="A360" s="81" t="s">
        <v>849</v>
      </c>
      <c r="B360" s="81" t="s">
        <v>850</v>
      </c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>
      <c r="A361" s="82" t="s">
        <v>851</v>
      </c>
      <c r="B361" s="82" t="s">
        <v>852</v>
      </c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>
      <c r="A362" s="81" t="s">
        <v>853</v>
      </c>
      <c r="B362" s="81" t="s">
        <v>797</v>
      </c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>
      <c r="A363" s="82" t="s">
        <v>854</v>
      </c>
      <c r="B363" s="82" t="s">
        <v>764</v>
      </c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>
      <c r="A364" s="81" t="s">
        <v>855</v>
      </c>
      <c r="B364" s="81" t="s">
        <v>747</v>
      </c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>
      <c r="A365" s="82" t="s">
        <v>856</v>
      </c>
      <c r="B365" s="82" t="s">
        <v>857</v>
      </c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>
      <c r="A366" s="81" t="s">
        <v>858</v>
      </c>
      <c r="B366" s="81" t="s">
        <v>832</v>
      </c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>
      <c r="A367" s="82" t="s">
        <v>859</v>
      </c>
      <c r="B367" s="82" t="s">
        <v>860</v>
      </c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>
      <c r="A368" s="81" t="s">
        <v>861</v>
      </c>
      <c r="B368" s="81" t="s">
        <v>862</v>
      </c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>
      <c r="A369" s="82" t="s">
        <v>863</v>
      </c>
      <c r="B369" s="82" t="s">
        <v>864</v>
      </c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>
      <c r="A370" s="81" t="s">
        <v>865</v>
      </c>
      <c r="B370" s="81" t="s">
        <v>866</v>
      </c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>
      <c r="A371" s="82" t="s">
        <v>867</v>
      </c>
      <c r="B371" s="82" t="s">
        <v>860</v>
      </c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>
      <c r="A372" s="81" t="s">
        <v>868</v>
      </c>
      <c r="B372" s="81" t="s">
        <v>869</v>
      </c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>
      <c r="A373" s="82" t="s">
        <v>870</v>
      </c>
      <c r="B373" s="82" t="s">
        <v>768</v>
      </c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>
      <c r="A374" s="81" t="s">
        <v>871</v>
      </c>
      <c r="B374" s="81" t="s">
        <v>872</v>
      </c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>
      <c r="A375" s="82" t="s">
        <v>873</v>
      </c>
      <c r="B375" s="82" t="s">
        <v>874</v>
      </c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>
      <c r="A376" s="81" t="s">
        <v>875</v>
      </c>
      <c r="B376" s="81" t="s">
        <v>876</v>
      </c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>
      <c r="A377" s="82" t="s">
        <v>877</v>
      </c>
      <c r="B377" s="82" t="s">
        <v>874</v>
      </c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>
      <c r="A378" s="81" t="s">
        <v>878</v>
      </c>
      <c r="B378" s="81" t="s">
        <v>879</v>
      </c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>
      <c r="A379" s="82" t="s">
        <v>880</v>
      </c>
      <c r="B379" s="82" t="s">
        <v>596</v>
      </c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>
      <c r="A380" s="81" t="s">
        <v>881</v>
      </c>
      <c r="B380" s="81" t="s">
        <v>771</v>
      </c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>
      <c r="A381" s="82" t="s">
        <v>882</v>
      </c>
      <c r="B381" s="82" t="s">
        <v>883</v>
      </c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>
      <c r="A382" s="81" t="s">
        <v>884</v>
      </c>
      <c r="B382" s="81" t="s">
        <v>885</v>
      </c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>
      <c r="A383" s="82" t="s">
        <v>886</v>
      </c>
      <c r="B383" s="82" t="s">
        <v>832</v>
      </c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>
      <c r="A384" s="81" t="s">
        <v>887</v>
      </c>
      <c r="B384" s="81" t="s">
        <v>615</v>
      </c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>
      <c r="A385" s="82" t="s">
        <v>887</v>
      </c>
      <c r="B385" s="82" t="s">
        <v>614</v>
      </c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>
      <c r="A386" s="81" t="s">
        <v>888</v>
      </c>
      <c r="B386" s="81" t="s">
        <v>889</v>
      </c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>
      <c r="A387" s="82" t="s">
        <v>890</v>
      </c>
      <c r="B387" s="82" t="s">
        <v>839</v>
      </c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>
      <c r="A388" s="81" t="s">
        <v>891</v>
      </c>
      <c r="B388" s="81" t="s">
        <v>747</v>
      </c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>
      <c r="A389" s="82" t="s">
        <v>892</v>
      </c>
      <c r="B389" s="82" t="s">
        <v>893</v>
      </c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>
      <c r="A390" s="81" t="s">
        <v>894</v>
      </c>
      <c r="B390" s="81" t="s">
        <v>895</v>
      </c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>
      <c r="A391" s="82" t="s">
        <v>896</v>
      </c>
      <c r="B391" s="82" t="s">
        <v>745</v>
      </c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>
      <c r="A392" s="81" t="s">
        <v>897</v>
      </c>
      <c r="B392" s="81" t="s">
        <v>866</v>
      </c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>
      <c r="A393" s="82" t="s">
        <v>898</v>
      </c>
      <c r="B393" s="82" t="s">
        <v>745</v>
      </c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>
      <c r="A394" s="81" t="s">
        <v>899</v>
      </c>
      <c r="B394" s="81" t="s">
        <v>900</v>
      </c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>
      <c r="A395" s="82" t="s">
        <v>901</v>
      </c>
      <c r="B395" s="82" t="s">
        <v>828</v>
      </c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>
      <c r="A396" s="81" t="s">
        <v>902</v>
      </c>
      <c r="B396" s="81" t="s">
        <v>903</v>
      </c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>
      <c r="A397" s="82" t="s">
        <v>904</v>
      </c>
      <c r="B397" s="82" t="s">
        <v>905</v>
      </c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>
      <c r="A398" s="81" t="s">
        <v>906</v>
      </c>
      <c r="B398" s="81" t="s">
        <v>866</v>
      </c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>
      <c r="A399" s="82" t="s">
        <v>907</v>
      </c>
      <c r="B399" s="82" t="s">
        <v>895</v>
      </c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>
      <c r="A400" s="81" t="s">
        <v>908</v>
      </c>
      <c r="B400" s="81" t="s">
        <v>745</v>
      </c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>
      <c r="A401" s="82" t="s">
        <v>909</v>
      </c>
      <c r="B401" s="82" t="s">
        <v>876</v>
      </c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>
      <c r="A402" s="81" t="s">
        <v>910</v>
      </c>
      <c r="B402" s="81" t="s">
        <v>911</v>
      </c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>
      <c r="A403" s="82" t="s">
        <v>912</v>
      </c>
      <c r="B403" s="82" t="s">
        <v>801</v>
      </c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>
      <c r="A404" s="81" t="s">
        <v>913</v>
      </c>
      <c r="B404" s="81" t="s">
        <v>889</v>
      </c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>
      <c r="A405" s="82" t="s">
        <v>914</v>
      </c>
      <c r="B405" s="82" t="s">
        <v>915</v>
      </c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>
      <c r="A406" s="81" t="s">
        <v>916</v>
      </c>
      <c r="B406" s="81" t="s">
        <v>917</v>
      </c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>
      <c r="A407" s="82" t="s">
        <v>918</v>
      </c>
      <c r="B407" s="82" t="s">
        <v>290</v>
      </c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>
      <c r="A408" s="81" t="s">
        <v>919</v>
      </c>
      <c r="B408" s="81" t="s">
        <v>832</v>
      </c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>
      <c r="A409" s="82" t="s">
        <v>920</v>
      </c>
      <c r="B409" s="82" t="s">
        <v>915</v>
      </c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>
      <c r="A410" s="81" t="s">
        <v>921</v>
      </c>
      <c r="B410" s="81" t="s">
        <v>915</v>
      </c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>
      <c r="A411" s="82" t="s">
        <v>922</v>
      </c>
      <c r="B411" s="82" t="s">
        <v>230</v>
      </c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>
      <c r="A412" s="81" t="s">
        <v>923</v>
      </c>
      <c r="B412" s="81" t="s">
        <v>212</v>
      </c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>
      <c r="A413" s="82" t="s">
        <v>924</v>
      </c>
      <c r="B413" s="82" t="s">
        <v>925</v>
      </c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>
      <c r="A414" s="81" t="s">
        <v>926</v>
      </c>
      <c r="B414" s="81" t="s">
        <v>927</v>
      </c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>
      <c r="A415" s="82" t="s">
        <v>928</v>
      </c>
      <c r="B415" s="82" t="s">
        <v>795</v>
      </c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>
      <c r="A416" s="81" t="s">
        <v>929</v>
      </c>
      <c r="B416" s="81" t="s">
        <v>757</v>
      </c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>
      <c r="A417" s="82" t="s">
        <v>930</v>
      </c>
      <c r="B417" s="82" t="s">
        <v>808</v>
      </c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>
      <c r="A418" s="81" t="s">
        <v>931</v>
      </c>
      <c r="B418" s="81" t="s">
        <v>927</v>
      </c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>
      <c r="A419" s="82" t="s">
        <v>932</v>
      </c>
      <c r="B419" s="82" t="s">
        <v>933</v>
      </c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>
      <c r="A420" s="81" t="s">
        <v>934</v>
      </c>
      <c r="B420" s="81" t="s">
        <v>455</v>
      </c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>
      <c r="A421" s="82" t="s">
        <v>935</v>
      </c>
      <c r="B421" s="82" t="s">
        <v>917</v>
      </c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>
      <c r="A422" s="81" t="s">
        <v>936</v>
      </c>
      <c r="B422" s="81" t="s">
        <v>832</v>
      </c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>
      <c r="A423" s="82" t="s">
        <v>937</v>
      </c>
      <c r="B423" s="82" t="s">
        <v>938</v>
      </c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>
      <c r="A424" s="81" t="s">
        <v>939</v>
      </c>
      <c r="B424" s="81" t="s">
        <v>940</v>
      </c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>
      <c r="A425" s="82" t="s">
        <v>941</v>
      </c>
      <c r="B425" s="82" t="s">
        <v>940</v>
      </c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>
      <c r="A426" s="81" t="s">
        <v>942</v>
      </c>
      <c r="B426" s="81" t="s">
        <v>893</v>
      </c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>
      <c r="A427" s="82" t="s">
        <v>943</v>
      </c>
      <c r="B427" s="82" t="s">
        <v>731</v>
      </c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>
      <c r="A428" s="81" t="s">
        <v>944</v>
      </c>
      <c r="B428" s="81" t="s">
        <v>945</v>
      </c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>
      <c r="A429" s="82" t="s">
        <v>946</v>
      </c>
      <c r="B429" s="82" t="s">
        <v>947</v>
      </c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>
      <c r="A430" s="81" t="s">
        <v>948</v>
      </c>
      <c r="B430" s="81" t="s">
        <v>832</v>
      </c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>
      <c r="A431" s="82" t="s">
        <v>949</v>
      </c>
      <c r="B431" s="82" t="s">
        <v>950</v>
      </c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>
      <c r="A432" s="81" t="s">
        <v>951</v>
      </c>
      <c r="B432" s="81" t="s">
        <v>952</v>
      </c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>
      <c r="A433" s="82" t="s">
        <v>953</v>
      </c>
      <c r="B433" s="82" t="s">
        <v>832</v>
      </c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>
      <c r="A434" s="81" t="s">
        <v>954</v>
      </c>
      <c r="B434" s="81" t="s">
        <v>955</v>
      </c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>
      <c r="A435" s="82" t="s">
        <v>956</v>
      </c>
      <c r="B435" s="82" t="s">
        <v>957</v>
      </c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>
      <c r="A436" s="81" t="s">
        <v>958</v>
      </c>
      <c r="B436" s="81" t="s">
        <v>782</v>
      </c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>
      <c r="A437" s="82" t="s">
        <v>959</v>
      </c>
      <c r="B437" s="82" t="s">
        <v>960</v>
      </c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>
      <c r="A438" s="81" t="s">
        <v>961</v>
      </c>
      <c r="B438" s="81" t="s">
        <v>960</v>
      </c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>
      <c r="A439" s="82" t="s">
        <v>962</v>
      </c>
      <c r="B439" s="82" t="s">
        <v>893</v>
      </c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>
      <c r="A440" s="81" t="s">
        <v>963</v>
      </c>
      <c r="B440" s="81" t="s">
        <v>963</v>
      </c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>
      <c r="A441" s="82" t="s">
        <v>964</v>
      </c>
      <c r="B441" s="82" t="s">
        <v>905</v>
      </c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>
      <c r="A442" s="81" t="s">
        <v>965</v>
      </c>
      <c r="B442" s="81" t="s">
        <v>810</v>
      </c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>
      <c r="A443" s="82" t="s">
        <v>966</v>
      </c>
      <c r="B443" s="82" t="s">
        <v>967</v>
      </c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>
      <c r="A444" s="81" t="s">
        <v>968</v>
      </c>
      <c r="B444" s="81" t="s">
        <v>969</v>
      </c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>
      <c r="A445" s="82" t="s">
        <v>970</v>
      </c>
      <c r="B445" s="82" t="s">
        <v>739</v>
      </c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>
      <c r="A446" s="81" t="s">
        <v>971</v>
      </c>
      <c r="B446" s="81" t="s">
        <v>869</v>
      </c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>
      <c r="A447" s="82" t="s">
        <v>972</v>
      </c>
      <c r="B447" s="82" t="s">
        <v>973</v>
      </c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>
      <c r="A448" s="81" t="s">
        <v>974</v>
      </c>
      <c r="B448" s="81" t="s">
        <v>725</v>
      </c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>
      <c r="A449" s="82" t="s">
        <v>975</v>
      </c>
      <c r="B449" s="82" t="s">
        <v>976</v>
      </c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>
      <c r="A450" s="81" t="s">
        <v>977</v>
      </c>
      <c r="B450" s="81" t="s">
        <v>977</v>
      </c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>
      <c r="A451" s="82" t="s">
        <v>978</v>
      </c>
      <c r="B451" s="82" t="s">
        <v>979</v>
      </c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>
      <c r="A452" s="81" t="s">
        <v>980</v>
      </c>
      <c r="B452" s="81" t="s">
        <v>981</v>
      </c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>
      <c r="A453" s="82" t="s">
        <v>982</v>
      </c>
      <c r="B453" s="82" t="s">
        <v>983</v>
      </c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>
      <c r="A454" s="81" t="s">
        <v>984</v>
      </c>
      <c r="B454" s="81" t="s">
        <v>985</v>
      </c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>
      <c r="A455" s="82" t="s">
        <v>986</v>
      </c>
      <c r="B455" s="82" t="s">
        <v>987</v>
      </c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>
      <c r="A456" s="81" t="s">
        <v>988</v>
      </c>
      <c r="B456" s="81" t="s">
        <v>988</v>
      </c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>
      <c r="A457" s="82" t="s">
        <v>989</v>
      </c>
      <c r="B457" s="82" t="s">
        <v>989</v>
      </c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>
      <c r="A458" s="81" t="s">
        <v>990</v>
      </c>
      <c r="B458" s="81" t="s">
        <v>981</v>
      </c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>
      <c r="A459" s="82" t="s">
        <v>991</v>
      </c>
      <c r="B459" s="82" t="s">
        <v>992</v>
      </c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>
      <c r="A460" s="81" t="s">
        <v>993</v>
      </c>
      <c r="B460" s="81" t="s">
        <v>994</v>
      </c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>
      <c r="A461" s="82" t="s">
        <v>995</v>
      </c>
      <c r="B461" s="82" t="s">
        <v>996</v>
      </c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>
      <c r="A462" s="81" t="s">
        <v>997</v>
      </c>
      <c r="B462" s="81" t="s">
        <v>996</v>
      </c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>
      <c r="A463" s="82" t="s">
        <v>998</v>
      </c>
      <c r="B463" s="82" t="s">
        <v>999</v>
      </c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>
      <c r="A464" s="81" t="s">
        <v>1000</v>
      </c>
      <c r="B464" s="81" t="s">
        <v>999</v>
      </c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>
      <c r="A465" s="82" t="s">
        <v>1001</v>
      </c>
      <c r="B465" s="82" t="s">
        <v>1002</v>
      </c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>
      <c r="A466" s="81" t="s">
        <v>1003</v>
      </c>
      <c r="B466" s="81" t="s">
        <v>1004</v>
      </c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>
      <c r="A467" s="82" t="s">
        <v>1005</v>
      </c>
      <c r="B467" s="82" t="s">
        <v>1004</v>
      </c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>
      <c r="A468" s="81" t="s">
        <v>1006</v>
      </c>
      <c r="B468" s="81" t="s">
        <v>1002</v>
      </c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>
      <c r="A469" s="82" t="s">
        <v>1007</v>
      </c>
      <c r="B469" s="82" t="s">
        <v>1007</v>
      </c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>
      <c r="A470" s="81" t="s">
        <v>1008</v>
      </c>
      <c r="B470" s="81" t="s">
        <v>1009</v>
      </c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>
      <c r="A471" s="82" t="s">
        <v>1010</v>
      </c>
      <c r="B471" s="82" t="s">
        <v>1011</v>
      </c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>
      <c r="A472" s="81" t="s">
        <v>1012</v>
      </c>
      <c r="B472" s="81" t="s">
        <v>1011</v>
      </c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>
      <c r="A473" s="82" t="s">
        <v>1013</v>
      </c>
      <c r="B473" s="82" t="s">
        <v>973</v>
      </c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>
      <c r="A474" s="81" t="s">
        <v>1014</v>
      </c>
      <c r="B474" s="81" t="s">
        <v>1014</v>
      </c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>
      <c r="A475" s="82" t="s">
        <v>1015</v>
      </c>
      <c r="B475" s="82" t="s">
        <v>553</v>
      </c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>
      <c r="A476" s="81" t="s">
        <v>1016</v>
      </c>
      <c r="B476" s="81" t="s">
        <v>1017</v>
      </c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>
      <c r="A477" s="82" t="s">
        <v>1018</v>
      </c>
      <c r="B477" s="82" t="s">
        <v>1018</v>
      </c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>
      <c r="A478" s="81" t="s">
        <v>1019</v>
      </c>
      <c r="B478" s="81" t="s">
        <v>837</v>
      </c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>
      <c r="A479" s="82" t="s">
        <v>1020</v>
      </c>
      <c r="B479" s="82" t="s">
        <v>848</v>
      </c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>
      <c r="A480" s="81" t="s">
        <v>1021</v>
      </c>
      <c r="B480" s="81" t="s">
        <v>1022</v>
      </c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>
      <c r="A481" s="82" t="s">
        <v>1023</v>
      </c>
      <c r="B481" s="82" t="s">
        <v>1024</v>
      </c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>
      <c r="A482" s="81" t="s">
        <v>1025</v>
      </c>
      <c r="B482" s="81" t="s">
        <v>1024</v>
      </c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>
      <c r="A483" s="82" t="s">
        <v>1026</v>
      </c>
      <c r="B483" s="82" t="s">
        <v>1027</v>
      </c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>
      <c r="A484" s="81" t="s">
        <v>1028</v>
      </c>
      <c r="B484" s="81" t="s">
        <v>1027</v>
      </c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>
      <c r="A485" s="82" t="s">
        <v>1029</v>
      </c>
      <c r="B485" s="82" t="s">
        <v>1029</v>
      </c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>
      <c r="A486" s="81" t="s">
        <v>1030</v>
      </c>
      <c r="B486" s="81" t="s">
        <v>927</v>
      </c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>
      <c r="A487" s="82" t="s">
        <v>1031</v>
      </c>
      <c r="B487" s="82" t="s">
        <v>1032</v>
      </c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>
      <c r="A488" s="81" t="s">
        <v>1033</v>
      </c>
      <c r="B488" s="81" t="s">
        <v>1032</v>
      </c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>
      <c r="A489" s="82" t="s">
        <v>1034</v>
      </c>
      <c r="B489" s="82" t="s">
        <v>1032</v>
      </c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>
      <c r="A490" s="81" t="s">
        <v>1035</v>
      </c>
      <c r="B490" s="81" t="s">
        <v>1036</v>
      </c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>
      <c r="A491" s="82" t="s">
        <v>1037</v>
      </c>
      <c r="B491" s="82" t="s">
        <v>1038</v>
      </c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>
      <c r="A492" s="81" t="s">
        <v>1039</v>
      </c>
      <c r="B492" s="81" t="s">
        <v>1040</v>
      </c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>
      <c r="A493" s="82" t="s">
        <v>1041</v>
      </c>
      <c r="B493" s="82" t="s">
        <v>1036</v>
      </c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>
      <c r="A494" s="81" t="s">
        <v>1042</v>
      </c>
      <c r="B494" s="81" t="s">
        <v>1043</v>
      </c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>
      <c r="A495" s="82" t="s">
        <v>1044</v>
      </c>
      <c r="B495" s="82" t="s">
        <v>1045</v>
      </c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>
      <c r="A496" s="81" t="s">
        <v>1046</v>
      </c>
      <c r="B496" s="81" t="s">
        <v>1045</v>
      </c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>
      <c r="A497" s="82" t="s">
        <v>1047</v>
      </c>
      <c r="B497" s="82" t="s">
        <v>1048</v>
      </c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>
      <c r="A498" s="81" t="s">
        <v>1049</v>
      </c>
      <c r="B498" s="81" t="s">
        <v>1049</v>
      </c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>
      <c r="A499" s="82" t="s">
        <v>1050</v>
      </c>
      <c r="B499" s="82" t="s">
        <v>1050</v>
      </c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>
      <c r="A500" s="81" t="s">
        <v>1051</v>
      </c>
      <c r="B500" s="81" t="s">
        <v>1051</v>
      </c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>
      <c r="A501" s="82" t="s">
        <v>1052</v>
      </c>
      <c r="B501" s="82" t="s">
        <v>1052</v>
      </c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>
      <c r="A502" s="81" t="s">
        <v>1053</v>
      </c>
      <c r="B502" s="81" t="s">
        <v>1053</v>
      </c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>
      <c r="A503" s="82" t="s">
        <v>1054</v>
      </c>
      <c r="B503" s="82" t="s">
        <v>1055</v>
      </c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>
      <c r="A504" s="81" t="s">
        <v>1056</v>
      </c>
      <c r="B504" s="81" t="s">
        <v>1056</v>
      </c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>
      <c r="A505" s="82" t="s">
        <v>1057</v>
      </c>
      <c r="B505" s="82" t="s">
        <v>1057</v>
      </c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>
      <c r="A506" s="81" t="s">
        <v>1058</v>
      </c>
      <c r="B506" s="81" t="s">
        <v>1058</v>
      </c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>
      <c r="A507" s="82" t="s">
        <v>1059</v>
      </c>
      <c r="B507" s="82" t="s">
        <v>551</v>
      </c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>
      <c r="A508" s="81" t="s">
        <v>1060</v>
      </c>
      <c r="B508" s="81" t="s">
        <v>656</v>
      </c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>
      <c r="A509" s="82" t="s">
        <v>1061</v>
      </c>
      <c r="B509" s="82" t="s">
        <v>1061</v>
      </c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>
      <c r="A510" s="81" t="s">
        <v>1062</v>
      </c>
      <c r="B510" s="81" t="s">
        <v>1063</v>
      </c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>
      <c r="A511" s="82" t="s">
        <v>1064</v>
      </c>
      <c r="B511" s="82" t="s">
        <v>1064</v>
      </c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>
      <c r="A512" s="81" t="s">
        <v>1065</v>
      </c>
      <c r="B512" s="81" t="s">
        <v>1065</v>
      </c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>
      <c r="A513" s="82" t="s">
        <v>1066</v>
      </c>
      <c r="B513" s="82" t="s">
        <v>1066</v>
      </c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>
      <c r="A514" s="81" t="s">
        <v>1067</v>
      </c>
      <c r="B514" s="81" t="s">
        <v>1068</v>
      </c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>
      <c r="A515" s="82" t="s">
        <v>1069</v>
      </c>
      <c r="B515" s="82" t="s">
        <v>1070</v>
      </c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>
      <c r="A516" s="81" t="s">
        <v>1071</v>
      </c>
      <c r="B516" s="81" t="s">
        <v>1072</v>
      </c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>
      <c r="A517" s="82" t="s">
        <v>1073</v>
      </c>
      <c r="B517" s="82" t="s">
        <v>1073</v>
      </c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>
      <c r="A518" s="81" t="s">
        <v>1074</v>
      </c>
      <c r="B518" s="81" t="s">
        <v>1075</v>
      </c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>
      <c r="A519" s="82" t="s">
        <v>1076</v>
      </c>
      <c r="B519" s="82" t="s">
        <v>1075</v>
      </c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>
      <c r="A520" s="81" t="s">
        <v>1077</v>
      </c>
      <c r="B520" s="81" t="s">
        <v>1078</v>
      </c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>
      <c r="A521" s="82" t="s">
        <v>1079</v>
      </c>
      <c r="B521" s="82" t="s">
        <v>1002</v>
      </c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>
      <c r="A522" s="81" t="s">
        <v>1080</v>
      </c>
      <c r="B522" s="81" t="s">
        <v>911</v>
      </c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>
      <c r="A523" s="82" t="s">
        <v>1081</v>
      </c>
      <c r="B523" s="82" t="s">
        <v>672</v>
      </c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>
      <c r="A524" s="81" t="s">
        <v>1082</v>
      </c>
      <c r="B524" s="81" t="s">
        <v>987</v>
      </c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>
      <c r="A525" s="82" t="s">
        <v>1083</v>
      </c>
      <c r="B525" s="82" t="s">
        <v>780</v>
      </c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>
      <c r="A526" s="81" t="s">
        <v>1084</v>
      </c>
      <c r="B526" s="81" t="s">
        <v>1085</v>
      </c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>
      <c r="A527" s="82" t="s">
        <v>1086</v>
      </c>
      <c r="B527" s="82" t="s">
        <v>1087</v>
      </c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>
      <c r="A528" s="81" t="s">
        <v>1088</v>
      </c>
      <c r="B528" s="81" t="s">
        <v>1089</v>
      </c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>
      <c r="A529" s="82" t="s">
        <v>1090</v>
      </c>
      <c r="B529" s="82" t="s">
        <v>1009</v>
      </c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>
      <c r="A530" s="81" t="s">
        <v>1091</v>
      </c>
      <c r="B530" s="81" t="s">
        <v>1017</v>
      </c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>
      <c r="A531" s="82" t="s">
        <v>1092</v>
      </c>
      <c r="B531" s="82" t="s">
        <v>900</v>
      </c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>
      <c r="A532" s="81" t="s">
        <v>1093</v>
      </c>
      <c r="B532" s="81" t="s">
        <v>862</v>
      </c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>
      <c r="A533" s="82" t="s">
        <v>1094</v>
      </c>
      <c r="B533" s="82" t="s">
        <v>739</v>
      </c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>
      <c r="A534" s="81" t="s">
        <v>1095</v>
      </c>
      <c r="B534" s="81" t="s">
        <v>830</v>
      </c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>
      <c r="A535" s="82" t="s">
        <v>1096</v>
      </c>
      <c r="B535" s="82" t="s">
        <v>663</v>
      </c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>
      <c r="A536" s="81" t="s">
        <v>1097</v>
      </c>
      <c r="B536" s="81" t="s">
        <v>1098</v>
      </c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>
      <c r="A537" s="76"/>
      <c r="B537" s="76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>
      <c r="A538" s="76"/>
      <c r="B538" s="76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>
      <c r="A539" s="76"/>
      <c r="B539" s="76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>
      <c r="A540" s="76"/>
      <c r="B540" s="76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>
      <c r="A541" s="76"/>
      <c r="B541" s="76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>
      <c r="A542" s="76"/>
      <c r="B542" s="76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>
      <c r="A543" s="76"/>
      <c r="B543" s="76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>
      <c r="A544" s="76"/>
      <c r="B544" s="76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>
      <c r="A545" s="76"/>
      <c r="B545" s="76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>
      <c r="A546" s="76"/>
      <c r="B546" s="76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>
      <c r="A547" s="76"/>
      <c r="B547" s="76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>
      <c r="A548" s="76"/>
      <c r="B548" s="76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>
      <c r="A549" s="76"/>
      <c r="B549" s="76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>
      <c r="A550" s="76"/>
      <c r="B550" s="76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>
      <c r="A551" s="76"/>
      <c r="B551" s="76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>
      <c r="A552" s="76"/>
      <c r="B552" s="76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>
      <c r="A553" s="76"/>
      <c r="B553" s="76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>
      <c r="A554" s="76"/>
      <c r="B554" s="76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>
      <c r="A555" s="76"/>
      <c r="B555" s="76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>
      <c r="A556" s="76"/>
      <c r="B556" s="76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>
      <c r="A557" s="76"/>
      <c r="B557" s="76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>
      <c r="A558" s="76"/>
      <c r="B558" s="76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>
      <c r="A559" s="76"/>
      <c r="B559" s="76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>
      <c r="A560" s="76"/>
      <c r="B560" s="76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>
      <c r="A561" s="76"/>
      <c r="B561" s="76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>
      <c r="A562" s="76"/>
      <c r="B562" s="76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>
      <c r="A563" s="76"/>
      <c r="B563" s="76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>
      <c r="A564" s="76"/>
      <c r="B564" s="76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>
      <c r="A565" s="76"/>
      <c r="B565" s="76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>
      <c r="A566" s="76"/>
      <c r="B566" s="76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>
      <c r="A567" s="76"/>
      <c r="B567" s="76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>
      <c r="A568" s="76"/>
      <c r="B568" s="76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>
      <c r="A569" s="76"/>
      <c r="B569" s="76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>
      <c r="A570" s="76"/>
      <c r="B570" s="76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>
      <c r="A571" s="76"/>
      <c r="B571" s="76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>
      <c r="A572" s="76"/>
      <c r="B572" s="76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>
      <c r="A573" s="76"/>
      <c r="B573" s="76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>
      <c r="A574" s="76"/>
      <c r="B574" s="76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>
      <c r="A575" s="76"/>
      <c r="B575" s="76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>
      <c r="A576" s="76"/>
      <c r="B576" s="76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>
      <c r="A577" s="76"/>
      <c r="B577" s="76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>
      <c r="A578" s="76"/>
      <c r="B578" s="76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>
      <c r="A579" s="76"/>
      <c r="B579" s="76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>
      <c r="A580" s="76"/>
      <c r="B580" s="76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>
      <c r="A581" s="76"/>
      <c r="B581" s="76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>
      <c r="A582" s="76"/>
      <c r="B582" s="76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>
      <c r="A583" s="76"/>
      <c r="B583" s="76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>
      <c r="A584" s="76"/>
      <c r="B584" s="76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>
      <c r="A585" s="76"/>
      <c r="B585" s="76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>
      <c r="A586" s="76"/>
      <c r="B586" s="76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>
      <c r="A587" s="76"/>
      <c r="B587" s="76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>
      <c r="A588" s="76"/>
      <c r="B588" s="76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>
      <c r="A589" s="76"/>
      <c r="B589" s="76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>
      <c r="A590" s="76"/>
      <c r="B590" s="76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>
      <c r="A591" s="76"/>
      <c r="B591" s="76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>
      <c r="A592" s="76"/>
      <c r="B592" s="76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>
      <c r="A593" s="76"/>
      <c r="B593" s="76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>
      <c r="A594" s="76"/>
      <c r="B594" s="76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>
      <c r="A595" s="76"/>
      <c r="B595" s="76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>
      <c r="A596" s="76"/>
      <c r="B596" s="76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>
      <c r="A597" s="76"/>
      <c r="B597" s="76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>
      <c r="A598" s="76"/>
      <c r="B598" s="76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>
      <c r="A599" s="76"/>
      <c r="B599" s="76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>
      <c r="A600" s="76"/>
      <c r="B600" s="76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>
      <c r="A601" s="76"/>
      <c r="B601" s="76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>
      <c r="A602" s="76"/>
      <c r="B602" s="76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>
      <c r="A603" s="76"/>
      <c r="B603" s="76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>
      <c r="A604" s="76"/>
      <c r="B604" s="76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>
      <c r="A605" s="76"/>
      <c r="B605" s="76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>
      <c r="A606" s="76"/>
      <c r="B606" s="76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>
      <c r="A607" s="76"/>
      <c r="B607" s="76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>
      <c r="A608" s="76"/>
      <c r="B608" s="76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>
      <c r="A609" s="76"/>
      <c r="B609" s="76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>
      <c r="A610" s="76"/>
      <c r="B610" s="76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>
      <c r="A611" s="76"/>
      <c r="B611" s="76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>
      <c r="A612" s="76"/>
      <c r="B612" s="76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>
      <c r="A613" s="76"/>
      <c r="B613" s="76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>
      <c r="A614" s="76"/>
      <c r="B614" s="76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>
      <c r="A615" s="76"/>
      <c r="B615" s="76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>
      <c r="A616" s="76"/>
      <c r="B616" s="76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>
      <c r="A617" s="76"/>
      <c r="B617" s="76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>
      <c r="A618" s="76"/>
      <c r="B618" s="76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>
      <c r="A619" s="76"/>
      <c r="B619" s="76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>
      <c r="A620" s="76"/>
      <c r="B620" s="76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>
      <c r="A621" s="76"/>
      <c r="B621" s="76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>
      <c r="A622" s="76"/>
      <c r="B622" s="76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>
      <c r="A623" s="76"/>
      <c r="B623" s="76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>
      <c r="A624" s="76"/>
      <c r="B624" s="76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>
      <c r="A625" s="76"/>
      <c r="B625" s="76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>
      <c r="A626" s="76"/>
      <c r="B626" s="76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>
      <c r="A627" s="76"/>
      <c r="B627" s="76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>
      <c r="A628" s="76"/>
      <c r="B628" s="76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>
      <c r="A629" s="76"/>
      <c r="B629" s="76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>
      <c r="A630" s="76"/>
      <c r="B630" s="76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>
      <c r="A631" s="76"/>
      <c r="B631" s="76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>
      <c r="A632" s="76"/>
      <c r="B632" s="76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>
      <c r="A633" s="76"/>
      <c r="B633" s="76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>
      <c r="A634" s="76"/>
      <c r="B634" s="76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>
      <c r="A635" s="76"/>
      <c r="B635" s="76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>
      <c r="A636" s="76"/>
      <c r="B636" s="76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>
      <c r="A637" s="76"/>
      <c r="B637" s="76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>
      <c r="A638" s="76"/>
      <c r="B638" s="76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>
      <c r="A639" s="76"/>
      <c r="B639" s="76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>
      <c r="A640" s="76"/>
      <c r="B640" s="76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>
      <c r="A641" s="76"/>
      <c r="B641" s="76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>
      <c r="A642" s="76"/>
      <c r="B642" s="76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>
      <c r="A643" s="76"/>
      <c r="B643" s="76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>
      <c r="A644" s="76"/>
      <c r="B644" s="76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>
      <c r="A645" s="76"/>
      <c r="B645" s="76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>
      <c r="A646" s="76"/>
      <c r="B646" s="76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>
      <c r="A647" s="76"/>
      <c r="B647" s="76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>
      <c r="A648" s="76"/>
      <c r="B648" s="76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>
      <c r="A649" s="76"/>
      <c r="B649" s="76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>
      <c r="A650" s="76"/>
      <c r="B650" s="76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>
      <c r="A651" s="76"/>
      <c r="B651" s="76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>
      <c r="A652" s="76"/>
      <c r="B652" s="76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>
      <c r="A653" s="76"/>
      <c r="B653" s="76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>
      <c r="A654" s="76"/>
      <c r="B654" s="76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>
      <c r="A655" s="76"/>
      <c r="B655" s="76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>
      <c r="A656" s="76"/>
      <c r="B656" s="76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>
      <c r="A657" s="76"/>
      <c r="B657" s="76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>
      <c r="A658" s="76"/>
      <c r="B658" s="76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>
      <c r="A659" s="76"/>
      <c r="B659" s="76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>
      <c r="A660" s="76"/>
      <c r="B660" s="76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>
      <c r="A661" s="76"/>
      <c r="B661" s="76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>
      <c r="A662" s="76"/>
      <c r="B662" s="76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>
      <c r="A663" s="76"/>
      <c r="B663" s="76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>
      <c r="A664" s="76"/>
      <c r="B664" s="76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>
      <c r="A665" s="76"/>
      <c r="B665" s="76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>
      <c r="A666" s="76"/>
      <c r="B666" s="76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>
      <c r="A667" s="76"/>
      <c r="B667" s="76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>
      <c r="A668" s="76"/>
      <c r="B668" s="76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>
      <c r="A669" s="76"/>
      <c r="B669" s="76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>
      <c r="A670" s="76"/>
      <c r="B670" s="76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>
      <c r="A671" s="76"/>
      <c r="B671" s="76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>
      <c r="A672" s="76"/>
      <c r="B672" s="76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>
      <c r="A673" s="76"/>
      <c r="B673" s="76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>
      <c r="A674" s="76"/>
      <c r="B674" s="76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>
      <c r="A675" s="76"/>
      <c r="B675" s="76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>
      <c r="A676" s="76"/>
      <c r="B676" s="76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>
      <c r="A677" s="76"/>
      <c r="B677" s="76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>
      <c r="A678" s="76"/>
      <c r="B678" s="76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>
      <c r="A679" s="76"/>
      <c r="B679" s="76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>
      <c r="A680" s="76"/>
      <c r="B680" s="76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>
      <c r="A681" s="76"/>
      <c r="B681" s="76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>
      <c r="A682" s="76"/>
      <c r="B682" s="76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>
      <c r="A683" s="76"/>
      <c r="B683" s="76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>
      <c r="A684" s="76"/>
      <c r="B684" s="76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>
      <c r="A685" s="76"/>
      <c r="B685" s="76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>
      <c r="A686" s="76"/>
      <c r="B686" s="76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>
      <c r="A687" s="76"/>
      <c r="B687" s="76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>
      <c r="A688" s="76"/>
      <c r="B688" s="76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>
      <c r="A689" s="76"/>
      <c r="B689" s="76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>
      <c r="A690" s="76"/>
      <c r="B690" s="76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>
      <c r="A691" s="76"/>
      <c r="B691" s="76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>
      <c r="A692" s="76"/>
      <c r="B692" s="76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>
      <c r="A693" s="76"/>
      <c r="B693" s="76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>
      <c r="A694" s="76"/>
      <c r="B694" s="76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>
      <c r="A695" s="76"/>
      <c r="B695" s="76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>
      <c r="A696" s="76"/>
      <c r="B696" s="76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>
      <c r="A697" s="76"/>
      <c r="B697" s="76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>
      <c r="A698" s="76"/>
      <c r="B698" s="76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>
      <c r="A699" s="76"/>
      <c r="B699" s="76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>
      <c r="A700" s="76"/>
      <c r="B700" s="76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>
      <c r="A701" s="76"/>
      <c r="B701" s="76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>
      <c r="A702" s="76"/>
      <c r="B702" s="76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>
      <c r="A703" s="76"/>
      <c r="B703" s="76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>
      <c r="A704" s="76"/>
      <c r="B704" s="76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>
      <c r="A705" s="76"/>
      <c r="B705" s="76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>
      <c r="A706" s="76"/>
      <c r="B706" s="76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>
      <c r="A707" s="76"/>
      <c r="B707" s="76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>
      <c r="A708" s="76"/>
      <c r="B708" s="76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>
      <c r="A709" s="76"/>
      <c r="B709" s="76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>
      <c r="A710" s="76"/>
      <c r="B710" s="76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>
      <c r="A711" s="76"/>
      <c r="B711" s="76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>
      <c r="A712" s="76"/>
      <c r="B712" s="76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>
      <c r="A713" s="76"/>
      <c r="B713" s="76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>
      <c r="A714" s="76"/>
      <c r="B714" s="76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>
      <c r="A715" s="76"/>
      <c r="B715" s="76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>
      <c r="A716" s="76"/>
      <c r="B716" s="76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>
      <c r="A717" s="76"/>
      <c r="B717" s="76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>
      <c r="A718" s="76"/>
      <c r="B718" s="76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>
      <c r="A719" s="76"/>
      <c r="B719" s="76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>
      <c r="A720" s="76"/>
      <c r="B720" s="76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>
      <c r="A721" s="76"/>
      <c r="B721" s="76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>
      <c r="A722" s="76"/>
      <c r="B722" s="76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>
      <c r="A723" s="76"/>
      <c r="B723" s="76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>
      <c r="A724" s="76"/>
      <c r="B724" s="76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>
      <c r="A725" s="76"/>
      <c r="B725" s="76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>
      <c r="A726" s="76"/>
      <c r="B726" s="76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>
      <c r="A727" s="76"/>
      <c r="B727" s="76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>
      <c r="A728" s="76"/>
      <c r="B728" s="76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>
      <c r="A729" s="76"/>
      <c r="B729" s="76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>
      <c r="A730" s="76"/>
      <c r="B730" s="76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>
      <c r="A731" s="76"/>
      <c r="B731" s="76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>
      <c r="A732" s="76"/>
      <c r="B732" s="76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>
      <c r="A733" s="76"/>
      <c r="B733" s="76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>
      <c r="A734" s="76"/>
      <c r="B734" s="76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>
      <c r="A735" s="76"/>
      <c r="B735" s="76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>
      <c r="A736" s="76"/>
      <c r="B736" s="76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>
      <c r="A737" s="76"/>
      <c r="B737" s="76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>
      <c r="A738" s="76"/>
      <c r="B738" s="76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>
      <c r="A739" s="76"/>
      <c r="B739" s="76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>
      <c r="A740" s="76"/>
      <c r="B740" s="76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>
      <c r="A741" s="76"/>
      <c r="B741" s="76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>
      <c r="A742" s="76"/>
      <c r="B742" s="76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>
      <c r="A743" s="76"/>
      <c r="B743" s="76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>
      <c r="A744" s="76"/>
      <c r="B744" s="76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>
      <c r="A745" s="76"/>
      <c r="B745" s="76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>
      <c r="A746" s="76"/>
      <c r="B746" s="76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>
      <c r="A747" s="76"/>
      <c r="B747" s="76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>
      <c r="A748" s="76"/>
      <c r="B748" s="76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>
      <c r="A749" s="76"/>
      <c r="B749" s="76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>
      <c r="A750" s="76"/>
      <c r="B750" s="76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>
      <c r="A751" s="76"/>
      <c r="B751" s="76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>
      <c r="A752" s="76"/>
      <c r="B752" s="76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>
      <c r="A753" s="76"/>
      <c r="B753" s="76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>
      <c r="A754" s="76"/>
      <c r="B754" s="76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>
      <c r="A755" s="76"/>
      <c r="B755" s="76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>
      <c r="A756" s="76"/>
      <c r="B756" s="76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>
      <c r="A757" s="76"/>
      <c r="B757" s="76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>
      <c r="A758" s="76"/>
      <c r="B758" s="76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>
      <c r="A759" s="76"/>
      <c r="B759" s="76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>
      <c r="A760" s="76"/>
      <c r="B760" s="76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>
      <c r="A761" s="76"/>
      <c r="B761" s="76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>
      <c r="A762" s="76"/>
      <c r="B762" s="76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>
      <c r="A763" s="76"/>
      <c r="B763" s="76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>
      <c r="A764" s="76"/>
      <c r="B764" s="76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>
      <c r="A765" s="76"/>
      <c r="B765" s="76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>
      <c r="A766" s="76"/>
      <c r="B766" s="76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>
      <c r="A767" s="76"/>
      <c r="B767" s="76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>
      <c r="A768" s="76"/>
      <c r="B768" s="76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>
      <c r="A769" s="76"/>
      <c r="B769" s="76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>
      <c r="A770" s="76"/>
      <c r="B770" s="76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>
      <c r="A771" s="76"/>
      <c r="B771" s="76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>
      <c r="A772" s="76"/>
      <c r="B772" s="76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>
      <c r="A773" s="76"/>
      <c r="B773" s="76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>
      <c r="A774" s="76"/>
      <c r="B774" s="76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>
      <c r="A775" s="76"/>
      <c r="B775" s="76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>
      <c r="A776" s="76"/>
      <c r="B776" s="76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>
      <c r="A777" s="76"/>
      <c r="B777" s="76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>
      <c r="A778" s="76"/>
      <c r="B778" s="76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>
      <c r="A779" s="76"/>
      <c r="B779" s="76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>
      <c r="A780" s="76"/>
      <c r="B780" s="76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>
      <c r="A781" s="76"/>
      <c r="B781" s="76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>
      <c r="A782" s="76"/>
      <c r="B782" s="76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>
      <c r="A783" s="76"/>
      <c r="B783" s="76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>
      <c r="A784" s="76"/>
      <c r="B784" s="76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>
      <c r="A785" s="76"/>
      <c r="B785" s="76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>
      <c r="A786" s="76"/>
      <c r="B786" s="76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>
      <c r="A787" s="76"/>
      <c r="B787" s="76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>
      <c r="A788" s="76"/>
      <c r="B788" s="76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>
      <c r="A789" s="76"/>
      <c r="B789" s="76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>
      <c r="A790" s="76"/>
      <c r="B790" s="76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>
      <c r="A791" s="76"/>
      <c r="B791" s="76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>
      <c r="A792" s="76"/>
      <c r="B792" s="76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>
      <c r="A793" s="76"/>
      <c r="B793" s="76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>
      <c r="A794" s="76"/>
      <c r="B794" s="76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>
      <c r="A795" s="76"/>
      <c r="B795" s="76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>
      <c r="A796" s="76"/>
      <c r="B796" s="76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>
      <c r="A797" s="76"/>
      <c r="B797" s="76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>
      <c r="A798" s="76"/>
      <c r="B798" s="76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>
      <c r="A799" s="76"/>
      <c r="B799" s="76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>
      <c r="A800" s="76"/>
      <c r="B800" s="76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>
      <c r="A801" s="76"/>
      <c r="B801" s="76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>
      <c r="A802" s="76"/>
      <c r="B802" s="76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>
      <c r="A803" s="76"/>
      <c r="B803" s="76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>
      <c r="A804" s="76"/>
      <c r="B804" s="76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>
      <c r="A805" s="76"/>
      <c r="B805" s="76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>
      <c r="A806" s="76"/>
      <c r="B806" s="76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>
      <c r="A807" s="76"/>
      <c r="B807" s="76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>
      <c r="A808" s="76"/>
      <c r="B808" s="76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>
      <c r="A809" s="76"/>
      <c r="B809" s="76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>
      <c r="A810" s="76"/>
      <c r="B810" s="76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>
      <c r="A811" s="76"/>
      <c r="B811" s="76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>
      <c r="A812" s="76"/>
      <c r="B812" s="76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>
      <c r="A813" s="76"/>
      <c r="B813" s="76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>
      <c r="A814" s="76"/>
      <c r="B814" s="76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>
      <c r="A815" s="76"/>
      <c r="B815" s="76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>
      <c r="A816" s="76"/>
      <c r="B816" s="76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>
      <c r="A817" s="76"/>
      <c r="B817" s="76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>
      <c r="A818" s="76"/>
      <c r="B818" s="76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>
      <c r="A819" s="76"/>
      <c r="B819" s="76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>
      <c r="A820" s="76"/>
      <c r="B820" s="76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>
      <c r="A821" s="76"/>
      <c r="B821" s="76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>
      <c r="A822" s="76"/>
      <c r="B822" s="76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>
      <c r="A823" s="76"/>
      <c r="B823" s="76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>
      <c r="A824" s="76"/>
      <c r="B824" s="76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>
      <c r="A825" s="76"/>
      <c r="B825" s="76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>
      <c r="A826" s="76"/>
      <c r="B826" s="76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>
      <c r="A827" s="76"/>
      <c r="B827" s="76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>
      <c r="A828" s="76"/>
      <c r="B828" s="76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>
      <c r="A829" s="76"/>
      <c r="B829" s="76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>
      <c r="A830" s="76"/>
      <c r="B830" s="76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>
      <c r="A831" s="76"/>
      <c r="B831" s="76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>
      <c r="A832" s="76"/>
      <c r="B832" s="76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>
      <c r="A833" s="76"/>
      <c r="B833" s="76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>
      <c r="A834" s="76"/>
      <c r="B834" s="76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>
      <c r="A835" s="76"/>
      <c r="B835" s="76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>
      <c r="A836" s="76"/>
      <c r="B836" s="76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>
      <c r="A837" s="76"/>
      <c r="B837" s="76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>
      <c r="A838" s="76"/>
      <c r="B838" s="76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>
      <c r="A839" s="76"/>
      <c r="B839" s="76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>
      <c r="A840" s="76"/>
      <c r="B840" s="76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>
      <c r="A841" s="76"/>
      <c r="B841" s="76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>
      <c r="A842" s="76"/>
      <c r="B842" s="76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>
      <c r="A843" s="76"/>
      <c r="B843" s="76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>
      <c r="A844" s="76"/>
      <c r="B844" s="76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>
      <c r="A845" s="76"/>
      <c r="B845" s="76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>
      <c r="A846" s="76"/>
      <c r="B846" s="76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>
      <c r="A847" s="76"/>
      <c r="B847" s="76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>
      <c r="A848" s="76"/>
      <c r="B848" s="76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>
      <c r="A849" s="76"/>
      <c r="B849" s="76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>
      <c r="A850" s="76"/>
      <c r="B850" s="76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>
      <c r="A851" s="76"/>
      <c r="B851" s="76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>
      <c r="A852" s="76"/>
      <c r="B852" s="76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>
      <c r="A853" s="76"/>
      <c r="B853" s="76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>
      <c r="A854" s="76"/>
      <c r="B854" s="76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>
      <c r="A855" s="76"/>
      <c r="B855" s="76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>
      <c r="A856" s="76"/>
      <c r="B856" s="76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>
      <c r="A857" s="76"/>
      <c r="B857" s="76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>
      <c r="A858" s="76"/>
      <c r="B858" s="76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>
      <c r="A859" s="76"/>
      <c r="B859" s="76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>
      <c r="A860" s="76"/>
      <c r="B860" s="76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>
      <c r="A861" s="76"/>
      <c r="B861" s="76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>
      <c r="A862" s="76"/>
      <c r="B862" s="76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>
      <c r="A863" s="76"/>
      <c r="B863" s="76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>
      <c r="A864" s="76"/>
      <c r="B864" s="76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>
      <c r="A865" s="76"/>
      <c r="B865" s="76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>
      <c r="A866" s="76"/>
      <c r="B866" s="76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>
      <c r="A867" s="76"/>
      <c r="B867" s="76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>
      <c r="A868" s="76"/>
      <c r="B868" s="76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>
      <c r="A869" s="76"/>
      <c r="B869" s="76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>
      <c r="A870" s="76"/>
      <c r="B870" s="76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>
      <c r="A871" s="76"/>
      <c r="B871" s="76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>
      <c r="A872" s="76"/>
      <c r="B872" s="76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>
      <c r="A873" s="76"/>
      <c r="B873" s="76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>
      <c r="A874" s="76"/>
      <c r="B874" s="76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>
      <c r="A875" s="76"/>
      <c r="B875" s="76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>
      <c r="A876" s="76"/>
      <c r="B876" s="76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>
      <c r="A877" s="76"/>
      <c r="B877" s="76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>
      <c r="A878" s="76"/>
      <c r="B878" s="76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>
      <c r="A879" s="76"/>
      <c r="B879" s="76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>
      <c r="A880" s="76"/>
      <c r="B880" s="76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>
      <c r="A881" s="76"/>
      <c r="B881" s="76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>
      <c r="A882" s="76"/>
      <c r="B882" s="76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>
      <c r="A883" s="76"/>
      <c r="B883" s="76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>
      <c r="A884" s="76"/>
      <c r="B884" s="76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>
      <c r="A885" s="76"/>
      <c r="B885" s="76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>
      <c r="A886" s="76"/>
      <c r="B886" s="76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>
      <c r="A887" s="76"/>
      <c r="B887" s="76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>
      <c r="A888" s="76"/>
      <c r="B888" s="76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>
      <c r="A889" s="76"/>
      <c r="B889" s="76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>
      <c r="A890" s="76"/>
      <c r="B890" s="76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>
      <c r="A891" s="76"/>
      <c r="B891" s="76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>
      <c r="A892" s="76"/>
      <c r="B892" s="76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>
      <c r="A893" s="76"/>
      <c r="B893" s="76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>
      <c r="A894" s="76"/>
      <c r="B894" s="76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>
      <c r="A895" s="76"/>
      <c r="B895" s="76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>
      <c r="A896" s="76"/>
      <c r="B896" s="76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>
      <c r="A897" s="76"/>
      <c r="B897" s="76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>
      <c r="A898" s="76"/>
      <c r="B898" s="76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>
      <c r="A899" s="76"/>
      <c r="B899" s="76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>
      <c r="A900" s="76"/>
      <c r="B900" s="76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>
      <c r="A901" s="76"/>
      <c r="B901" s="76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>
      <c r="A902" s="76"/>
      <c r="B902" s="76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>
      <c r="A903" s="76"/>
      <c r="B903" s="76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>
      <c r="A904" s="76"/>
      <c r="B904" s="76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>
      <c r="A905" s="76"/>
      <c r="B905" s="76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>
      <c r="A906" s="76"/>
      <c r="B906" s="76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>
      <c r="A907" s="76"/>
      <c r="B907" s="76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>
      <c r="A908" s="76"/>
      <c r="B908" s="76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>
      <c r="A909" s="76"/>
      <c r="B909" s="76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>
      <c r="A910" s="76"/>
      <c r="B910" s="76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>
      <c r="A911" s="76"/>
      <c r="B911" s="76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>
      <c r="A912" s="76"/>
      <c r="B912" s="76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>
      <c r="A913" s="76"/>
      <c r="B913" s="76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>
      <c r="A914" s="76"/>
      <c r="B914" s="76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>
      <c r="A915" s="76"/>
      <c r="B915" s="76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>
      <c r="A916" s="76"/>
      <c r="B916" s="76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>
      <c r="A917" s="76"/>
      <c r="B917" s="76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>
      <c r="A918" s="76"/>
      <c r="B918" s="76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>
      <c r="A919" s="76"/>
      <c r="B919" s="76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>
      <c r="A920" s="76"/>
      <c r="B920" s="76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>
      <c r="A921" s="76"/>
      <c r="B921" s="76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>
      <c r="A922" s="76"/>
      <c r="B922" s="76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>
      <c r="A923" s="76"/>
      <c r="B923" s="76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>
      <c r="A924" s="76"/>
      <c r="B924" s="76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>
      <c r="A925" s="76"/>
      <c r="B925" s="76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>
      <c r="A926" s="76"/>
      <c r="B926" s="76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>
      <c r="A927" s="76"/>
      <c r="B927" s="76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>
      <c r="A928" s="76"/>
      <c r="B928" s="76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>
      <c r="A929" s="76"/>
      <c r="B929" s="76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>
      <c r="A930" s="76"/>
      <c r="B930" s="76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>
      <c r="A931" s="76"/>
      <c r="B931" s="76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>
      <c r="A932" s="76"/>
      <c r="B932" s="76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>
      <c r="A933" s="76"/>
      <c r="B933" s="76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>
      <c r="A934" s="76"/>
      <c r="B934" s="76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>
      <c r="A935" s="76"/>
      <c r="B935" s="76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>
      <c r="A936" s="76"/>
      <c r="B936" s="76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>
      <c r="A937" s="76"/>
      <c r="B937" s="76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>
      <c r="A938" s="76"/>
      <c r="B938" s="76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>
      <c r="A939" s="76"/>
      <c r="B939" s="76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>
      <c r="A940" s="76"/>
      <c r="B940" s="76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>
      <c r="A941" s="76"/>
      <c r="B941" s="76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>
      <c r="A942" s="76"/>
      <c r="B942" s="76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>
      <c r="A943" s="76"/>
      <c r="B943" s="76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>
      <c r="A944" s="76"/>
      <c r="B944" s="76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>
      <c r="A945" s="76"/>
      <c r="B945" s="76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>
      <c r="A946" s="76"/>
      <c r="B946" s="76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>
      <c r="A947" s="76"/>
      <c r="B947" s="76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>
      <c r="A948" s="76"/>
      <c r="B948" s="76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>
      <c r="A949" s="76"/>
      <c r="B949" s="76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>
      <c r="A950" s="76"/>
      <c r="B950" s="76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>
      <c r="A951" s="76"/>
      <c r="B951" s="76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>
      <c r="A952" s="76"/>
      <c r="B952" s="76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>
      <c r="A953" s="76"/>
      <c r="B953" s="76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>
      <c r="A954" s="76"/>
      <c r="B954" s="76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>
      <c r="A955" s="76"/>
      <c r="B955" s="76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>
      <c r="A956" s="76"/>
      <c r="B956" s="76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>
      <c r="A957" s="76"/>
      <c r="B957" s="76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>
      <c r="A958" s="76"/>
      <c r="B958" s="76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>
      <c r="A959" s="76"/>
      <c r="B959" s="76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>
      <c r="A960" s="76"/>
      <c r="B960" s="76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>
      <c r="A961" s="76"/>
      <c r="B961" s="76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>
      <c r="A962" s="76"/>
      <c r="B962" s="76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>
      <c r="A963" s="76"/>
      <c r="B963" s="76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>
      <c r="A964" s="76"/>
      <c r="B964" s="76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>
      <c r="A965" s="76"/>
      <c r="B965" s="76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>
      <c r="A966" s="76"/>
      <c r="B966" s="76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>
      <c r="A967" s="76"/>
      <c r="B967" s="76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>
      <c r="A968" s="76"/>
      <c r="B968" s="76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>
      <c r="A969" s="76"/>
      <c r="B969" s="76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>
      <c r="A970" s="76"/>
      <c r="B970" s="76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>
      <c r="A971" s="76"/>
      <c r="B971" s="76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>
      <c r="A972" s="76"/>
      <c r="B972" s="76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>
      <c r="A973" s="76"/>
      <c r="B973" s="76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>
      <c r="A974" s="76"/>
      <c r="B974" s="76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>
      <c r="A975" s="76"/>
      <c r="B975" s="76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>
      <c r="A976" s="76"/>
      <c r="B976" s="76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>
      <c r="A977" s="76"/>
      <c r="B977" s="76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>
      <c r="A978" s="76"/>
      <c r="B978" s="76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>
      <c r="A979" s="76"/>
      <c r="B979" s="76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>
      <c r="A980" s="76"/>
      <c r="B980" s="76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>
      <c r="A981" s="76"/>
      <c r="B981" s="76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>
      <c r="A982" s="76"/>
      <c r="B982" s="76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>
      <c r="A983" s="76"/>
      <c r="B983" s="76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>
      <c r="A984" s="76"/>
      <c r="B984" s="76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>
      <c r="A985" s="76"/>
      <c r="B985" s="76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>
      <c r="A986" s="76"/>
      <c r="B986" s="76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>
      <c r="A987" s="76"/>
      <c r="B987" s="76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>
      <c r="A988" s="76"/>
      <c r="B988" s="76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>
      <c r="A989" s="76"/>
      <c r="B989" s="76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>
      <c r="A990" s="76"/>
      <c r="B990" s="76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>
      <c r="A991" s="76"/>
      <c r="B991" s="76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>
      <c r="A992" s="76"/>
      <c r="B992" s="76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>
      <c r="A993" s="76"/>
      <c r="B993" s="76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>
      <c r="A994" s="76"/>
      <c r="B994" s="76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>
      <c r="A995" s="76"/>
      <c r="B995" s="76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>
      <c r="A996" s="76"/>
      <c r="B996" s="76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>
      <c r="A997" s="76"/>
      <c r="B997" s="76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>
      <c r="A998" s="76"/>
      <c r="B998" s="76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>
      <c r="A999" s="76"/>
      <c r="B999" s="76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>
      <c r="A1000" s="76"/>
      <c r="B1000" s="76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drawing r:id="rId1"/>
</worksheet>
</file>