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an\Documents\Projetos\Entercap\ENTERCAP-Resumo-tributario\"/>
    </mc:Choice>
  </mc:AlternateContent>
  <xr:revisionPtr revIDLastSave="0" documentId="13_ncr:1_{92F87372-151F-491D-8AA7-5BD746556A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esentação" sheetId="4" r:id="rId1"/>
    <sheet name="planejamento_tributario" sheetId="2" r:id="rId2"/>
    <sheet name="Dados" sheetId="1" r:id="rId3"/>
    <sheet name="Despesas Informad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4" l="1"/>
  <c r="G14" i="4"/>
  <c r="BT48" i="1"/>
  <c r="BT47" i="1"/>
  <c r="BT46" i="1"/>
  <c r="BT45" i="1"/>
  <c r="BT44" i="1"/>
  <c r="BT43" i="1"/>
  <c r="BT42" i="1"/>
  <c r="BT41" i="1"/>
  <c r="BT40" i="1"/>
  <c r="BT39" i="1"/>
  <c r="BT38" i="1"/>
  <c r="BT37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J5" i="1"/>
  <c r="BE5" i="1"/>
  <c r="BT5" i="1" s="1"/>
  <c r="XEY31" i="4"/>
  <c r="XEY30" i="4"/>
  <c r="XEY33" i="4"/>
  <c r="XEY32" i="4"/>
  <c r="C21" i="6"/>
  <c r="H25" i="4" l="1"/>
  <c r="F27" i="4" l="1"/>
  <c r="BV31" i="1"/>
  <c r="BW31" i="1" s="1"/>
  <c r="N26" i="4" l="1"/>
  <c r="N25" i="4"/>
  <c r="N24" i="4"/>
  <c r="N23" i="4"/>
  <c r="N22" i="4"/>
  <c r="N27" i="4" l="1"/>
  <c r="N20" i="4"/>
  <c r="F16" i="4" l="1"/>
  <c r="F19" i="4" l="1"/>
  <c r="H16" i="4"/>
  <c r="H19" i="4" s="1"/>
  <c r="H14" i="4"/>
  <c r="H15" i="4"/>
  <c r="H22" i="4"/>
  <c r="F25" i="4" l="1"/>
  <c r="H24" i="4"/>
  <c r="H23" i="4"/>
  <c r="H20" i="4"/>
  <c r="E7" i="4"/>
  <c r="B7" i="4"/>
  <c r="F20" i="4" l="1"/>
  <c r="H18" i="4"/>
  <c r="F15" i="4" l="1"/>
  <c r="XEY34" i="4" s="1"/>
  <c r="XEX42" i="4" s="1"/>
  <c r="XEX38" i="4" s="1"/>
  <c r="F21" i="4"/>
  <c r="H21" i="4"/>
  <c r="F22" i="4"/>
  <c r="F24" i="4"/>
  <c r="F23" i="4"/>
  <c r="XEY35" i="4" l="1"/>
  <c r="XEX39" i="4" s="1"/>
  <c r="XEX41" i="4" s="1"/>
  <c r="XEY36" i="4"/>
  <c r="XEY42" i="4" s="1"/>
  <c r="XEY40" i="4" s="1"/>
  <c r="XEY41" i="4" s="1"/>
  <c r="F36" i="4"/>
  <c r="G36" i="4" s="1"/>
  <c r="F41" i="4"/>
  <c r="G41" i="4" s="1"/>
  <c r="G25" i="4"/>
  <c r="G19" i="4"/>
  <c r="F18" i="4"/>
  <c r="G18" i="4" s="1"/>
  <c r="G16" i="4"/>
  <c r="G24" i="4"/>
  <c r="G23" i="4"/>
  <c r="G22" i="4"/>
  <c r="G21" i="4"/>
  <c r="G20" i="4"/>
  <c r="G15" i="4"/>
  <c r="XFB40" i="4" l="1"/>
  <c r="F38" i="4" s="1"/>
  <c r="G38" i="4" s="1"/>
  <c r="XFB41" i="4"/>
  <c r="F37" i="4" s="1"/>
  <c r="C30" i="4"/>
  <c r="G30" i="4"/>
  <c r="G27" i="4"/>
  <c r="G32" i="4" s="1"/>
  <c r="G26" i="4"/>
  <c r="L31" i="2"/>
  <c r="L32" i="2" s="1"/>
  <c r="G15" i="2"/>
  <c r="G16" i="2"/>
  <c r="G14" i="2"/>
  <c r="C45" i="2"/>
  <c r="C46" i="2"/>
  <c r="D46" i="2" s="1"/>
  <c r="C47" i="2"/>
  <c r="AS49" i="1"/>
  <c r="AS50" i="1" s="1"/>
  <c r="AT49" i="1"/>
  <c r="AT50" i="1" s="1"/>
  <c r="AU49" i="1"/>
  <c r="AU50" i="1" s="1"/>
  <c r="AV49" i="1"/>
  <c r="AV50" i="1" s="1"/>
  <c r="AW49" i="1"/>
  <c r="AW50" i="1" s="1"/>
  <c r="AX49" i="1"/>
  <c r="AX50" i="1" s="1"/>
  <c r="AY49" i="1"/>
  <c r="AY50" i="1" s="1"/>
  <c r="AZ49" i="1"/>
  <c r="AZ50" i="1" s="1"/>
  <c r="BA49" i="1"/>
  <c r="BA50" i="1" s="1"/>
  <c r="BB49" i="1"/>
  <c r="BB50" i="1" s="1"/>
  <c r="BC49" i="1"/>
  <c r="BC50" i="1" s="1"/>
  <c r="BD49" i="1"/>
  <c r="BD50" i="1" s="1"/>
  <c r="AR49" i="1"/>
  <c r="AR50" i="1" s="1"/>
  <c r="F19" i="2"/>
  <c r="G19" i="2" s="1"/>
  <c r="F20" i="2"/>
  <c r="G20" i="2" s="1"/>
  <c r="F21" i="2"/>
  <c r="G21" i="2" s="1"/>
  <c r="F22" i="2"/>
  <c r="G22" i="2" s="1"/>
  <c r="F27" i="2"/>
  <c r="G27" i="2" s="1"/>
  <c r="F28" i="2"/>
  <c r="G28" i="2" s="1"/>
  <c r="F23" i="2"/>
  <c r="G23" i="2" s="1"/>
  <c r="F18" i="2"/>
  <c r="G18" i="2" s="1"/>
  <c r="G37" i="4" l="1"/>
  <c r="G31" i="4"/>
  <c r="F31" i="4" s="1"/>
  <c r="D45" i="2"/>
  <c r="D47" i="2"/>
  <c r="C31" i="4" l="1"/>
  <c r="F39" i="4"/>
  <c r="G39" i="4" s="1"/>
  <c r="F40" i="4"/>
  <c r="G40" i="4" s="1"/>
  <c r="G29" i="2"/>
  <c r="G33" i="2" s="1"/>
  <c r="G24" i="2"/>
  <c r="G36" i="2" l="1"/>
  <c r="G34" i="2"/>
  <c r="M35" i="2" s="1"/>
  <c r="G47" i="4" l="1"/>
  <c r="F4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Alves</author>
  </authors>
  <commentList>
    <comment ref="BS31" authorId="0" shapeId="0" xr:uid="{325FE844-04DC-44D3-9D82-7066E70D72EF}">
      <text>
        <r>
          <rPr>
            <b/>
            <sz val="9"/>
            <color indexed="81"/>
            <rFont val="Segoe UI"/>
            <family val="2"/>
          </rPr>
          <t>Ronald Alves:</t>
        </r>
        <r>
          <rPr>
            <sz val="9"/>
            <color indexed="81"/>
            <rFont val="Segoe UI"/>
            <family val="2"/>
          </rPr>
          <t xml:space="preserve">
03/2024 Não lançado
</t>
        </r>
      </text>
    </comment>
    <comment ref="BS32" authorId="0" shapeId="0" xr:uid="{A7113DA9-F257-4D95-9220-0266BA3671AD}">
      <text>
        <r>
          <rPr>
            <b/>
            <sz val="9"/>
            <color indexed="81"/>
            <rFont val="Segoe UI"/>
            <family val="2"/>
          </rPr>
          <t>Ronald Alves:</t>
        </r>
        <r>
          <rPr>
            <sz val="9"/>
            <color indexed="81"/>
            <rFont val="Segoe UI"/>
            <family val="2"/>
          </rPr>
          <t xml:space="preserve">
03/2024 Não lançado
</t>
        </r>
      </text>
    </comment>
    <comment ref="A37" authorId="0" shapeId="0" xr:uid="{27D1C2E3-8190-42F8-B8B5-FA73B15CB2F5}">
      <text>
        <r>
          <rPr>
            <b/>
            <sz val="9"/>
            <color indexed="81"/>
            <rFont val="Segoe UI"/>
            <family val="2"/>
          </rPr>
          <t>Ronald Alves:</t>
        </r>
        <r>
          <rPr>
            <sz val="9"/>
            <color indexed="81"/>
            <rFont val="Segoe UI"/>
            <family val="2"/>
          </rPr>
          <t xml:space="preserve">
Sem IE (não tem movimento)
</t>
        </r>
      </text>
    </comment>
    <comment ref="A42" authorId="0" shapeId="0" xr:uid="{114885A9-75AB-47E0-92DE-606B543EC150}">
      <text>
        <r>
          <rPr>
            <b/>
            <sz val="9"/>
            <color indexed="81"/>
            <rFont val="Segoe UI"/>
            <family val="2"/>
          </rPr>
          <t>Ronald Alves:</t>
        </r>
        <r>
          <rPr>
            <sz val="9"/>
            <color indexed="81"/>
            <rFont val="Segoe UI"/>
            <family val="2"/>
          </rPr>
          <t xml:space="preserve">
Movimento à partir 01/24
</t>
        </r>
      </text>
    </comment>
    <comment ref="A43" authorId="0" shapeId="0" xr:uid="{E9402767-F075-40C0-96E1-F2209E897B3F}">
      <text>
        <r>
          <rPr>
            <b/>
            <sz val="9"/>
            <color indexed="81"/>
            <rFont val="Segoe UI"/>
            <family val="2"/>
          </rPr>
          <t>Ronald Alves:</t>
        </r>
        <r>
          <rPr>
            <sz val="9"/>
            <color indexed="81"/>
            <rFont val="Segoe UI"/>
            <family val="2"/>
          </rPr>
          <t xml:space="preserve">
Sem IE (Não tem moimentação)
</t>
        </r>
      </text>
    </comment>
    <comment ref="A48" authorId="0" shapeId="0" xr:uid="{2668609D-FB21-4E9F-9597-91839FB24CA1}">
      <text>
        <r>
          <rPr>
            <b/>
            <sz val="9"/>
            <color indexed="81"/>
            <rFont val="Segoe UI"/>
            <family val="2"/>
          </rPr>
          <t>Ronald Alves:</t>
        </r>
        <r>
          <rPr>
            <sz val="9"/>
            <color indexed="81"/>
            <rFont val="Segoe UI"/>
            <family val="2"/>
          </rPr>
          <t xml:space="preserve">
Movimento à partir 12/23
</t>
        </r>
      </text>
    </comment>
  </commentList>
</comments>
</file>

<file path=xl/sharedStrings.xml><?xml version="1.0" encoding="utf-8"?>
<sst xmlns="http://schemas.openxmlformats.org/spreadsheetml/2006/main" count="189" uniqueCount="132">
  <si>
    <t>1410 - INSS</t>
  </si>
  <si>
    <t xml:space="preserve"> 0561 - IRRF</t>
  </si>
  <si>
    <t>2172 - COFINS - CONTRIB</t>
  </si>
  <si>
    <t>8109 - PIS - FATURAMENTO</t>
  </si>
  <si>
    <t>2089 - IRPJ</t>
  </si>
  <si>
    <t>2372 - CSLL</t>
  </si>
  <si>
    <t>COMPRAS</t>
  </si>
  <si>
    <t>5629 - COFINS IMPORTAÇÃO</t>
  </si>
  <si>
    <t>1097 - IPI MAQ, APARELHOS</t>
  </si>
  <si>
    <t>VENDAS (BC SPED CONTRIBUIÇÕES)</t>
  </si>
  <si>
    <t>1038 - IPI IMPORTAÇÃO</t>
  </si>
  <si>
    <t>Folha</t>
  </si>
  <si>
    <t>ICMS</t>
  </si>
  <si>
    <t>IPI</t>
  </si>
  <si>
    <t>PIS</t>
  </si>
  <si>
    <t>COFINS</t>
  </si>
  <si>
    <t>Impostos:</t>
  </si>
  <si>
    <t>Tributação Presumido x Real</t>
  </si>
  <si>
    <t>FOLHA(MÉDIA INFORMADA VINICIUS)</t>
  </si>
  <si>
    <t>% TRIBUTOS SOBRE O FATURAMENTO</t>
  </si>
  <si>
    <t>CARGA TRIBUTÁRIA DO LUCRO PRESUMIDO SOBRE O FATURAMENTO</t>
  </si>
  <si>
    <t>COMPRAS INTERNACIONAIS x TRIBUTOS (EM RELAÇÃO AO FATURAMENTO)</t>
  </si>
  <si>
    <t>PLANEJAMENTO TRIBUTÁRIO - EMPRESA NO LUCRO REAL</t>
  </si>
  <si>
    <t>Redução da carga tributária</t>
  </si>
  <si>
    <t>(-) Compras Internacionais</t>
  </si>
  <si>
    <t>(-) Situações Reais da Empresa</t>
  </si>
  <si>
    <t>a analisar</t>
  </si>
  <si>
    <t>R$</t>
  </si>
  <si>
    <t>%</t>
  </si>
  <si>
    <t>Imposto sobre a folha</t>
  </si>
  <si>
    <t>Igual</t>
  </si>
  <si>
    <t>Diminui</t>
  </si>
  <si>
    <t>Cofins</t>
  </si>
  <si>
    <t>Empresa : Global Tecnologia Industrial LTDA</t>
  </si>
  <si>
    <t>CNPJ: 16.684.262/0001-52</t>
  </si>
  <si>
    <t>Planejamento Tributário: Oportunidades Lucro Presumido x Lucro Real</t>
  </si>
  <si>
    <t>Resumo da Carga Tributária no Lucro Real - Comparação com o Faturamento</t>
  </si>
  <si>
    <t>1124 - PARCELAMENTO</t>
  </si>
  <si>
    <t>IRPJ</t>
  </si>
  <si>
    <t>C.S.L.L.</t>
  </si>
  <si>
    <t>FATURAMENTO</t>
  </si>
  <si>
    <t>% TRIBUTOS SOBRE VENDAS</t>
  </si>
  <si>
    <t>Custo Fixo - Teórico</t>
  </si>
  <si>
    <t>Lucro - Teórico</t>
  </si>
  <si>
    <t>MARGENS DE LUCRO E CUSTO</t>
  </si>
  <si>
    <t>TOTAL CARGA TRIBUTÁRIA</t>
  </si>
  <si>
    <t>INSS</t>
  </si>
  <si>
    <t>p/mês</t>
  </si>
  <si>
    <t>DAS</t>
  </si>
  <si>
    <t>3208 - IRRF - ALUG E ROYALTIES</t>
  </si>
  <si>
    <t>5856 - COFINS NÃO-CUMULATIVA</t>
  </si>
  <si>
    <t>6912 - PIS - NÃO CUMULATIVO</t>
  </si>
  <si>
    <t>3373 - IRPS - NÃO OBRI LUC REAL</t>
  </si>
  <si>
    <t>6012 - CSLL - DEMAIS BAL TRIM</t>
  </si>
  <si>
    <t>4444 - PAGAMENTO UNIFICADO</t>
  </si>
  <si>
    <t>8408 - MULTA PIS/PASEP</t>
  </si>
  <si>
    <t>Razão Social</t>
  </si>
  <si>
    <t>CNPJ:</t>
  </si>
  <si>
    <t xml:space="preserve">CNPJ: </t>
  </si>
  <si>
    <t>Empresa:</t>
  </si>
  <si>
    <t>Qtd</t>
  </si>
  <si>
    <t>FOLHA (Total Período)</t>
  </si>
  <si>
    <t>IRPJ (não identificamos baixa, quebras, roubo)</t>
  </si>
  <si>
    <t>CSLL (não identificamos baixa, quebras, roubo)</t>
  </si>
  <si>
    <t>COFINS (aproveitar despesas, excl ICMS, baixa, quebras, roubo)</t>
  </si>
  <si>
    <t>PIS (aproveitar despesas, excl ICMS, baixa, quebras, roubo)</t>
  </si>
  <si>
    <t>IRRF</t>
  </si>
  <si>
    <t>1345 - MULTA ATRASO ENTREGA DCTF</t>
  </si>
  <si>
    <t>1734 - R D ATIVA - PARCELAMENTO</t>
  </si>
  <si>
    <t>FGTS</t>
  </si>
  <si>
    <t>COMPRAS (Matriz)</t>
  </si>
  <si>
    <t>VENDAS (Matriz)</t>
  </si>
  <si>
    <t>ICMS (Matriz)</t>
  </si>
  <si>
    <t>ICMS Saldo Credor(Matriz)</t>
  </si>
  <si>
    <t>ICMS Credor(Filial)</t>
  </si>
  <si>
    <t>CARGA TRIBUTÁRIA SOBRE O FATURAMENTO</t>
  </si>
  <si>
    <t>COFINS - CONTRIB</t>
  </si>
  <si>
    <t>PIS - FATURAMENTO</t>
  </si>
  <si>
    <t>CSLL</t>
  </si>
  <si>
    <t>INSS FOLHA</t>
  </si>
  <si>
    <t>Despesas Fixas</t>
  </si>
  <si>
    <t>Rastreadores Caminhoes</t>
  </si>
  <si>
    <t>Madeira Material de Construção</t>
  </si>
  <si>
    <t>Mecânico de caminhão</t>
  </si>
  <si>
    <t>Funcionário Diarista</t>
  </si>
  <si>
    <t>Pagamento de Terreno</t>
  </si>
  <si>
    <t>Eletrecista Loja</t>
  </si>
  <si>
    <t>Manutenção de Máquinas</t>
  </si>
  <si>
    <t>Investimentos em máquinas</t>
  </si>
  <si>
    <t>Óleo Diesel</t>
  </si>
  <si>
    <t>Folha de Pagamento</t>
  </si>
  <si>
    <t>Pro labore</t>
  </si>
  <si>
    <t>Aluguel Pavilhão Matriz</t>
  </si>
  <si>
    <t>Aluguel Pavilhão filial</t>
  </si>
  <si>
    <t>área do pai, ver valor</t>
  </si>
  <si>
    <t>FOLHA (informada cliente)</t>
  </si>
  <si>
    <t>Outras Despesas Fixas</t>
  </si>
  <si>
    <t>v</t>
  </si>
  <si>
    <t>c</t>
  </si>
  <si>
    <t>Período: 01/2023 - 02/2024</t>
  </si>
  <si>
    <t>CR</t>
  </si>
  <si>
    <t>DB</t>
  </si>
  <si>
    <t>compras</t>
  </si>
  <si>
    <t>despesas</t>
  </si>
  <si>
    <t>vendas</t>
  </si>
  <si>
    <t>ICMS COMPRA</t>
  </si>
  <si>
    <t>ICMS VENDA</t>
  </si>
  <si>
    <t>Compras</t>
  </si>
  <si>
    <t>Despesas</t>
  </si>
  <si>
    <t>Vendas</t>
  </si>
  <si>
    <t>Exclusão ICMS</t>
  </si>
  <si>
    <t>Base de Cálculo</t>
  </si>
  <si>
    <t>% ICMS Compra</t>
  </si>
  <si>
    <t>% ICMS Venda</t>
  </si>
  <si>
    <t>Bazar Total</t>
  </si>
  <si>
    <t>ICMS (Filial) 2-03 SC</t>
  </si>
  <si>
    <t>ICMS (Filial) 3-94 RS</t>
  </si>
  <si>
    <t>ICMS (Filial) 4-75 SC</t>
  </si>
  <si>
    <t>ICMS (Filial) 5-56 SC</t>
  </si>
  <si>
    <t>ICMS (Filial) 6-37 RS</t>
  </si>
  <si>
    <t>COMPRAS (Filial) 2-03 SC</t>
  </si>
  <si>
    <t>COMPRAS (Filial) 3-94 RS</t>
  </si>
  <si>
    <t>COMPRAS (Filial) 4-75 SC</t>
  </si>
  <si>
    <t>COMPRAS (Filial) 5-56 SC</t>
  </si>
  <si>
    <t>COMPRAS (Filial) 6-37 RS</t>
  </si>
  <si>
    <t>VENDAS (Filial) 2-03 SC</t>
  </si>
  <si>
    <t>VENDAS (Filial) 3-94 RS</t>
  </si>
  <si>
    <t>VENDAS (Filial) 4-75 SC</t>
  </si>
  <si>
    <t>VENDAS (filial) 5-56 SC</t>
  </si>
  <si>
    <t>VENDAS (Filial) 6-37 RS</t>
  </si>
  <si>
    <t>Resumo Tributário: Simples Nacional</t>
  </si>
  <si>
    <t>12.345.567/0001-89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</si>
</sst>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Verdana"/>
      <family val="2"/>
    </font>
    <font>
      <sz val="11"/>
      <color theme="0"/>
      <name val="Calibri"/>
      <family val="2"/>
      <scheme val="minor"/>
    </font>
    <font>
      <sz val="11"/>
      <color rgb="FF000000"/>
      <name val="Verdana"/>
      <family val="2"/>
    </font>
    <font>
      <sz val="9"/>
      <color rgb="FF000000"/>
      <name val="Tahoma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0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DEEBD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F3F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0">
    <xf numFmtId="0" fontId="0" fillId="0" borderId="0" xfId="0"/>
    <xf numFmtId="17" fontId="0" fillId="0" borderId="0" xfId="0" applyNumberFormat="1"/>
    <xf numFmtId="4" fontId="0" fillId="0" borderId="0" xfId="0" applyNumberFormat="1"/>
    <xf numFmtId="0" fontId="0" fillId="0" borderId="0" xfId="0" quotePrefix="1"/>
    <xf numFmtId="4" fontId="0" fillId="0" borderId="0" xfId="0" quotePrefix="1" applyNumberFormat="1"/>
    <xf numFmtId="43" fontId="0" fillId="0" borderId="0" xfId="1" applyFont="1"/>
    <xf numFmtId="10" fontId="0" fillId="0" borderId="0" xfId="2" applyNumberFormat="1" applyFont="1"/>
    <xf numFmtId="9" fontId="0" fillId="0" borderId="0" xfId="2" applyFont="1"/>
    <xf numFmtId="0" fontId="3" fillId="0" borderId="0" xfId="0" applyFont="1"/>
    <xf numFmtId="0" fontId="4" fillId="4" borderId="1" xfId="0" applyFont="1" applyFill="1" applyBorder="1"/>
    <xf numFmtId="4" fontId="4" fillId="4" borderId="2" xfId="0" applyNumberFormat="1" applyFont="1" applyFill="1" applyBorder="1"/>
    <xf numFmtId="10" fontId="4" fillId="4" borderId="2" xfId="2" applyNumberFormat="1" applyFont="1" applyFill="1" applyBorder="1"/>
    <xf numFmtId="0" fontId="4" fillId="4" borderId="3" xfId="0" applyFont="1" applyFill="1" applyBorder="1"/>
    <xf numFmtId="0" fontId="0" fillId="0" borderId="4" xfId="0" applyBorder="1"/>
    <xf numFmtId="10" fontId="0" fillId="0" borderId="0" xfId="2" applyNumberFormat="1" applyFont="1" applyBorder="1"/>
    <xf numFmtId="0" fontId="0" fillId="0" borderId="5" xfId="0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3" borderId="4" xfId="0" applyFont="1" applyFill="1" applyBorder="1"/>
    <xf numFmtId="4" fontId="4" fillId="3" borderId="0" xfId="0" applyNumberFormat="1" applyFont="1" applyFill="1"/>
    <xf numFmtId="10" fontId="4" fillId="3" borderId="0" xfId="2" applyNumberFormat="1" applyFont="1" applyFill="1" applyBorder="1"/>
    <xf numFmtId="0" fontId="4" fillId="3" borderId="5" xfId="0" applyFont="1" applyFill="1" applyBorder="1"/>
    <xf numFmtId="0" fontId="4" fillId="0" borderId="4" xfId="0" applyFont="1" applyBorder="1"/>
    <xf numFmtId="4" fontId="4" fillId="0" borderId="0" xfId="0" applyNumberFormat="1" applyFont="1"/>
    <xf numFmtId="10" fontId="4" fillId="0" borderId="0" xfId="2" applyNumberFormat="1" applyFont="1" applyFill="1" applyBorder="1"/>
    <xf numFmtId="0" fontId="4" fillId="0" borderId="5" xfId="0" applyFont="1" applyBorder="1"/>
    <xf numFmtId="0" fontId="4" fillId="3" borderId="6" xfId="0" applyFont="1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3" borderId="8" xfId="0" applyFill="1" applyBorder="1"/>
    <xf numFmtId="10" fontId="4" fillId="0" borderId="0" xfId="2" applyNumberFormat="1" applyFont="1" applyBorder="1" applyAlignment="1">
      <alignment horizontal="center"/>
    </xf>
    <xf numFmtId="0" fontId="4" fillId="5" borderId="4" xfId="0" applyFont="1" applyFill="1" applyBorder="1"/>
    <xf numFmtId="4" fontId="0" fillId="5" borderId="0" xfId="0" applyNumberFormat="1" applyFill="1"/>
    <xf numFmtId="10" fontId="4" fillId="5" borderId="0" xfId="2" applyNumberFormat="1" applyFont="1" applyFill="1" applyBorder="1"/>
    <xf numFmtId="0" fontId="0" fillId="5" borderId="5" xfId="0" applyFill="1" applyBorder="1"/>
    <xf numFmtId="4" fontId="4" fillId="5" borderId="0" xfId="0" applyNumberFormat="1" applyFont="1" applyFill="1"/>
    <xf numFmtId="0" fontId="4" fillId="5" borderId="5" xfId="0" applyFont="1" applyFill="1" applyBorder="1"/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0" fontId="0" fillId="0" borderId="8" xfId="0" applyBorder="1"/>
    <xf numFmtId="0" fontId="5" fillId="0" borderId="0" xfId="0" applyFont="1"/>
    <xf numFmtId="0" fontId="0" fillId="4" borderId="2" xfId="0" applyFill="1" applyBorder="1"/>
    <xf numFmtId="0" fontId="0" fillId="5" borderId="0" xfId="0" applyFill="1"/>
    <xf numFmtId="0" fontId="0" fillId="3" borderId="0" xfId="0" applyFill="1"/>
    <xf numFmtId="0" fontId="0" fillId="2" borderId="2" xfId="0" applyFill="1" applyBorder="1"/>
    <xf numFmtId="4" fontId="6" fillId="0" borderId="0" xfId="0" applyNumberFormat="1" applyFont="1"/>
    <xf numFmtId="0" fontId="0" fillId="0" borderId="4" xfId="0" quotePrefix="1" applyBorder="1"/>
    <xf numFmtId="10" fontId="4" fillId="3" borderId="7" xfId="0" applyNumberFormat="1" applyFont="1" applyFill="1" applyBorder="1"/>
    <xf numFmtId="0" fontId="4" fillId="0" borderId="0" xfId="0" applyFont="1"/>
    <xf numFmtId="0" fontId="0" fillId="0" borderId="0" xfId="0" applyAlignment="1">
      <alignment horizontal="center" vertical="center"/>
    </xf>
    <xf numFmtId="44" fontId="0" fillId="0" borderId="0" xfId="3" applyFont="1"/>
    <xf numFmtId="0" fontId="0" fillId="0" borderId="0" xfId="0" applyAlignment="1">
      <alignment horizontal="right"/>
    </xf>
    <xf numFmtId="0" fontId="4" fillId="2" borderId="0" xfId="0" applyFont="1" applyFill="1"/>
    <xf numFmtId="0" fontId="0" fillId="6" borderId="0" xfId="0" applyFill="1"/>
    <xf numFmtId="0" fontId="4" fillId="5" borderId="6" xfId="0" applyFont="1" applyFill="1" applyBorder="1"/>
    <xf numFmtId="0" fontId="0" fillId="5" borderId="7" xfId="0" applyFill="1" applyBorder="1"/>
    <xf numFmtId="10" fontId="4" fillId="5" borderId="7" xfId="2" applyNumberFormat="1" applyFont="1" applyFill="1" applyBorder="1"/>
    <xf numFmtId="0" fontId="0" fillId="5" borderId="8" xfId="0" applyFill="1" applyBorder="1"/>
    <xf numFmtId="0" fontId="0" fillId="0" borderId="0" xfId="0" applyAlignment="1">
      <alignment horizontal="center"/>
    </xf>
    <xf numFmtId="43" fontId="8" fillId="0" borderId="0" xfId="1" applyFont="1"/>
    <xf numFmtId="43" fontId="0" fillId="0" borderId="0" xfId="1" applyFont="1" applyAlignment="1">
      <alignment horizontal="center"/>
    </xf>
    <xf numFmtId="4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  <xf numFmtId="9" fontId="0" fillId="0" borderId="0" xfId="2" applyFont="1" applyAlignment="1">
      <alignment horizontal="center"/>
    </xf>
    <xf numFmtId="4" fontId="0" fillId="6" borderId="0" xfId="0" applyNumberFormat="1" applyFill="1" applyAlignment="1">
      <alignment horizontal="center"/>
    </xf>
    <xf numFmtId="43" fontId="7" fillId="0" borderId="0" xfId="1" applyFont="1" applyAlignment="1">
      <alignment horizontal="center"/>
    </xf>
    <xf numFmtId="43" fontId="8" fillId="0" borderId="0" xfId="1" applyFont="1" applyBorder="1"/>
    <xf numFmtId="0" fontId="8" fillId="0" borderId="0" xfId="0" applyFont="1"/>
    <xf numFmtId="164" fontId="0" fillId="0" borderId="0" xfId="1" applyNumberFormat="1" applyFont="1" applyAlignment="1">
      <alignment horizontal="center" vertical="center"/>
    </xf>
    <xf numFmtId="10" fontId="8" fillId="0" borderId="5" xfId="2" applyNumberFormat="1" applyFont="1" applyBorder="1"/>
    <xf numFmtId="4" fontId="4" fillId="3" borderId="0" xfId="0" applyNumberFormat="1" applyFont="1" applyFill="1" applyAlignment="1">
      <alignment horizontal="center"/>
    </xf>
    <xf numFmtId="4" fontId="4" fillId="0" borderId="0" xfId="0" applyNumberFormat="1" applyFont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" xfId="0" applyBorder="1"/>
    <xf numFmtId="4" fontId="0" fillId="0" borderId="2" xfId="0" applyNumberFormat="1" applyBorder="1"/>
    <xf numFmtId="10" fontId="0" fillId="0" borderId="2" xfId="2" applyNumberFormat="1" applyFont="1" applyBorder="1"/>
    <xf numFmtId="0" fontId="4" fillId="5" borderId="1" xfId="0" applyFont="1" applyFill="1" applyBorder="1"/>
    <xf numFmtId="0" fontId="0" fillId="5" borderId="2" xfId="0" applyFill="1" applyBorder="1"/>
    <xf numFmtId="4" fontId="4" fillId="5" borderId="2" xfId="0" applyNumberFormat="1" applyFont="1" applyFill="1" applyBorder="1"/>
    <xf numFmtId="10" fontId="4" fillId="5" borderId="2" xfId="2" applyNumberFormat="1" applyFont="1" applyFill="1" applyBorder="1"/>
    <xf numFmtId="0" fontId="4" fillId="5" borderId="3" xfId="0" applyFont="1" applyFill="1" applyBorder="1"/>
    <xf numFmtId="4" fontId="4" fillId="5" borderId="7" xfId="0" applyNumberFormat="1" applyFont="1" applyFill="1" applyBorder="1" applyAlignment="1">
      <alignment horizontal="center"/>
    </xf>
    <xf numFmtId="4" fontId="8" fillId="0" borderId="0" xfId="0" applyNumberFormat="1" applyFont="1" applyAlignment="1">
      <alignment horizontal="center"/>
    </xf>
    <xf numFmtId="4" fontId="8" fillId="0" borderId="0" xfId="1" applyNumberFormat="1" applyFont="1" applyAlignment="1">
      <alignment horizontal="center"/>
    </xf>
    <xf numFmtId="43" fontId="0" fillId="6" borderId="0" xfId="1" applyFont="1" applyFill="1"/>
    <xf numFmtId="43" fontId="0" fillId="0" borderId="0" xfId="0" applyNumberFormat="1"/>
    <xf numFmtId="9" fontId="4" fillId="0" borderId="5" xfId="0" applyNumberFormat="1" applyFont="1" applyBorder="1"/>
    <xf numFmtId="0" fontId="10" fillId="8" borderId="0" xfId="0" applyFont="1" applyFill="1" applyAlignment="1">
      <alignment horizontal="right" vertical="top" wrapText="1"/>
    </xf>
    <xf numFmtId="4" fontId="9" fillId="0" borderId="0" xfId="0" applyNumberFormat="1" applyFont="1" applyAlignment="1">
      <alignment horizontal="center"/>
    </xf>
    <xf numFmtId="4" fontId="9" fillId="7" borderId="0" xfId="0" applyNumberFormat="1" applyFont="1" applyFill="1" applyAlignment="1">
      <alignment horizontal="center" vertical="top" wrapText="1"/>
    </xf>
    <xf numFmtId="4" fontId="9" fillId="8" borderId="0" xfId="0" applyNumberFormat="1" applyFont="1" applyFill="1" applyAlignment="1">
      <alignment horizontal="center" vertical="top" wrapText="1"/>
    </xf>
    <xf numFmtId="9" fontId="0" fillId="0" borderId="5" xfId="0" applyNumberFormat="1" applyBorder="1"/>
    <xf numFmtId="4" fontId="0" fillId="0" borderId="0" xfId="1" applyNumberFormat="1" applyFont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3" fontId="0" fillId="0" borderId="15" xfId="1" applyFont="1" applyBorder="1"/>
    <xf numFmtId="43" fontId="0" fillId="0" borderId="16" xfId="1" applyFont="1" applyBorder="1"/>
    <xf numFmtId="43" fontId="0" fillId="0" borderId="13" xfId="0" applyNumberFormat="1" applyBorder="1"/>
    <xf numFmtId="0" fontId="11" fillId="0" borderId="12" xfId="0" applyFont="1" applyBorder="1"/>
    <xf numFmtId="43" fontId="11" fillId="0" borderId="0" xfId="0" applyNumberFormat="1" applyFont="1"/>
    <xf numFmtId="43" fontId="11" fillId="0" borderId="13" xfId="0" applyNumberFormat="1" applyFont="1" applyBorder="1"/>
    <xf numFmtId="0" fontId="4" fillId="9" borderId="0" xfId="0" applyFont="1" applyFill="1"/>
    <xf numFmtId="43" fontId="4" fillId="9" borderId="0" xfId="0" applyNumberFormat="1" applyFont="1" applyFill="1"/>
    <xf numFmtId="0" fontId="11" fillId="0" borderId="0" xfId="0" quotePrefix="1" applyFont="1"/>
    <xf numFmtId="4" fontId="11" fillId="0" borderId="0" xfId="0" quotePrefix="1" applyNumberFormat="1" applyFont="1"/>
    <xf numFmtId="4" fontId="11" fillId="0" borderId="0" xfId="0" applyNumberFormat="1" applyFont="1"/>
    <xf numFmtId="4" fontId="12" fillId="0" borderId="0" xfId="0" applyNumberFormat="1" applyFont="1" applyAlignment="1">
      <alignment horizontal="center"/>
    </xf>
    <xf numFmtId="0" fontId="0" fillId="10" borderId="0" xfId="0" applyFill="1"/>
    <xf numFmtId="4" fontId="13" fillId="0" borderId="0" xfId="0" applyNumberFormat="1" applyFont="1"/>
    <xf numFmtId="4" fontId="14" fillId="0" borderId="0" xfId="0" applyNumberFormat="1" applyFont="1" applyAlignment="1">
      <alignment horizontal="center"/>
    </xf>
    <xf numFmtId="4" fontId="13" fillId="8" borderId="0" xfId="0" applyNumberFormat="1" applyFont="1" applyFill="1" applyAlignment="1">
      <alignment horizontal="right" vertical="top" wrapText="1"/>
    </xf>
    <xf numFmtId="4" fontId="13" fillId="7" borderId="0" xfId="0" applyNumberFormat="1" applyFont="1" applyFill="1" applyAlignment="1">
      <alignment horizontal="right" vertical="top" wrapText="1"/>
    </xf>
    <xf numFmtId="4" fontId="17" fillId="0" borderId="0" xfId="0" applyNumberFormat="1" applyFont="1"/>
    <xf numFmtId="4" fontId="17" fillId="11" borderId="1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65</xdr:row>
      <xdr:rowOff>158750</xdr:rowOff>
    </xdr:from>
    <xdr:to>
      <xdr:col>2</xdr:col>
      <xdr:colOff>482600</xdr:colOff>
      <xdr:row>67</xdr:row>
      <xdr:rowOff>19050</xdr:rowOff>
    </xdr:to>
    <xdr:sp macro="" textlink="">
      <xdr:nvSpPr>
        <xdr:cNvPr id="2" name="Igual a 1">
          <a:extLst>
            <a:ext uri="{FF2B5EF4-FFF2-40B4-BE49-F238E27FC236}">
              <a16:creationId xmlns:a16="http://schemas.microsoft.com/office/drawing/2014/main" id="{F0D106B3-58B7-4FA4-9E17-20E9DA29E414}"/>
            </a:ext>
          </a:extLst>
        </xdr:cNvPr>
        <xdr:cNvSpPr/>
      </xdr:nvSpPr>
      <xdr:spPr>
        <a:xfrm>
          <a:off x="3105150" y="10013950"/>
          <a:ext cx="260350" cy="26035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228600</xdr:colOff>
      <xdr:row>67</xdr:row>
      <xdr:rowOff>0</xdr:rowOff>
    </xdr:from>
    <xdr:to>
      <xdr:col>2</xdr:col>
      <xdr:colOff>488950</xdr:colOff>
      <xdr:row>68</xdr:row>
      <xdr:rowOff>44450</xdr:rowOff>
    </xdr:to>
    <xdr:sp macro="" textlink="">
      <xdr:nvSpPr>
        <xdr:cNvPr id="3" name="Igual a 2">
          <a:extLst>
            <a:ext uri="{FF2B5EF4-FFF2-40B4-BE49-F238E27FC236}">
              <a16:creationId xmlns:a16="http://schemas.microsoft.com/office/drawing/2014/main" id="{C8DFA0F1-8DD6-4CE5-B4E2-3379810577E8}"/>
            </a:ext>
          </a:extLst>
        </xdr:cNvPr>
        <xdr:cNvSpPr/>
      </xdr:nvSpPr>
      <xdr:spPr>
        <a:xfrm>
          <a:off x="3111500" y="10255250"/>
          <a:ext cx="260350" cy="26670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260350</xdr:colOff>
      <xdr:row>68</xdr:row>
      <xdr:rowOff>31750</xdr:rowOff>
    </xdr:from>
    <xdr:to>
      <xdr:col>2</xdr:col>
      <xdr:colOff>400050</xdr:colOff>
      <xdr:row>68</xdr:row>
      <xdr:rowOff>165100</xdr:rowOff>
    </xdr:to>
    <xdr:sp macro="" textlink="">
      <xdr:nvSpPr>
        <xdr:cNvPr id="4" name="Seta: para Cima 3">
          <a:extLst>
            <a:ext uri="{FF2B5EF4-FFF2-40B4-BE49-F238E27FC236}">
              <a16:creationId xmlns:a16="http://schemas.microsoft.com/office/drawing/2014/main" id="{EDDA59C8-0FCB-4BCC-8123-CC934C09623B}"/>
            </a:ext>
          </a:extLst>
        </xdr:cNvPr>
        <xdr:cNvSpPr/>
      </xdr:nvSpPr>
      <xdr:spPr>
        <a:xfrm>
          <a:off x="3143250" y="105092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266700</xdr:colOff>
      <xdr:row>69</xdr:row>
      <xdr:rowOff>31750</xdr:rowOff>
    </xdr:from>
    <xdr:to>
      <xdr:col>2</xdr:col>
      <xdr:colOff>406400</xdr:colOff>
      <xdr:row>69</xdr:row>
      <xdr:rowOff>165100</xdr:rowOff>
    </xdr:to>
    <xdr:sp macro="" textlink="">
      <xdr:nvSpPr>
        <xdr:cNvPr id="5" name="Seta: para Cima 4">
          <a:extLst>
            <a:ext uri="{FF2B5EF4-FFF2-40B4-BE49-F238E27FC236}">
              <a16:creationId xmlns:a16="http://schemas.microsoft.com/office/drawing/2014/main" id="{C3F49B1F-B15F-49AE-A922-6A244355A03F}"/>
            </a:ext>
          </a:extLst>
        </xdr:cNvPr>
        <xdr:cNvSpPr/>
      </xdr:nvSpPr>
      <xdr:spPr>
        <a:xfrm>
          <a:off x="3149600" y="107886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260350</xdr:colOff>
      <xdr:row>70</xdr:row>
      <xdr:rowOff>38100</xdr:rowOff>
    </xdr:from>
    <xdr:to>
      <xdr:col>2</xdr:col>
      <xdr:colOff>400050</xdr:colOff>
      <xdr:row>70</xdr:row>
      <xdr:rowOff>171450</xdr:rowOff>
    </xdr:to>
    <xdr:sp macro="" textlink="">
      <xdr:nvSpPr>
        <xdr:cNvPr id="6" name="Seta: para Cima 5">
          <a:extLst>
            <a:ext uri="{FF2B5EF4-FFF2-40B4-BE49-F238E27FC236}">
              <a16:creationId xmlns:a16="http://schemas.microsoft.com/office/drawing/2014/main" id="{2A881AE1-7498-44F8-9196-F8EDB238DD04}"/>
            </a:ext>
          </a:extLst>
        </xdr:cNvPr>
        <xdr:cNvSpPr/>
      </xdr:nvSpPr>
      <xdr:spPr>
        <a:xfrm>
          <a:off x="3143250" y="1106170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108405</xdr:colOff>
      <xdr:row>5</xdr:row>
      <xdr:rowOff>59690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FA15B71-EEB8-45F8-A8B3-F2D5EE382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65429" cy="9479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53</xdr:row>
      <xdr:rowOff>158750</xdr:rowOff>
    </xdr:from>
    <xdr:to>
      <xdr:col>2</xdr:col>
      <xdr:colOff>482600</xdr:colOff>
      <xdr:row>55</xdr:row>
      <xdr:rowOff>19050</xdr:rowOff>
    </xdr:to>
    <xdr:sp macro="" textlink="">
      <xdr:nvSpPr>
        <xdr:cNvPr id="2" name="Igual a 1">
          <a:extLst>
            <a:ext uri="{FF2B5EF4-FFF2-40B4-BE49-F238E27FC236}">
              <a16:creationId xmlns:a16="http://schemas.microsoft.com/office/drawing/2014/main" id="{4E6F32FE-4F76-1F92-A53B-2B787E27C94B}"/>
            </a:ext>
          </a:extLst>
        </xdr:cNvPr>
        <xdr:cNvSpPr/>
      </xdr:nvSpPr>
      <xdr:spPr>
        <a:xfrm>
          <a:off x="9290050" y="1816100"/>
          <a:ext cx="260350" cy="22860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228600</xdr:colOff>
      <xdr:row>55</xdr:row>
      <xdr:rowOff>0</xdr:rowOff>
    </xdr:from>
    <xdr:to>
      <xdr:col>2</xdr:col>
      <xdr:colOff>488950</xdr:colOff>
      <xdr:row>56</xdr:row>
      <xdr:rowOff>44450</xdr:rowOff>
    </xdr:to>
    <xdr:sp macro="" textlink="">
      <xdr:nvSpPr>
        <xdr:cNvPr id="3" name="Igual a 2">
          <a:extLst>
            <a:ext uri="{FF2B5EF4-FFF2-40B4-BE49-F238E27FC236}">
              <a16:creationId xmlns:a16="http://schemas.microsoft.com/office/drawing/2014/main" id="{77010C24-44D0-468B-953E-F11EAEFAD21D}"/>
            </a:ext>
          </a:extLst>
        </xdr:cNvPr>
        <xdr:cNvSpPr/>
      </xdr:nvSpPr>
      <xdr:spPr>
        <a:xfrm>
          <a:off x="9296400" y="2025650"/>
          <a:ext cx="260350" cy="22860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260350</xdr:colOff>
      <xdr:row>56</xdr:row>
      <xdr:rowOff>31750</xdr:rowOff>
    </xdr:from>
    <xdr:to>
      <xdr:col>2</xdr:col>
      <xdr:colOff>400050</xdr:colOff>
      <xdr:row>56</xdr:row>
      <xdr:rowOff>165100</xdr:rowOff>
    </xdr:to>
    <xdr:sp macro="" textlink="">
      <xdr:nvSpPr>
        <xdr:cNvPr id="4" name="Seta: para Cima 3">
          <a:extLst>
            <a:ext uri="{FF2B5EF4-FFF2-40B4-BE49-F238E27FC236}">
              <a16:creationId xmlns:a16="http://schemas.microsoft.com/office/drawing/2014/main" id="{53D315D7-FAE9-14CA-AC12-CED487FC727A}"/>
            </a:ext>
          </a:extLst>
        </xdr:cNvPr>
        <xdr:cNvSpPr/>
      </xdr:nvSpPr>
      <xdr:spPr>
        <a:xfrm>
          <a:off x="9328150" y="22415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266700</xdr:colOff>
      <xdr:row>57</xdr:row>
      <xdr:rowOff>31750</xdr:rowOff>
    </xdr:from>
    <xdr:to>
      <xdr:col>2</xdr:col>
      <xdr:colOff>406400</xdr:colOff>
      <xdr:row>57</xdr:row>
      <xdr:rowOff>165100</xdr:rowOff>
    </xdr:to>
    <xdr:sp macro="" textlink="">
      <xdr:nvSpPr>
        <xdr:cNvPr id="5" name="Seta: para Cima 4">
          <a:extLst>
            <a:ext uri="{FF2B5EF4-FFF2-40B4-BE49-F238E27FC236}">
              <a16:creationId xmlns:a16="http://schemas.microsoft.com/office/drawing/2014/main" id="{5ABBC4A8-F4AC-43BF-A609-F1807B96C8C3}"/>
            </a:ext>
          </a:extLst>
        </xdr:cNvPr>
        <xdr:cNvSpPr/>
      </xdr:nvSpPr>
      <xdr:spPr>
        <a:xfrm>
          <a:off x="9334500" y="242570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260350</xdr:colOff>
      <xdr:row>58</xdr:row>
      <xdr:rowOff>38100</xdr:rowOff>
    </xdr:from>
    <xdr:to>
      <xdr:col>2</xdr:col>
      <xdr:colOff>400050</xdr:colOff>
      <xdr:row>58</xdr:row>
      <xdr:rowOff>171450</xdr:rowOff>
    </xdr:to>
    <xdr:sp macro="" textlink="">
      <xdr:nvSpPr>
        <xdr:cNvPr id="6" name="Seta: para Cima 5">
          <a:extLst>
            <a:ext uri="{FF2B5EF4-FFF2-40B4-BE49-F238E27FC236}">
              <a16:creationId xmlns:a16="http://schemas.microsoft.com/office/drawing/2014/main" id="{14934EAA-7653-422E-981B-EE8838AB13A9}"/>
            </a:ext>
          </a:extLst>
        </xdr:cNvPr>
        <xdr:cNvSpPr/>
      </xdr:nvSpPr>
      <xdr:spPr>
        <a:xfrm>
          <a:off x="9328150" y="261620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273685</xdr:colOff>
      <xdr:row>5</xdr:row>
      <xdr:rowOff>63500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28F828B-77B9-7C55-1C79-C527ABD4D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6981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7:XFB71"/>
  <sheetViews>
    <sheetView tabSelected="1" topLeftCell="B1" zoomScale="80" zoomScaleNormal="80" workbookViewId="0">
      <selection activeCell="G37" sqref="G37"/>
    </sheetView>
  </sheetViews>
  <sheetFormatPr defaultRowHeight="15" x14ac:dyDescent="0.25"/>
  <cols>
    <col min="2" max="2" width="84.42578125" customWidth="1"/>
    <col min="3" max="3" width="16" customWidth="1"/>
    <col min="4" max="4" width="8.5703125" customWidth="1"/>
    <col min="5" max="5" width="11.42578125" customWidth="1"/>
    <col min="6" max="6" width="16.5703125" bestFit="1" customWidth="1"/>
    <col min="7" max="7" width="13.5703125" bestFit="1" customWidth="1"/>
    <col min="9" max="9" width="8.85546875" style="54"/>
    <col min="10" max="10" width="15.5703125" bestFit="1" customWidth="1"/>
    <col min="11" max="11" width="8.7109375" style="76"/>
    <col min="12" max="12" width="11.85546875" bestFit="1" customWidth="1"/>
    <col min="13" max="13" width="2.85546875" style="76" bestFit="1" customWidth="1"/>
    <col min="14" max="14" width="11.140625" style="76" bestFit="1" customWidth="1"/>
    <col min="15" max="15" width="13.7109375" bestFit="1" customWidth="1"/>
    <col min="16377" max="16377" width="17.5703125" bestFit="1" customWidth="1"/>
    <col min="16378" max="16379" width="16.140625" bestFit="1" customWidth="1"/>
    <col min="16382" max="16382" width="10.5703125" bestFit="1" customWidth="1"/>
  </cols>
  <sheetData>
    <row r="7" spans="1:10" x14ac:dyDescent="0.25">
      <c r="A7" s="56" t="s">
        <v>59</v>
      </c>
      <c r="B7" s="53" t="str">
        <f>Dados!A3</f>
        <v>Bazar Total</v>
      </c>
      <c r="D7" s="56" t="s">
        <v>58</v>
      </c>
      <c r="E7" t="str">
        <f>Dados!A4</f>
        <v>12.345.567/0001-89</v>
      </c>
      <c r="H7" s="3"/>
    </row>
    <row r="10" spans="1:10" ht="21" x14ac:dyDescent="0.35">
      <c r="B10" s="45" t="s">
        <v>130</v>
      </c>
      <c r="C10" t="s">
        <v>99</v>
      </c>
    </row>
    <row r="11" spans="1:10" ht="15.75" thickBot="1" x14ac:dyDescent="0.3"/>
    <row r="12" spans="1:10" x14ac:dyDescent="0.25">
      <c r="B12" s="16" t="s">
        <v>75</v>
      </c>
      <c r="C12" s="49"/>
      <c r="D12" s="49"/>
      <c r="E12" s="49"/>
      <c r="F12" s="17"/>
      <c r="G12" s="17"/>
      <c r="H12" s="18"/>
    </row>
    <row r="13" spans="1:10" x14ac:dyDescent="0.25">
      <c r="B13" s="19"/>
      <c r="F13" s="20" t="s">
        <v>27</v>
      </c>
      <c r="G13" s="20" t="s">
        <v>28</v>
      </c>
      <c r="H13" s="21" t="s">
        <v>60</v>
      </c>
    </row>
    <row r="14" spans="1:10" x14ac:dyDescent="0.25">
      <c r="B14" s="13" t="s">
        <v>40</v>
      </c>
      <c r="F14" s="66">
        <v>1000</v>
      </c>
      <c r="G14" s="14">
        <f>F14/$F$14</f>
        <v>1</v>
      </c>
      <c r="H14" s="21" t="e">
        <f>#REF!</f>
        <v>#REF!</v>
      </c>
      <c r="J14" s="55"/>
    </row>
    <row r="15" spans="1:10" x14ac:dyDescent="0.25">
      <c r="B15" s="13" t="s">
        <v>6</v>
      </c>
      <c r="F15" s="66" t="e">
        <f>#REF!</f>
        <v>#REF!</v>
      </c>
      <c r="G15" s="14" t="e">
        <f>F15/$F$14</f>
        <v>#REF!</v>
      </c>
      <c r="H15" s="21" t="e">
        <f>#REF!</f>
        <v>#REF!</v>
      </c>
      <c r="J15" s="55"/>
    </row>
    <row r="16" spans="1:10" x14ac:dyDescent="0.25">
      <c r="B16" s="13" t="s">
        <v>61</v>
      </c>
      <c r="F16" s="66" t="e">
        <f>#REF!</f>
        <v>#REF!</v>
      </c>
      <c r="G16" s="14" t="e">
        <f>F16/$F$14</f>
        <v>#REF!</v>
      </c>
      <c r="H16" s="21" t="e">
        <f>#REF!</f>
        <v>#REF!</v>
      </c>
    </row>
    <row r="17" spans="2:15 16378:16379" x14ac:dyDescent="0.25">
      <c r="B17" s="13"/>
      <c r="F17" s="63"/>
      <c r="G17" s="14"/>
      <c r="H17" s="15"/>
    </row>
    <row r="18" spans="2:15 16378:16379" x14ac:dyDescent="0.25">
      <c r="B18" s="13" t="s">
        <v>46</v>
      </c>
      <c r="F18" s="66" t="e">
        <f>#REF!</f>
        <v>#REF!</v>
      </c>
      <c r="G18" s="14" t="e">
        <f t="shared" ref="G18:G25" si="0">F18/$F$14</f>
        <v>#REF!</v>
      </c>
      <c r="H18" s="21" t="e">
        <f>#REF!</f>
        <v>#REF!</v>
      </c>
      <c r="O18" s="64">
        <v>53000000</v>
      </c>
    </row>
    <row r="19" spans="2:15 16378:16379" x14ac:dyDescent="0.25">
      <c r="B19" s="13" t="s">
        <v>69</v>
      </c>
      <c r="F19" s="66" t="e">
        <f>0.08*F16</f>
        <v>#REF!</v>
      </c>
      <c r="G19" s="14" t="e">
        <f t="shared" si="0"/>
        <v>#REF!</v>
      </c>
      <c r="H19" s="21" t="e">
        <f>H16</f>
        <v>#REF!</v>
      </c>
      <c r="J19" s="5"/>
    </row>
    <row r="20" spans="2:15 16378:16379" x14ac:dyDescent="0.25">
      <c r="B20" s="13" t="s">
        <v>76</v>
      </c>
      <c r="F20" s="66" t="e">
        <f>#REF!</f>
        <v>#REF!</v>
      </c>
      <c r="G20" s="14" t="e">
        <f t="shared" si="0"/>
        <v>#REF!</v>
      </c>
      <c r="H20" s="21" t="e">
        <f>#REF!</f>
        <v>#REF!</v>
      </c>
      <c r="K20" s="91"/>
      <c r="L20" s="66"/>
      <c r="M20" s="91"/>
      <c r="N20" s="91">
        <f>0.0081*O18</f>
        <v>429300</v>
      </c>
    </row>
    <row r="21" spans="2:15 16378:16379" x14ac:dyDescent="0.25">
      <c r="B21" s="13" t="s">
        <v>77</v>
      </c>
      <c r="F21" s="66" t="e">
        <f>#REF!</f>
        <v>#REF!</v>
      </c>
      <c r="G21" s="14" t="e">
        <f t="shared" si="0"/>
        <v>#REF!</v>
      </c>
      <c r="H21" s="21" t="e">
        <f>#REF!</f>
        <v>#REF!</v>
      </c>
      <c r="K21" s="91"/>
      <c r="L21" s="66"/>
      <c r="M21" s="91"/>
      <c r="N21" s="91"/>
    </row>
    <row r="22" spans="2:15 16378:16379" x14ac:dyDescent="0.25">
      <c r="B22" s="51" t="s">
        <v>66</v>
      </c>
      <c r="F22" s="66" t="e">
        <f>#REF!</f>
        <v>#REF!</v>
      </c>
      <c r="G22" s="14" t="e">
        <f t="shared" si="0"/>
        <v>#REF!</v>
      </c>
      <c r="H22" s="21" t="e">
        <f>#REF!</f>
        <v>#REF!</v>
      </c>
      <c r="K22" s="91"/>
      <c r="L22" s="101"/>
      <c r="M22" s="91"/>
      <c r="N22" s="92">
        <f>+K22*30*L22</f>
        <v>0</v>
      </c>
    </row>
    <row r="23" spans="2:15 16378:16379" x14ac:dyDescent="0.25">
      <c r="B23" s="13" t="s">
        <v>38</v>
      </c>
      <c r="F23" s="66" t="e">
        <f>#REF!</f>
        <v>#REF!</v>
      </c>
      <c r="G23" s="14" t="e">
        <f t="shared" si="0"/>
        <v>#REF!</v>
      </c>
      <c r="H23" s="21" t="e">
        <f>#REF!</f>
        <v>#REF!</v>
      </c>
      <c r="K23" s="91"/>
      <c r="L23" s="101"/>
      <c r="M23" s="91"/>
      <c r="N23" s="92">
        <f t="shared" ref="N23:N25" si="1">+K23*30*L23</f>
        <v>0</v>
      </c>
    </row>
    <row r="24" spans="2:15 16378:16379" x14ac:dyDescent="0.25">
      <c r="B24" s="13" t="s">
        <v>78</v>
      </c>
      <c r="F24" s="66" t="e">
        <f>#REF!</f>
        <v>#REF!</v>
      </c>
      <c r="G24" s="14" t="e">
        <f t="shared" si="0"/>
        <v>#REF!</v>
      </c>
      <c r="H24" s="21" t="e">
        <f>#REF!</f>
        <v>#REF!</v>
      </c>
      <c r="J24" s="2"/>
      <c r="K24" s="91"/>
      <c r="L24" s="101"/>
      <c r="M24" s="91"/>
      <c r="N24" s="92">
        <f t="shared" si="1"/>
        <v>0</v>
      </c>
    </row>
    <row r="25" spans="2:15 16378:16379" x14ac:dyDescent="0.25">
      <c r="B25" s="13" t="s">
        <v>48</v>
      </c>
      <c r="F25" s="66" t="e">
        <f>#REF!</f>
        <v>#REF!</v>
      </c>
      <c r="G25" s="14" t="e">
        <f t="shared" si="0"/>
        <v>#REF!</v>
      </c>
      <c r="H25" s="21" t="e">
        <f>#REF!</f>
        <v>#REF!</v>
      </c>
      <c r="J25" s="2"/>
      <c r="K25" s="91"/>
      <c r="L25" s="101"/>
      <c r="M25" s="91"/>
      <c r="N25" s="92">
        <f t="shared" si="1"/>
        <v>0</v>
      </c>
    </row>
    <row r="26" spans="2:15 16378:16379" x14ac:dyDescent="0.25">
      <c r="B26" s="22" t="s">
        <v>41</v>
      </c>
      <c r="C26" s="48"/>
      <c r="D26" s="48"/>
      <c r="E26" s="48"/>
      <c r="F26" s="79"/>
      <c r="G26" s="24" t="e">
        <f>SUM(G20:G25)</f>
        <v>#REF!</v>
      </c>
      <c r="H26" s="25"/>
      <c r="K26" s="91"/>
      <c r="L26" s="66"/>
      <c r="M26" s="91"/>
      <c r="N26" s="91">
        <f>+K26*L26</f>
        <v>0</v>
      </c>
    </row>
    <row r="27" spans="2:15 16378:16379" x14ac:dyDescent="0.25">
      <c r="B27" s="26" t="s">
        <v>12</v>
      </c>
      <c r="F27" s="66" t="e">
        <f>#REF!</f>
        <v>#REF!</v>
      </c>
      <c r="G27" s="28" t="e">
        <f>F27/F14</f>
        <v>#REF!</v>
      </c>
      <c r="H27" s="95">
        <v>0.17</v>
      </c>
      <c r="J27" s="5"/>
      <c r="K27" s="91"/>
      <c r="L27" s="66"/>
      <c r="M27" s="91"/>
      <c r="N27" s="91">
        <f>SUM(N22:N26)</f>
        <v>0</v>
      </c>
    </row>
    <row r="28" spans="2:15 16378:16379" x14ac:dyDescent="0.25">
      <c r="B28" s="26"/>
      <c r="F28" s="80"/>
      <c r="G28" s="28"/>
      <c r="H28" s="29"/>
    </row>
    <row r="29" spans="2:15 16378:16379" x14ac:dyDescent="0.25">
      <c r="B29" s="22" t="s">
        <v>44</v>
      </c>
      <c r="C29" s="48"/>
      <c r="D29" s="48"/>
      <c r="E29" s="48"/>
      <c r="F29" s="79"/>
      <c r="G29" s="24"/>
      <c r="H29" s="25"/>
    </row>
    <row r="30" spans="2:15 16378:16379" x14ac:dyDescent="0.25">
      <c r="B30" s="13" t="s">
        <v>42</v>
      </c>
      <c r="C30" s="75">
        <f>F30/16</f>
        <v>25</v>
      </c>
      <c r="D30" s="76" t="s">
        <v>47</v>
      </c>
      <c r="F30" s="66">
        <f>H30*F14</f>
        <v>400</v>
      </c>
      <c r="G30" s="14">
        <f>F30/F14</f>
        <v>0.4</v>
      </c>
      <c r="H30" s="100">
        <v>0.4</v>
      </c>
      <c r="XEX30" t="s">
        <v>105</v>
      </c>
      <c r="XEY30" s="102">
        <f>C43</f>
        <v>0.12</v>
      </c>
    </row>
    <row r="31" spans="2:15 16378:16379" x14ac:dyDescent="0.25">
      <c r="B31" s="13" t="s">
        <v>43</v>
      </c>
      <c r="C31" s="75" t="e">
        <f>F31/16</f>
        <v>#REF!</v>
      </c>
      <c r="D31" s="76" t="s">
        <v>47</v>
      </c>
      <c r="F31" s="66" t="e">
        <f>G31*F14</f>
        <v>#REF!</v>
      </c>
      <c r="G31" s="14" t="e">
        <f>(100%-G15-G16-G18-G20-G21-G22-G23-G24-G27-G30)</f>
        <v>#REF!</v>
      </c>
      <c r="H31" s="15"/>
      <c r="XEX31" t="s">
        <v>106</v>
      </c>
      <c r="XEY31" s="102">
        <f>C44</f>
        <v>0.12</v>
      </c>
    </row>
    <row r="32" spans="2:15 16378:16379" ht="15.75" thickBot="1" x14ac:dyDescent="0.3">
      <c r="B32" s="30" t="s">
        <v>45</v>
      </c>
      <c r="C32" s="31"/>
      <c r="D32" s="31"/>
      <c r="E32" s="31"/>
      <c r="F32" s="81"/>
      <c r="G32" s="52" t="e">
        <f>SUM(G18:G25)+G27</f>
        <v>#REF!</v>
      </c>
      <c r="H32" s="33"/>
      <c r="XEX32" t="s">
        <v>14</v>
      </c>
      <c r="XEY32" s="103">
        <f>H38</f>
        <v>1.6500000000000001E-2</v>
      </c>
    </row>
    <row r="33" spans="2:16 16377:16382" ht="15.75" thickBot="1" x14ac:dyDescent="0.3">
      <c r="F33" s="2"/>
      <c r="G33" s="6"/>
      <c r="XEX33" t="s">
        <v>15</v>
      </c>
      <c r="XEY33" s="103">
        <f>H37</f>
        <v>7.5999999999999998E-2</v>
      </c>
    </row>
    <row r="34" spans="2:16 16377:16382" x14ac:dyDescent="0.25">
      <c r="B34" s="9" t="s">
        <v>22</v>
      </c>
      <c r="C34" s="46"/>
      <c r="D34" s="46"/>
      <c r="E34" s="46"/>
      <c r="F34" s="10"/>
      <c r="G34" s="11"/>
      <c r="H34" s="12"/>
      <c r="XEX34" t="s">
        <v>102</v>
      </c>
      <c r="XEY34" s="2" t="e">
        <f>F15</f>
        <v>#REF!</v>
      </c>
    </row>
    <row r="35" spans="2:16 16377:16382" x14ac:dyDescent="0.25">
      <c r="B35" s="13"/>
      <c r="F35" s="2"/>
      <c r="G35" s="34" t="s">
        <v>28</v>
      </c>
      <c r="H35" s="15"/>
      <c r="XEX35" t="s">
        <v>103</v>
      </c>
      <c r="XEY35" s="2">
        <f>F30</f>
        <v>400</v>
      </c>
    </row>
    <row r="36" spans="2:16 16377:16382" x14ac:dyDescent="0.25">
      <c r="B36" s="13" t="s">
        <v>46</v>
      </c>
      <c r="F36" s="66">
        <f>F14*H36</f>
        <v>16.179207781519359</v>
      </c>
      <c r="G36" s="14">
        <f>F36/F14</f>
        <v>1.6179207781519361E-2</v>
      </c>
      <c r="H36" s="78">
        <v>1.6179207781519361E-2</v>
      </c>
      <c r="L36" s="63"/>
      <c r="XEX36" t="s">
        <v>104</v>
      </c>
      <c r="XEY36" s="2">
        <f>F14</f>
        <v>1000</v>
      </c>
    </row>
    <row r="37" spans="2:16 16377:16382" x14ac:dyDescent="0.25">
      <c r="B37" s="13" t="s">
        <v>64</v>
      </c>
      <c r="F37" s="66" t="e">
        <f>XFB41</f>
        <v>#REF!</v>
      </c>
      <c r="G37" s="14" t="e">
        <f>F37/$F$14</f>
        <v>#REF!</v>
      </c>
      <c r="H37" s="78">
        <v>7.5999999999999998E-2</v>
      </c>
      <c r="L37" s="5"/>
      <c r="P37" s="13" t="s">
        <v>64</v>
      </c>
      <c r="XEW37" s="104"/>
      <c r="XEX37" s="105" t="s">
        <v>100</v>
      </c>
      <c r="XEY37" s="106" t="s">
        <v>101</v>
      </c>
    </row>
    <row r="38" spans="2:16 16377:16382" x14ac:dyDescent="0.25">
      <c r="B38" s="13" t="s">
        <v>65</v>
      </c>
      <c r="F38" s="66" t="e">
        <f>XFB40</f>
        <v>#REF!</v>
      </c>
      <c r="G38" s="14" t="e">
        <f t="shared" ref="G38:G41" si="2">F38/$F$14</f>
        <v>#REF!</v>
      </c>
      <c r="H38" s="78">
        <v>1.6500000000000001E-2</v>
      </c>
      <c r="P38" s="13" t="s">
        <v>65</v>
      </c>
      <c r="XEW38" s="107" t="s">
        <v>107</v>
      </c>
      <c r="XEX38" s="94" t="e">
        <f>(XEY34-XEX42)</f>
        <v>#REF!</v>
      </c>
      <c r="XEY38" s="108"/>
    </row>
    <row r="39" spans="2:16 16377:16382" x14ac:dyDescent="0.25">
      <c r="B39" s="13" t="s">
        <v>62</v>
      </c>
      <c r="F39" s="66" t="e">
        <f>IF(F31&gt;0,F31*H39,0)</f>
        <v>#REF!</v>
      </c>
      <c r="G39" s="14" t="e">
        <f t="shared" si="2"/>
        <v>#REF!</v>
      </c>
      <c r="H39" s="78">
        <v>0.15</v>
      </c>
      <c r="P39" s="13" t="s">
        <v>62</v>
      </c>
      <c r="XEW39" s="107" t="s">
        <v>108</v>
      </c>
      <c r="XEX39" s="2">
        <f>XEY35</f>
        <v>400</v>
      </c>
      <c r="XEY39" s="108"/>
    </row>
    <row r="40" spans="2:16 16377:16382" x14ac:dyDescent="0.25">
      <c r="B40" s="13" t="s">
        <v>63</v>
      </c>
      <c r="F40" s="66" t="e">
        <f>IF(F31&gt;0,F31*H40,0)</f>
        <v>#REF!</v>
      </c>
      <c r="G40" s="14" t="e">
        <f t="shared" si="2"/>
        <v>#REF!</v>
      </c>
      <c r="H40" s="78">
        <v>0.09</v>
      </c>
      <c r="P40" s="13" t="s">
        <v>63</v>
      </c>
      <c r="XEW40" s="107" t="s">
        <v>109</v>
      </c>
      <c r="XEY40" s="112">
        <f>(XEY36-XEY42)</f>
        <v>880</v>
      </c>
      <c r="XFA40" s="116" t="s">
        <v>14</v>
      </c>
      <c r="XFB40" s="117" t="e">
        <f>(XEY41*XEY32)-(XEX41*XEY32)</f>
        <v>#REF!</v>
      </c>
    </row>
    <row r="41" spans="2:16 16377:16382" ht="18.75" x14ac:dyDescent="0.3">
      <c r="B41" s="13" t="s">
        <v>12</v>
      </c>
      <c r="F41" s="66" t="e">
        <f>+(H41*F14)-(F15*12%)</f>
        <v>#REF!</v>
      </c>
      <c r="G41" s="14" t="e">
        <f t="shared" si="2"/>
        <v>#REF!</v>
      </c>
      <c r="H41" s="78">
        <v>0.12</v>
      </c>
      <c r="J41" s="6"/>
      <c r="XEW41" s="113" t="s">
        <v>111</v>
      </c>
      <c r="XEX41" s="114" t="e">
        <f>SUM(XEX38:XEX40)</f>
        <v>#REF!</v>
      </c>
      <c r="XEY41" s="115">
        <f>SUM(XEY40)</f>
        <v>880</v>
      </c>
      <c r="XFA41" s="116" t="s">
        <v>15</v>
      </c>
      <c r="XFB41" s="117" t="e">
        <f>(XEY41*XEY33)-(XEX41*XEY33)</f>
        <v>#REF!</v>
      </c>
    </row>
    <row r="42" spans="2:16 16377:16382" x14ac:dyDescent="0.25">
      <c r="B42" s="13"/>
      <c r="F42" s="2"/>
      <c r="G42" s="14"/>
      <c r="H42" s="15"/>
      <c r="J42" s="6"/>
      <c r="XEW42" s="109" t="s">
        <v>110</v>
      </c>
      <c r="XEX42" s="110" t="e">
        <f>XEY34*XEY30</f>
        <v>#REF!</v>
      </c>
      <c r="XEY42" s="111">
        <f>XEY36*XEY31</f>
        <v>120</v>
      </c>
    </row>
    <row r="43" spans="2:16 16377:16382" x14ac:dyDescent="0.25">
      <c r="B43" s="13" t="s">
        <v>112</v>
      </c>
      <c r="C43" s="102">
        <v>0.12</v>
      </c>
      <c r="F43" s="2"/>
      <c r="G43" s="14"/>
      <c r="H43" s="15"/>
    </row>
    <row r="44" spans="2:16 16377:16382" x14ac:dyDescent="0.25">
      <c r="B44" s="13" t="s">
        <v>113</v>
      </c>
      <c r="C44" s="102">
        <v>0.12</v>
      </c>
      <c r="F44" s="2"/>
      <c r="G44" s="14"/>
      <c r="H44" s="15"/>
    </row>
    <row r="45" spans="2:16 16377:16382" x14ac:dyDescent="0.25">
      <c r="B45" s="13"/>
      <c r="F45" s="2"/>
      <c r="G45" s="14"/>
      <c r="H45" s="15"/>
    </row>
    <row r="46" spans="2:16 16377:16382" x14ac:dyDescent="0.25">
      <c r="B46" s="13"/>
      <c r="F46" s="2"/>
      <c r="G46" s="14"/>
      <c r="H46" s="15"/>
    </row>
    <row r="47" spans="2:16 16377:16382" ht="15.75" thickBot="1" x14ac:dyDescent="0.3">
      <c r="B47" s="59" t="s">
        <v>19</v>
      </c>
      <c r="C47" s="60"/>
      <c r="D47" s="60"/>
      <c r="E47" s="60"/>
      <c r="F47" s="90" t="e">
        <f>SUM(F36:F46)</f>
        <v>#REF!</v>
      </c>
      <c r="G47" s="61" t="e">
        <f>G36+G39+G40+G41+G37+G38+G42</f>
        <v>#REF!</v>
      </c>
      <c r="H47" s="62"/>
    </row>
    <row r="48" spans="2:16 16377:16382" ht="15.75" thickBot="1" x14ac:dyDescent="0.3">
      <c r="B48" s="82"/>
      <c r="C48" s="82"/>
      <c r="D48" s="82"/>
      <c r="E48" s="82"/>
      <c r="F48" s="83"/>
      <c r="G48" s="84"/>
      <c r="H48" s="82"/>
    </row>
    <row r="49" spans="2:8" x14ac:dyDescent="0.25">
      <c r="B49" s="85" t="s">
        <v>36</v>
      </c>
      <c r="C49" s="86"/>
      <c r="D49" s="86"/>
      <c r="E49" s="86"/>
      <c r="F49" s="87"/>
      <c r="G49" s="88"/>
      <c r="H49" s="89"/>
    </row>
    <row r="50" spans="2:8" x14ac:dyDescent="0.25">
      <c r="B50" s="13" t="s">
        <v>29</v>
      </c>
      <c r="G50" s="2" t="s">
        <v>30</v>
      </c>
      <c r="H50" s="15"/>
    </row>
    <row r="51" spans="2:8" x14ac:dyDescent="0.25">
      <c r="B51" s="13" t="s">
        <v>12</v>
      </c>
      <c r="G51" s="2" t="s">
        <v>30</v>
      </c>
      <c r="H51" s="15"/>
    </row>
    <row r="52" spans="2:8" x14ac:dyDescent="0.25">
      <c r="B52" s="13" t="s">
        <v>38</v>
      </c>
      <c r="G52" s="2" t="s">
        <v>31</v>
      </c>
      <c r="H52" s="15"/>
    </row>
    <row r="53" spans="2:8" x14ac:dyDescent="0.25">
      <c r="B53" s="13" t="s">
        <v>39</v>
      </c>
      <c r="G53" s="2" t="s">
        <v>31</v>
      </c>
      <c r="H53" s="15"/>
    </row>
    <row r="54" spans="2:8" x14ac:dyDescent="0.25">
      <c r="B54" s="13" t="s">
        <v>14</v>
      </c>
      <c r="G54" s="2" t="s">
        <v>31</v>
      </c>
      <c r="H54" s="15"/>
    </row>
    <row r="55" spans="2:8" ht="15.75" thickBot="1" x14ac:dyDescent="0.3">
      <c r="B55" s="41" t="s">
        <v>32</v>
      </c>
      <c r="C55" s="42"/>
      <c r="D55" s="42"/>
      <c r="E55" s="42"/>
      <c r="F55" s="42"/>
      <c r="G55" s="43" t="s">
        <v>31</v>
      </c>
      <c r="H55" s="44"/>
    </row>
    <row r="57" spans="2:8" x14ac:dyDescent="0.25">
      <c r="C57" s="2"/>
      <c r="D57" s="6"/>
    </row>
    <row r="58" spans="2:8" x14ac:dyDescent="0.25">
      <c r="C58" s="2"/>
      <c r="D58" s="6"/>
    </row>
    <row r="59" spans="2:8" x14ac:dyDescent="0.25">
      <c r="C59" s="2"/>
      <c r="D59" s="6"/>
    </row>
    <row r="60" spans="2:8" x14ac:dyDescent="0.25">
      <c r="C60" s="2"/>
      <c r="D60" s="6"/>
    </row>
    <row r="65" spans="2:3" x14ac:dyDescent="0.25">
      <c r="B65" s="129" t="s">
        <v>17</v>
      </c>
      <c r="C65" s="129"/>
    </row>
    <row r="66" spans="2:3" ht="11.45" customHeight="1" x14ac:dyDescent="0.25">
      <c r="B66" t="s">
        <v>16</v>
      </c>
    </row>
    <row r="67" spans="2:3" ht="18.95" customHeight="1" x14ac:dyDescent="0.25">
      <c r="B67" t="s">
        <v>11</v>
      </c>
      <c r="C67" s="8"/>
    </row>
    <row r="68" spans="2:3" ht="17.45" customHeight="1" x14ac:dyDescent="0.25">
      <c r="B68" t="s">
        <v>12</v>
      </c>
    </row>
    <row r="69" spans="2:3" ht="21.95" customHeight="1" x14ac:dyDescent="0.25">
      <c r="B69" t="s">
        <v>13</v>
      </c>
    </row>
    <row r="70" spans="2:3" ht="21" customHeight="1" x14ac:dyDescent="0.25">
      <c r="B70" t="s">
        <v>14</v>
      </c>
    </row>
    <row r="71" spans="2:3" ht="21.6" customHeight="1" x14ac:dyDescent="0.25">
      <c r="B71" t="s">
        <v>15</v>
      </c>
    </row>
  </sheetData>
  <mergeCells count="1">
    <mergeCell ref="B65:C65"/>
  </mergeCells>
  <pageMargins left="0.511811024" right="0.511811024" top="0.78740157499999996" bottom="0.78740157499999996" header="0.31496062000000002" footer="0.31496062000000002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7:M59"/>
  <sheetViews>
    <sheetView workbookViewId="0">
      <selection activeCell="B21" sqref="B21"/>
    </sheetView>
  </sheetViews>
  <sheetFormatPr defaultRowHeight="15" x14ac:dyDescent="0.25"/>
  <cols>
    <col min="2" max="2" width="32.5703125" bestFit="1" customWidth="1"/>
    <col min="3" max="3" width="11.42578125" bestFit="1" customWidth="1"/>
    <col min="5" max="5" width="11.42578125" customWidth="1"/>
    <col min="6" max="6" width="11.42578125" bestFit="1" customWidth="1"/>
  </cols>
  <sheetData>
    <row r="7" spans="2:8" x14ac:dyDescent="0.25">
      <c r="B7" t="s">
        <v>33</v>
      </c>
      <c r="D7" t="s">
        <v>34</v>
      </c>
    </row>
    <row r="10" spans="2:8" ht="21" x14ac:dyDescent="0.35">
      <c r="B10" s="45" t="s">
        <v>35</v>
      </c>
    </row>
    <row r="11" spans="2:8" ht="15.75" thickBot="1" x14ac:dyDescent="0.3"/>
    <row r="12" spans="2:8" x14ac:dyDescent="0.25">
      <c r="B12" s="16" t="s">
        <v>20</v>
      </c>
      <c r="C12" s="49"/>
      <c r="D12" s="49"/>
      <c r="E12" s="49"/>
      <c r="F12" s="17"/>
      <c r="G12" s="17"/>
      <c r="H12" s="18"/>
    </row>
    <row r="13" spans="2:8" x14ac:dyDescent="0.25">
      <c r="B13" s="19"/>
      <c r="F13" s="20" t="s">
        <v>27</v>
      </c>
      <c r="G13" s="20" t="s">
        <v>28</v>
      </c>
      <c r="H13" s="21"/>
    </row>
    <row r="14" spans="2:8" x14ac:dyDescent="0.25">
      <c r="B14" s="13" t="s">
        <v>6</v>
      </c>
      <c r="F14" s="2">
        <v>2829745.4600000004</v>
      </c>
      <c r="G14" s="14">
        <f>F14/$F$15</f>
        <v>0.74485127622373593</v>
      </c>
      <c r="H14" s="21"/>
    </row>
    <row r="15" spans="2:8" x14ac:dyDescent="0.25">
      <c r="B15" s="13" t="s">
        <v>9</v>
      </c>
      <c r="F15" s="2">
        <v>3799074.46</v>
      </c>
      <c r="G15" s="14">
        <f>F15/$F$15</f>
        <v>1</v>
      </c>
      <c r="H15" s="21"/>
    </row>
    <row r="16" spans="2:8" x14ac:dyDescent="0.25">
      <c r="B16" s="13" t="s">
        <v>18</v>
      </c>
      <c r="F16" s="2">
        <v>896000</v>
      </c>
      <c r="G16" s="14">
        <f>F16/$F$15</f>
        <v>0.23584691730416887</v>
      </c>
      <c r="H16" s="21"/>
    </row>
    <row r="17" spans="2:12" x14ac:dyDescent="0.25">
      <c r="B17" s="13"/>
      <c r="G17" s="14"/>
      <c r="H17" s="15"/>
    </row>
    <row r="18" spans="2:12" x14ac:dyDescent="0.25">
      <c r="B18" s="13" t="s">
        <v>0</v>
      </c>
      <c r="F18" s="2">
        <f>SUM(Dados!AS5:BH5)</f>
        <v>11657.93</v>
      </c>
      <c r="G18" s="14">
        <f t="shared" ref="G18:G23" si="0">F18/$F$15</f>
        <v>3.0686237194729794E-3</v>
      </c>
      <c r="H18" s="15"/>
    </row>
    <row r="19" spans="2:12" x14ac:dyDescent="0.25">
      <c r="B19" s="13" t="s">
        <v>2</v>
      </c>
      <c r="F19" s="2">
        <f>SUM(Dados!AS6:BH6)</f>
        <v>0</v>
      </c>
      <c r="G19" s="14">
        <f t="shared" si="0"/>
        <v>0</v>
      </c>
      <c r="H19" s="15"/>
    </row>
    <row r="20" spans="2:12" x14ac:dyDescent="0.25">
      <c r="B20" s="13" t="s">
        <v>3</v>
      </c>
      <c r="F20" s="2">
        <f>SUM(Dados!AS7:BH7)</f>
        <v>0</v>
      </c>
      <c r="G20" s="14">
        <f t="shared" si="0"/>
        <v>0</v>
      </c>
      <c r="H20" s="15"/>
    </row>
    <row r="21" spans="2:12" x14ac:dyDescent="0.25">
      <c r="B21" s="13" t="s">
        <v>4</v>
      </c>
      <c r="F21" s="2">
        <f>SUM(Dados!AS10:BH10)</f>
        <v>0</v>
      </c>
      <c r="G21" s="14">
        <f t="shared" si="0"/>
        <v>0</v>
      </c>
      <c r="H21" s="15"/>
    </row>
    <row r="22" spans="2:12" x14ac:dyDescent="0.25">
      <c r="B22" s="13" t="s">
        <v>5</v>
      </c>
      <c r="F22" s="2">
        <f>SUM(Dados!AS11:BH11)</f>
        <v>0</v>
      </c>
      <c r="G22" s="14">
        <f t="shared" si="0"/>
        <v>0</v>
      </c>
      <c r="H22" s="15"/>
    </row>
    <row r="23" spans="2:12" x14ac:dyDescent="0.25">
      <c r="B23" s="13" t="s">
        <v>8</v>
      </c>
      <c r="F23" s="2" t="e">
        <f>SUM(Dados!#REF!)</f>
        <v>#REF!</v>
      </c>
      <c r="G23" s="14" t="e">
        <f t="shared" si="0"/>
        <v>#REF!</v>
      </c>
      <c r="H23" s="15"/>
    </row>
    <row r="24" spans="2:12" x14ac:dyDescent="0.25">
      <c r="B24" s="22" t="s">
        <v>19</v>
      </c>
      <c r="C24" s="48"/>
      <c r="D24" s="48"/>
      <c r="E24" s="48"/>
      <c r="F24" s="23"/>
      <c r="G24" s="24" t="e">
        <f>SUM(G19:G23)</f>
        <v>#REF!</v>
      </c>
      <c r="H24" s="25"/>
    </row>
    <row r="25" spans="2:12" x14ac:dyDescent="0.25">
      <c r="B25" s="26"/>
      <c r="F25" s="27"/>
      <c r="G25" s="28"/>
      <c r="H25" s="29"/>
    </row>
    <row r="26" spans="2:12" x14ac:dyDescent="0.25">
      <c r="B26" s="22" t="s">
        <v>21</v>
      </c>
      <c r="C26" s="48"/>
      <c r="D26" s="48"/>
      <c r="E26" s="48"/>
      <c r="F26" s="23"/>
      <c r="G26" s="24"/>
      <c r="H26" s="25"/>
    </row>
    <row r="27" spans="2:12" x14ac:dyDescent="0.25">
      <c r="B27" s="13" t="s">
        <v>10</v>
      </c>
      <c r="F27" s="2">
        <f>SUM(Dados!AS12:BH12)</f>
        <v>0</v>
      </c>
      <c r="G27" s="14">
        <f>F27/$F$15</f>
        <v>0</v>
      </c>
      <c r="H27" s="15"/>
    </row>
    <row r="28" spans="2:12" x14ac:dyDescent="0.25">
      <c r="B28" s="13" t="s">
        <v>7</v>
      </c>
      <c r="F28" s="2" t="e">
        <f>SUM(Dados!#REF!)</f>
        <v>#REF!</v>
      </c>
      <c r="G28" s="14" t="e">
        <f>F28/$F$15</f>
        <v>#REF!</v>
      </c>
      <c r="H28" s="15"/>
    </row>
    <row r="29" spans="2:12" ht="15.75" thickBot="1" x14ac:dyDescent="0.3">
      <c r="B29" s="30" t="s">
        <v>19</v>
      </c>
      <c r="C29" s="31"/>
      <c r="D29" s="31"/>
      <c r="E29" s="31"/>
      <c r="F29" s="31"/>
      <c r="G29" s="32" t="e">
        <f>G27+G28</f>
        <v>#REF!</v>
      </c>
      <c r="H29" s="33"/>
      <c r="L29">
        <v>9.34</v>
      </c>
    </row>
    <row r="30" spans="2:12" ht="15.75" thickBot="1" x14ac:dyDescent="0.3">
      <c r="F30" s="2"/>
      <c r="G30" s="6"/>
      <c r="L30">
        <v>3.04</v>
      </c>
    </row>
    <row r="31" spans="2:12" x14ac:dyDescent="0.25">
      <c r="B31" s="9" t="s">
        <v>22</v>
      </c>
      <c r="C31" s="46"/>
      <c r="D31" s="46"/>
      <c r="E31" s="46"/>
      <c r="F31" s="10"/>
      <c r="G31" s="11"/>
      <c r="H31" s="12"/>
      <c r="L31">
        <f>+L29-L30</f>
        <v>6.3</v>
      </c>
    </row>
    <row r="32" spans="2:12" x14ac:dyDescent="0.25">
      <c r="B32" s="13"/>
      <c r="F32" s="2"/>
      <c r="G32" s="34" t="s">
        <v>28</v>
      </c>
      <c r="H32" s="15"/>
      <c r="L32">
        <f>1-(L31/L29)</f>
        <v>0.32548179871520344</v>
      </c>
    </row>
    <row r="33" spans="2:13" x14ac:dyDescent="0.25">
      <c r="B33" s="13" t="s">
        <v>24</v>
      </c>
      <c r="F33" s="2"/>
      <c r="G33" s="14" t="e">
        <f>G29</f>
        <v>#REF!</v>
      </c>
      <c r="H33" s="15"/>
    </row>
    <row r="34" spans="2:13" x14ac:dyDescent="0.25">
      <c r="B34" s="13" t="s">
        <v>23</v>
      </c>
      <c r="F34" s="2"/>
      <c r="G34" s="14" t="e">
        <f>1-((G24-G29)/G24)</f>
        <v>#REF!</v>
      </c>
      <c r="H34" s="15"/>
    </row>
    <row r="35" spans="2:13" x14ac:dyDescent="0.25">
      <c r="B35" s="13" t="s">
        <v>25</v>
      </c>
      <c r="F35" s="2"/>
      <c r="G35" s="14" t="s">
        <v>26</v>
      </c>
      <c r="H35" s="15"/>
      <c r="M35" t="e">
        <f>+G24*G34</f>
        <v>#REF!</v>
      </c>
    </row>
    <row r="36" spans="2:13" x14ac:dyDescent="0.25">
      <c r="B36" s="35" t="s">
        <v>19</v>
      </c>
      <c r="C36" s="47"/>
      <c r="D36" s="47"/>
      <c r="E36" s="47"/>
      <c r="F36" s="36"/>
      <c r="G36" s="37" t="e">
        <f>G24-G29</f>
        <v>#REF!</v>
      </c>
      <c r="H36" s="38"/>
    </row>
    <row r="37" spans="2:13" x14ac:dyDescent="0.25">
      <c r="B37" s="13"/>
      <c r="F37" s="2"/>
      <c r="G37" s="14"/>
      <c r="H37" s="15"/>
    </row>
    <row r="38" spans="2:13" x14ac:dyDescent="0.25">
      <c r="B38" s="35" t="s">
        <v>36</v>
      </c>
      <c r="C38" s="47"/>
      <c r="D38" s="47"/>
      <c r="E38" s="47"/>
      <c r="F38" s="39"/>
      <c r="G38" s="37"/>
      <c r="H38" s="40"/>
    </row>
    <row r="39" spans="2:13" x14ac:dyDescent="0.25">
      <c r="B39" s="13" t="s">
        <v>29</v>
      </c>
      <c r="G39" s="2" t="s">
        <v>30</v>
      </c>
      <c r="H39" s="15"/>
    </row>
    <row r="40" spans="2:13" x14ac:dyDescent="0.25">
      <c r="B40" s="13" t="s">
        <v>12</v>
      </c>
      <c r="G40" s="2" t="s">
        <v>30</v>
      </c>
      <c r="H40" s="15"/>
    </row>
    <row r="41" spans="2:13" x14ac:dyDescent="0.25">
      <c r="B41" s="13" t="s">
        <v>13</v>
      </c>
      <c r="G41" s="2" t="s">
        <v>31</v>
      </c>
      <c r="H41" s="15"/>
    </row>
    <row r="42" spans="2:13" x14ac:dyDescent="0.25">
      <c r="B42" s="13" t="s">
        <v>14</v>
      </c>
      <c r="G42" s="2" t="s">
        <v>31</v>
      </c>
      <c r="H42" s="15"/>
    </row>
    <row r="43" spans="2:13" ht="15.75" thickBot="1" x14ac:dyDescent="0.3">
      <c r="B43" s="41" t="s">
        <v>32</v>
      </c>
      <c r="C43" s="42"/>
      <c r="D43" s="42"/>
      <c r="E43" s="42"/>
      <c r="F43" s="42"/>
      <c r="G43" s="43" t="s">
        <v>31</v>
      </c>
      <c r="H43" s="44"/>
    </row>
    <row r="44" spans="2:13" x14ac:dyDescent="0.25">
      <c r="C44" s="2"/>
      <c r="D44" s="6"/>
    </row>
    <row r="45" spans="2:13" x14ac:dyDescent="0.25">
      <c r="B45" t="s">
        <v>6</v>
      </c>
      <c r="C45" s="2">
        <f>SUM(Dados!AS37:BH37)</f>
        <v>0</v>
      </c>
      <c r="D45" s="6" t="e">
        <f>C45/$C$46</f>
        <v>#DIV/0!</v>
      </c>
    </row>
    <row r="46" spans="2:13" x14ac:dyDescent="0.25">
      <c r="B46" t="s">
        <v>9</v>
      </c>
      <c r="C46" s="2">
        <f>SUM(Dados!AS43:BH43)</f>
        <v>0</v>
      </c>
      <c r="D46" s="6" t="e">
        <f>C46/$C$46</f>
        <v>#DIV/0!</v>
      </c>
    </row>
    <row r="47" spans="2:13" x14ac:dyDescent="0.25">
      <c r="B47" t="s">
        <v>18</v>
      </c>
      <c r="C47" s="2" t="e">
        <f>SUM(Dados!#REF!)</f>
        <v>#REF!</v>
      </c>
      <c r="D47" s="6" t="e">
        <f>C47/$C$46</f>
        <v>#REF!</v>
      </c>
    </row>
    <row r="53" spans="2:3" x14ac:dyDescent="0.25">
      <c r="B53" s="129" t="s">
        <v>17</v>
      </c>
      <c r="C53" s="129"/>
    </row>
    <row r="54" spans="2:3" ht="11.45" customHeight="1" x14ac:dyDescent="0.25">
      <c r="B54" t="s">
        <v>16</v>
      </c>
    </row>
    <row r="55" spans="2:3" ht="18.95" customHeight="1" x14ac:dyDescent="0.25">
      <c r="B55" t="s">
        <v>11</v>
      </c>
      <c r="C55" s="8"/>
    </row>
    <row r="56" spans="2:3" ht="17.45" customHeight="1" x14ac:dyDescent="0.25">
      <c r="B56" t="s">
        <v>12</v>
      </c>
    </row>
    <row r="57" spans="2:3" ht="21.95" customHeight="1" x14ac:dyDescent="0.25">
      <c r="B57" t="s">
        <v>13</v>
      </c>
    </row>
    <row r="58" spans="2:3" ht="21" customHeight="1" x14ac:dyDescent="0.25">
      <c r="B58" t="s">
        <v>14</v>
      </c>
    </row>
    <row r="59" spans="2:3" ht="21.6" customHeight="1" x14ac:dyDescent="0.25">
      <c r="B59" t="s">
        <v>15</v>
      </c>
    </row>
  </sheetData>
  <mergeCells count="1">
    <mergeCell ref="B53:C53"/>
  </mergeCells>
  <pageMargins left="0.511811024" right="0.511811024" top="0.78740157499999996" bottom="0.78740157499999996" header="0.31496062000000002" footer="0.31496062000000002"/>
  <pageSetup paperSize="9" scale="6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1"/>
  <sheetViews>
    <sheetView zoomScale="80" zoomScaleNormal="80" workbookViewId="0">
      <pane ySplit="2" topLeftCell="A3" activePane="bottomLeft" state="frozen"/>
      <selection pane="bottomLeft" activeCell="A43" sqref="A43"/>
    </sheetView>
  </sheetViews>
  <sheetFormatPr defaultRowHeight="15" x14ac:dyDescent="0.25"/>
  <cols>
    <col min="1" max="1" width="33" bestFit="1" customWidth="1"/>
    <col min="2" max="2" width="6.28515625" hidden="1" customWidth="1"/>
    <col min="3" max="3" width="5.5703125" hidden="1" customWidth="1"/>
    <col min="4" max="4" width="6.5703125" hidden="1" customWidth="1"/>
    <col min="5" max="5" width="6.140625" hidden="1" customWidth="1"/>
    <col min="6" max="6" width="6.42578125" hidden="1" customWidth="1"/>
    <col min="7" max="7" width="6.7109375" hidden="1" customWidth="1"/>
    <col min="8" max="8" width="6.5703125" hidden="1" customWidth="1"/>
    <col min="9" max="10" width="6.140625" hidden="1" customWidth="1"/>
    <col min="11" max="11" width="7" hidden="1" customWidth="1"/>
    <col min="12" max="12" width="6.42578125" hidden="1" customWidth="1"/>
    <col min="13" max="13" width="6.7109375" hidden="1" customWidth="1"/>
    <col min="14" max="14" width="6.28515625" hidden="1" customWidth="1"/>
    <col min="15" max="15" width="5.5703125" hidden="1" customWidth="1"/>
    <col min="16" max="16" width="6.5703125" hidden="1" customWidth="1"/>
    <col min="17" max="17" width="6.140625" hidden="1" customWidth="1"/>
    <col min="18" max="18" width="6.42578125" hidden="1" customWidth="1"/>
    <col min="19" max="19" width="6.7109375" hidden="1" customWidth="1"/>
    <col min="20" max="20" width="6.5703125" hidden="1" customWidth="1"/>
    <col min="21" max="22" width="6.140625" hidden="1" customWidth="1"/>
    <col min="23" max="23" width="7" hidden="1" customWidth="1"/>
    <col min="24" max="24" width="6.42578125" hidden="1" customWidth="1"/>
    <col min="25" max="25" width="6.7109375" hidden="1" customWidth="1"/>
    <col min="26" max="26" width="6.28515625" hidden="1" customWidth="1"/>
    <col min="27" max="27" width="5.5703125" hidden="1" customWidth="1"/>
    <col min="28" max="28" width="6.5703125" hidden="1" customWidth="1"/>
    <col min="29" max="29" width="6.140625" hidden="1" customWidth="1"/>
    <col min="30" max="30" width="6.42578125" hidden="1" customWidth="1"/>
    <col min="31" max="31" width="6.7109375" hidden="1" customWidth="1"/>
    <col min="32" max="32" width="6.5703125" hidden="1" customWidth="1"/>
    <col min="33" max="34" width="6.140625" hidden="1" customWidth="1"/>
    <col min="35" max="35" width="7" hidden="1" customWidth="1"/>
    <col min="36" max="36" width="6.42578125" hidden="1" customWidth="1"/>
    <col min="37" max="37" width="6.7109375" hidden="1" customWidth="1"/>
    <col min="38" max="38" width="6.28515625" hidden="1" customWidth="1"/>
    <col min="39" max="39" width="5.5703125" hidden="1" customWidth="1"/>
    <col min="40" max="40" width="6.5703125" hidden="1" customWidth="1"/>
    <col min="41" max="41" width="6.140625" hidden="1" customWidth="1"/>
    <col min="42" max="42" width="6.42578125" hidden="1" customWidth="1"/>
    <col min="43" max="43" width="6.7109375" hidden="1" customWidth="1"/>
    <col min="44" max="44" width="6.5703125" hidden="1" customWidth="1"/>
    <col min="45" max="46" width="6.140625" hidden="1" customWidth="1"/>
    <col min="47" max="47" width="7" hidden="1" customWidth="1"/>
    <col min="48" max="48" width="6.42578125" hidden="1" customWidth="1"/>
    <col min="49" max="49" width="6.7109375" hidden="1" customWidth="1"/>
    <col min="50" max="50" width="6.28515625" hidden="1" customWidth="1"/>
    <col min="51" max="51" width="5.5703125" hidden="1" customWidth="1"/>
    <col min="52" max="52" width="6.5703125" hidden="1" customWidth="1"/>
    <col min="53" max="53" width="6.140625" hidden="1" customWidth="1"/>
    <col min="54" max="54" width="6.42578125" hidden="1" customWidth="1"/>
    <col min="55" max="55" width="6.7109375" hidden="1" customWidth="1"/>
    <col min="56" max="56" width="6.5703125" hidden="1" customWidth="1"/>
    <col min="57" max="57" width="13.85546875" style="63" bestFit="1" customWidth="1"/>
    <col min="58" max="58" width="14.42578125" style="63" bestFit="1" customWidth="1"/>
    <col min="59" max="60" width="12.85546875" style="63" bestFit="1" customWidth="1"/>
    <col min="61" max="63" width="14.42578125" style="63" bestFit="1" customWidth="1"/>
    <col min="64" max="64" width="12.5703125" style="63" bestFit="1" customWidth="1"/>
    <col min="65" max="65" width="12.85546875" style="63" bestFit="1" customWidth="1"/>
    <col min="66" max="66" width="12.5703125" style="63" bestFit="1" customWidth="1"/>
    <col min="67" max="67" width="14.42578125" style="63" bestFit="1" customWidth="1"/>
    <col min="68" max="68" width="12.5703125" style="63" bestFit="1" customWidth="1"/>
    <col min="69" max="70" width="14.42578125" style="63" bestFit="1" customWidth="1"/>
    <col min="71" max="71" width="14.42578125" style="63" customWidth="1"/>
    <col min="72" max="72" width="11.42578125" style="63" bestFit="1" customWidth="1"/>
    <col min="74" max="74" width="11.5703125" bestFit="1" customWidth="1"/>
    <col min="77" max="77" width="11.140625" bestFit="1" customWidth="1"/>
    <col min="78" max="78" width="4.85546875" bestFit="1" customWidth="1"/>
    <col min="79" max="79" width="1.85546875" bestFit="1" customWidth="1"/>
  </cols>
  <sheetData>
    <row r="1" spans="1:72" x14ac:dyDescent="0.25">
      <c r="A1" s="57" t="s">
        <v>56</v>
      </c>
      <c r="AS1" s="48"/>
      <c r="AT1" s="48"/>
      <c r="AU1" s="48"/>
      <c r="AV1" s="48"/>
      <c r="AW1" s="57" t="s">
        <v>57</v>
      </c>
      <c r="AY1" s="48"/>
      <c r="AZ1" s="48"/>
      <c r="BA1" s="48"/>
    </row>
    <row r="2" spans="1:72" x14ac:dyDescent="0.25">
      <c r="B2" s="1">
        <v>43252</v>
      </c>
      <c r="C2" s="1">
        <v>43282</v>
      </c>
      <c r="D2" s="1">
        <v>43313</v>
      </c>
      <c r="E2" s="1">
        <v>43344</v>
      </c>
      <c r="F2" s="1">
        <v>43374</v>
      </c>
      <c r="G2" s="1">
        <v>43405</v>
      </c>
      <c r="H2" s="1">
        <v>43435</v>
      </c>
      <c r="I2" s="1">
        <v>43466</v>
      </c>
      <c r="J2" s="1">
        <v>43497</v>
      </c>
      <c r="K2" s="1">
        <v>43525</v>
      </c>
      <c r="L2" s="1">
        <v>43556</v>
      </c>
      <c r="M2" s="1">
        <v>43586</v>
      </c>
      <c r="N2" s="1">
        <v>43617</v>
      </c>
      <c r="O2" s="1">
        <v>43647</v>
      </c>
      <c r="P2" s="1">
        <v>43678</v>
      </c>
      <c r="Q2" s="1">
        <v>43709</v>
      </c>
      <c r="R2" s="1">
        <v>43739</v>
      </c>
      <c r="S2" s="1">
        <v>43770</v>
      </c>
      <c r="T2" s="1">
        <v>43800</v>
      </c>
      <c r="U2" s="1">
        <v>43831</v>
      </c>
      <c r="V2" s="1">
        <v>43862</v>
      </c>
      <c r="W2" s="1">
        <v>43891</v>
      </c>
      <c r="X2" s="1">
        <v>43922</v>
      </c>
      <c r="Y2" s="1">
        <v>43952</v>
      </c>
      <c r="Z2" s="1">
        <v>43983</v>
      </c>
      <c r="AA2" s="1">
        <v>44013</v>
      </c>
      <c r="AB2" s="1">
        <v>44044</v>
      </c>
      <c r="AC2" s="1">
        <v>44075</v>
      </c>
      <c r="AD2" s="1">
        <v>44105</v>
      </c>
      <c r="AE2" s="1">
        <v>44136</v>
      </c>
      <c r="AF2" s="1">
        <v>44166</v>
      </c>
      <c r="AG2" s="1">
        <v>44197</v>
      </c>
      <c r="AH2" s="1">
        <v>44228</v>
      </c>
      <c r="AI2" s="1">
        <v>44256</v>
      </c>
      <c r="AJ2" s="1">
        <v>44287</v>
      </c>
      <c r="AK2" s="1">
        <v>44317</v>
      </c>
      <c r="AL2" s="1">
        <v>44348</v>
      </c>
      <c r="AM2" s="1">
        <v>44378</v>
      </c>
      <c r="AN2" s="1">
        <v>44409</v>
      </c>
      <c r="AO2" s="1">
        <v>44440</v>
      </c>
      <c r="AP2" s="1">
        <v>44470</v>
      </c>
      <c r="AQ2" s="1">
        <v>44501</v>
      </c>
      <c r="AR2" s="1">
        <v>44531</v>
      </c>
      <c r="AS2" s="1">
        <v>44562</v>
      </c>
      <c r="AT2" s="1">
        <v>44593</v>
      </c>
      <c r="AU2" s="1">
        <v>44621</v>
      </c>
      <c r="AV2" s="1">
        <v>44652</v>
      </c>
      <c r="AW2" s="1">
        <v>44682</v>
      </c>
      <c r="AX2" s="1">
        <v>44713</v>
      </c>
      <c r="AY2" s="1">
        <v>44743</v>
      </c>
      <c r="AZ2" s="1">
        <v>44774</v>
      </c>
      <c r="BA2" s="1">
        <v>44805</v>
      </c>
      <c r="BB2" s="1">
        <v>44835</v>
      </c>
      <c r="BC2" s="1">
        <v>44866</v>
      </c>
      <c r="BD2" s="1">
        <v>44896</v>
      </c>
      <c r="BE2" s="67">
        <v>44927</v>
      </c>
      <c r="BF2" s="67">
        <v>44958</v>
      </c>
      <c r="BG2" s="67">
        <v>44986</v>
      </c>
      <c r="BH2" s="67">
        <v>45017</v>
      </c>
      <c r="BI2" s="67">
        <v>45047</v>
      </c>
      <c r="BJ2" s="67">
        <v>45078</v>
      </c>
      <c r="BK2" s="67">
        <v>45108</v>
      </c>
      <c r="BL2" s="67">
        <v>45139</v>
      </c>
      <c r="BM2" s="67">
        <v>45170</v>
      </c>
      <c r="BN2" s="67">
        <v>45200</v>
      </c>
      <c r="BO2" s="67">
        <v>45231</v>
      </c>
      <c r="BP2" s="67">
        <v>45261</v>
      </c>
      <c r="BQ2" s="67">
        <v>45292</v>
      </c>
      <c r="BR2" s="67">
        <v>45323</v>
      </c>
      <c r="BS2" s="67">
        <v>45352</v>
      </c>
    </row>
    <row r="3" spans="1:72" x14ac:dyDescent="0.25">
      <c r="A3" s="48" t="s">
        <v>114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</row>
    <row r="4" spans="1:72" x14ac:dyDescent="0.25">
      <c r="A4" s="48" t="s">
        <v>131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</row>
    <row r="5" spans="1:72" x14ac:dyDescent="0.25">
      <c r="A5" t="s">
        <v>0</v>
      </c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66">
        <f>1656.05+867.56</f>
        <v>2523.6099999999997</v>
      </c>
      <c r="BF5" s="66">
        <v>3047.72</v>
      </c>
      <c r="BG5" s="66">
        <v>3039.25</v>
      </c>
      <c r="BH5" s="66">
        <v>3047.35</v>
      </c>
      <c r="BI5" s="66">
        <v>2914.26</v>
      </c>
      <c r="BJ5" s="66">
        <f>2878.05+50</f>
        <v>2928.05</v>
      </c>
      <c r="BK5" s="66">
        <v>1506.74</v>
      </c>
      <c r="BL5" s="66">
        <v>1027.1500000000001</v>
      </c>
      <c r="BM5" s="66">
        <v>1071.99</v>
      </c>
      <c r="BN5" s="66">
        <v>901.06</v>
      </c>
      <c r="BO5" s="66">
        <v>1837.21</v>
      </c>
      <c r="BP5" s="66">
        <v>3898.53</v>
      </c>
      <c r="BQ5" s="66">
        <v>3065.44</v>
      </c>
      <c r="BR5" s="66">
        <v>2913.82</v>
      </c>
      <c r="BS5" s="66"/>
      <c r="BT5" s="73">
        <f t="shared" ref="BT5:BT35" si="0">SUM(BE5:BS5)</f>
        <v>33722.180000000008</v>
      </c>
    </row>
    <row r="6" spans="1:72" x14ac:dyDescent="0.25">
      <c r="A6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T6" s="2"/>
      <c r="U6" s="2"/>
      <c r="W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73">
        <f t="shared" si="0"/>
        <v>0</v>
      </c>
    </row>
    <row r="7" spans="1:72" x14ac:dyDescent="0.25">
      <c r="A7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T7" s="2"/>
      <c r="U7" s="2"/>
      <c r="Z7" s="2"/>
      <c r="AD7" s="2"/>
      <c r="AE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73">
        <f t="shared" si="0"/>
        <v>0</v>
      </c>
    </row>
    <row r="8" spans="1:72" x14ac:dyDescent="0.25">
      <c r="A8" s="3" t="s">
        <v>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66">
        <v>30.07</v>
      </c>
      <c r="BF8" s="66">
        <v>42.78</v>
      </c>
      <c r="BG8" s="66">
        <v>300.18</v>
      </c>
      <c r="BH8" s="66">
        <v>99.08</v>
      </c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73">
        <f t="shared" si="0"/>
        <v>472.10999999999996</v>
      </c>
    </row>
    <row r="9" spans="1:72" x14ac:dyDescent="0.25">
      <c r="A9" s="3" t="s">
        <v>49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/>
      <c r="BT9" s="73">
        <f t="shared" si="0"/>
        <v>0</v>
      </c>
    </row>
    <row r="10" spans="1:72" x14ac:dyDescent="0.25">
      <c r="A10" t="s">
        <v>4</v>
      </c>
      <c r="B10" s="2"/>
      <c r="E10" s="2"/>
      <c r="H10" s="2"/>
      <c r="K10" s="2"/>
      <c r="N10" s="2"/>
      <c r="Q10" s="2"/>
      <c r="T10" s="2"/>
      <c r="W10" s="2"/>
      <c r="Z10" s="2"/>
      <c r="AC10" s="2"/>
      <c r="AF10" s="2"/>
      <c r="AI10" s="2"/>
      <c r="AL10" s="2"/>
      <c r="AO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73">
        <f t="shared" si="0"/>
        <v>0</v>
      </c>
    </row>
    <row r="11" spans="1:72" x14ac:dyDescent="0.25">
      <c r="A11" t="s">
        <v>5</v>
      </c>
      <c r="B11" s="2"/>
      <c r="E11" s="2"/>
      <c r="H11" s="2"/>
      <c r="K11" s="2"/>
      <c r="N11" s="2"/>
      <c r="Q11" s="2"/>
      <c r="T11" s="2"/>
      <c r="W11" s="2"/>
      <c r="Z11" s="2"/>
      <c r="AC11" s="2"/>
      <c r="AF11" s="2"/>
      <c r="AI11" s="2"/>
      <c r="AL11" s="2"/>
      <c r="AO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73">
        <f t="shared" si="0"/>
        <v>0</v>
      </c>
    </row>
    <row r="12" spans="1:72" x14ac:dyDescent="0.25">
      <c r="A12" t="s">
        <v>37</v>
      </c>
      <c r="B12" s="2"/>
      <c r="C12" s="2"/>
      <c r="D12" s="2"/>
      <c r="E12" s="2"/>
      <c r="F12" s="2"/>
      <c r="G12" s="2"/>
      <c r="H12" s="2"/>
      <c r="I12" s="2"/>
      <c r="K12" s="2"/>
      <c r="L12" s="2"/>
      <c r="M12" s="2"/>
      <c r="N12" s="2"/>
      <c r="O12" s="2"/>
      <c r="R12" s="2"/>
      <c r="S12" s="2"/>
      <c r="T12" s="2"/>
      <c r="U12" s="2"/>
      <c r="V12" s="2"/>
      <c r="W12" s="2"/>
      <c r="AG12" s="2"/>
      <c r="AL12" s="2"/>
      <c r="AM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73">
        <f t="shared" si="0"/>
        <v>0</v>
      </c>
    </row>
    <row r="13" spans="1:72" x14ac:dyDescent="0.25">
      <c r="A13" t="s">
        <v>68</v>
      </c>
      <c r="B13" s="2"/>
      <c r="C13" s="2"/>
      <c r="D13" s="2"/>
      <c r="E13" s="2"/>
      <c r="F13" s="2"/>
      <c r="G13" s="2"/>
      <c r="H13" s="2"/>
      <c r="I13" s="2"/>
      <c r="K13" s="2"/>
      <c r="L13" s="2"/>
      <c r="M13" s="2"/>
      <c r="N13" s="2"/>
      <c r="O13" s="2"/>
      <c r="R13" s="2"/>
      <c r="S13" s="2"/>
      <c r="T13" s="2"/>
      <c r="U13" s="2"/>
      <c r="V13" s="2"/>
      <c r="W13" s="2"/>
      <c r="AG13" s="2"/>
      <c r="AL13" s="2"/>
      <c r="AM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73">
        <f t="shared" si="0"/>
        <v>0</v>
      </c>
    </row>
    <row r="14" spans="1:72" x14ac:dyDescent="0.25">
      <c r="A14" t="s">
        <v>50</v>
      </c>
      <c r="B14" s="2"/>
      <c r="C14" s="2"/>
      <c r="D14" s="2"/>
      <c r="E14" s="2"/>
      <c r="F14" s="2"/>
      <c r="G14" s="2"/>
      <c r="H14" s="2"/>
      <c r="I14" s="2"/>
      <c r="K14" s="2"/>
      <c r="L14" s="2"/>
      <c r="M14" s="2"/>
      <c r="N14" s="2"/>
      <c r="O14" s="2"/>
      <c r="R14" s="2"/>
      <c r="S14" s="2"/>
      <c r="T14" s="2"/>
      <c r="U14" s="2"/>
      <c r="V14" s="2"/>
      <c r="W14" s="2"/>
      <c r="AG14" s="2"/>
      <c r="AL14" s="2"/>
      <c r="AM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73">
        <f t="shared" si="0"/>
        <v>0</v>
      </c>
    </row>
    <row r="15" spans="1:72" x14ac:dyDescent="0.25">
      <c r="A15" s="3" t="s">
        <v>51</v>
      </c>
      <c r="B15" s="4"/>
      <c r="C15" s="4"/>
      <c r="D15" s="4"/>
      <c r="E15" s="4"/>
      <c r="F15" s="4"/>
      <c r="G15" s="4"/>
      <c r="H15" s="4"/>
      <c r="I15" s="4"/>
      <c r="J15" s="3"/>
      <c r="K15" s="4"/>
      <c r="L15" s="4"/>
      <c r="M15" s="4"/>
      <c r="N15" s="4"/>
      <c r="O15" s="4"/>
      <c r="P15" s="3"/>
      <c r="Q15" s="3"/>
      <c r="R15" s="4"/>
      <c r="S15" s="4"/>
      <c r="T15" s="4"/>
      <c r="U15" s="4"/>
      <c r="V15" s="4"/>
      <c r="W15" s="4"/>
      <c r="X15" s="3"/>
      <c r="Y15" s="3"/>
      <c r="Z15" s="3"/>
      <c r="AA15" s="3"/>
      <c r="AB15" s="3"/>
      <c r="AC15" s="3"/>
      <c r="AD15" s="3"/>
      <c r="AE15" s="3"/>
      <c r="AF15" s="4"/>
      <c r="AG15" s="4"/>
      <c r="AH15" s="3"/>
      <c r="AI15" s="3"/>
      <c r="AJ15" s="3"/>
      <c r="AK15" s="3"/>
      <c r="AL15" s="4"/>
      <c r="AM15" s="4"/>
      <c r="AN15" s="3"/>
      <c r="AO15" s="4"/>
      <c r="AP15" s="4"/>
      <c r="AQ15" s="4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73">
        <f t="shared" si="0"/>
        <v>0</v>
      </c>
    </row>
    <row r="16" spans="1:72" x14ac:dyDescent="0.25">
      <c r="A16" s="3" t="s">
        <v>52</v>
      </c>
      <c r="B16" s="4"/>
      <c r="C16" s="4"/>
      <c r="D16" s="4"/>
      <c r="E16" s="4"/>
      <c r="F16" s="4"/>
      <c r="G16" s="4"/>
      <c r="H16" s="4"/>
      <c r="I16" s="4"/>
      <c r="J16" s="3"/>
      <c r="K16" s="4"/>
      <c r="L16" s="4"/>
      <c r="M16" s="4"/>
      <c r="N16" s="4"/>
      <c r="O16" s="4"/>
      <c r="P16" s="3"/>
      <c r="Q16" s="3"/>
      <c r="R16" s="4"/>
      <c r="S16" s="4"/>
      <c r="T16" s="4"/>
      <c r="U16" s="4"/>
      <c r="V16" s="4"/>
      <c r="W16" s="4"/>
      <c r="X16" s="3"/>
      <c r="Y16" s="3"/>
      <c r="Z16" s="3"/>
      <c r="AA16" s="3"/>
      <c r="AB16" s="3"/>
      <c r="AC16" s="3"/>
      <c r="AD16" s="3"/>
      <c r="AE16" s="3"/>
      <c r="AF16" s="4"/>
      <c r="AG16" s="4"/>
      <c r="AH16" s="3"/>
      <c r="AI16" s="3"/>
      <c r="AJ16" s="3"/>
      <c r="AK16" s="3"/>
      <c r="AL16" s="4"/>
      <c r="AM16" s="4"/>
      <c r="AN16" s="3"/>
      <c r="AO16" s="4"/>
      <c r="AP16" s="4"/>
      <c r="AQ16" s="4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73">
        <f t="shared" si="0"/>
        <v>0</v>
      </c>
    </row>
    <row r="17" spans="1:75" x14ac:dyDescent="0.25">
      <c r="A17" s="3" t="s">
        <v>53</v>
      </c>
      <c r="B17" s="4"/>
      <c r="C17" s="4"/>
      <c r="D17" s="4"/>
      <c r="E17" s="4"/>
      <c r="F17" s="4"/>
      <c r="G17" s="4"/>
      <c r="H17" s="4"/>
      <c r="I17" s="4"/>
      <c r="J17" s="3"/>
      <c r="K17" s="4"/>
      <c r="L17" s="4"/>
      <c r="M17" s="4"/>
      <c r="N17" s="4"/>
      <c r="O17" s="4"/>
      <c r="P17" s="3"/>
      <c r="Q17" s="3"/>
      <c r="R17" s="4"/>
      <c r="S17" s="4"/>
      <c r="T17" s="4"/>
      <c r="U17" s="4"/>
      <c r="V17" s="4"/>
      <c r="W17" s="4"/>
      <c r="X17" s="3"/>
      <c r="Y17" s="3"/>
      <c r="Z17" s="3"/>
      <c r="AA17" s="3"/>
      <c r="AB17" s="3"/>
      <c r="AC17" s="3"/>
      <c r="AD17" s="3"/>
      <c r="AE17" s="3"/>
      <c r="AF17" s="4"/>
      <c r="AG17" s="4"/>
      <c r="AH17" s="3"/>
      <c r="AI17" s="3"/>
      <c r="AJ17" s="3"/>
      <c r="AK17" s="3"/>
      <c r="AL17" s="4"/>
      <c r="AM17" s="4"/>
      <c r="AN17" s="3"/>
      <c r="AO17" s="4"/>
      <c r="AP17" s="4"/>
      <c r="AQ17" s="4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73">
        <f t="shared" si="0"/>
        <v>0</v>
      </c>
    </row>
    <row r="18" spans="1:75" x14ac:dyDescent="0.25">
      <c r="A18" s="3" t="s">
        <v>54</v>
      </c>
      <c r="B18" s="4"/>
      <c r="C18" s="4"/>
      <c r="D18" s="4"/>
      <c r="E18" s="4"/>
      <c r="F18" s="4"/>
      <c r="G18" s="4"/>
      <c r="H18" s="4"/>
      <c r="I18" s="4"/>
      <c r="J18" s="3"/>
      <c r="K18" s="4"/>
      <c r="L18" s="4"/>
      <c r="M18" s="4"/>
      <c r="N18" s="4"/>
      <c r="O18" s="4"/>
      <c r="P18" s="3"/>
      <c r="Q18" s="3"/>
      <c r="R18" s="4"/>
      <c r="S18" s="4"/>
      <c r="T18" s="4"/>
      <c r="U18" s="4"/>
      <c r="V18" s="4"/>
      <c r="W18" s="4"/>
      <c r="X18" s="3"/>
      <c r="Y18" s="3"/>
      <c r="Z18" s="3"/>
      <c r="AA18" s="3"/>
      <c r="AB18" s="3"/>
      <c r="AC18" s="3"/>
      <c r="AD18" s="3"/>
      <c r="AE18" s="3"/>
      <c r="AF18" s="4"/>
      <c r="AG18" s="4"/>
      <c r="AH18" s="3"/>
      <c r="AI18" s="3"/>
      <c r="AJ18" s="3"/>
      <c r="AK18" s="3"/>
      <c r="AL18" s="4"/>
      <c r="AM18" s="4"/>
      <c r="AN18" s="3"/>
      <c r="AO18" s="4"/>
      <c r="AP18" s="4"/>
      <c r="AQ18" s="4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73">
        <f t="shared" si="0"/>
        <v>0</v>
      </c>
    </row>
    <row r="19" spans="1:75" x14ac:dyDescent="0.25">
      <c r="A19" s="3" t="s">
        <v>67</v>
      </c>
      <c r="B19" s="4"/>
      <c r="C19" s="4"/>
      <c r="D19" s="4"/>
      <c r="E19" s="4"/>
      <c r="F19" s="4"/>
      <c r="G19" s="4"/>
      <c r="H19" s="4"/>
      <c r="I19" s="4"/>
      <c r="J19" s="3"/>
      <c r="K19" s="4"/>
      <c r="L19" s="4"/>
      <c r="M19" s="4"/>
      <c r="N19" s="4"/>
      <c r="O19" s="4"/>
      <c r="P19" s="3"/>
      <c r="Q19" s="3"/>
      <c r="R19" s="4"/>
      <c r="S19" s="4"/>
      <c r="T19" s="4"/>
      <c r="U19" s="4"/>
      <c r="V19" s="4"/>
      <c r="W19" s="4"/>
      <c r="X19" s="3"/>
      <c r="Y19" s="3"/>
      <c r="Z19" s="3"/>
      <c r="AA19" s="3"/>
      <c r="AB19" s="3"/>
      <c r="AC19" s="3"/>
      <c r="AD19" s="3"/>
      <c r="AE19" s="3"/>
      <c r="AF19" s="4"/>
      <c r="AG19" s="4"/>
      <c r="AH19" s="3"/>
      <c r="AI19" s="3"/>
      <c r="AJ19" s="3"/>
      <c r="AK19" s="3"/>
      <c r="AL19" s="4"/>
      <c r="AM19" s="4"/>
      <c r="AN19" s="3"/>
      <c r="AO19" s="4"/>
      <c r="AP19" s="4"/>
      <c r="AQ19" s="4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73">
        <f t="shared" si="0"/>
        <v>0</v>
      </c>
    </row>
    <row r="20" spans="1:75" x14ac:dyDescent="0.25">
      <c r="A20" s="3" t="s">
        <v>55</v>
      </c>
      <c r="B20" s="4"/>
      <c r="C20" s="4"/>
      <c r="D20" s="4"/>
      <c r="E20" s="4"/>
      <c r="F20" s="4"/>
      <c r="G20" s="4"/>
      <c r="H20" s="4"/>
      <c r="I20" s="4"/>
      <c r="J20" s="3"/>
      <c r="K20" s="4"/>
      <c r="L20" s="4"/>
      <c r="M20" s="4"/>
      <c r="N20" s="4"/>
      <c r="O20" s="4"/>
      <c r="P20" s="3"/>
      <c r="Q20" s="3"/>
      <c r="R20" s="4"/>
      <c r="S20" s="4"/>
      <c r="T20" s="4"/>
      <c r="U20" s="4"/>
      <c r="V20" s="4"/>
      <c r="W20" s="4"/>
      <c r="X20" s="3"/>
      <c r="Y20" s="3"/>
      <c r="Z20" s="3"/>
      <c r="AA20" s="3"/>
      <c r="AB20" s="3"/>
      <c r="AC20" s="3"/>
      <c r="AD20" s="3"/>
      <c r="AE20" s="3"/>
      <c r="AF20" s="4"/>
      <c r="AG20" s="4"/>
      <c r="AH20" s="3"/>
      <c r="AI20" s="3"/>
      <c r="AJ20" s="3"/>
      <c r="AK20" s="3"/>
      <c r="AL20" s="4"/>
      <c r="AM20" s="4"/>
      <c r="AN20" s="3"/>
      <c r="AO20" s="4"/>
      <c r="AP20" s="4"/>
      <c r="AQ20" s="4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73">
        <f t="shared" si="0"/>
        <v>0</v>
      </c>
    </row>
    <row r="21" spans="1:75" ht="18.75" x14ac:dyDescent="0.3">
      <c r="A21" s="118" t="s">
        <v>48</v>
      </c>
      <c r="B21" s="119"/>
      <c r="C21" s="119"/>
      <c r="D21" s="119"/>
      <c r="E21" s="119"/>
      <c r="F21" s="119"/>
      <c r="G21" s="119"/>
      <c r="H21" s="119"/>
      <c r="I21" s="119"/>
      <c r="J21" s="118"/>
      <c r="K21" s="119"/>
      <c r="L21" s="119"/>
      <c r="M21" s="119"/>
      <c r="N21" s="119"/>
      <c r="O21" s="119"/>
      <c r="P21" s="118"/>
      <c r="Q21" s="118"/>
      <c r="R21" s="119"/>
      <c r="S21" s="119"/>
      <c r="T21" s="119"/>
      <c r="U21" s="119"/>
      <c r="V21" s="119"/>
      <c r="W21" s="119"/>
      <c r="X21" s="118"/>
      <c r="Y21" s="118"/>
      <c r="Z21" s="118"/>
      <c r="AA21" s="118"/>
      <c r="AB21" s="118"/>
      <c r="AC21" s="118"/>
      <c r="AD21" s="118"/>
      <c r="AE21" s="118"/>
      <c r="AF21" s="119"/>
      <c r="AG21" s="119"/>
      <c r="AH21" s="118"/>
      <c r="AI21" s="118"/>
      <c r="AJ21" s="118"/>
      <c r="AK21" s="118"/>
      <c r="AL21" s="119"/>
      <c r="AM21" s="119"/>
      <c r="AN21" s="118"/>
      <c r="AO21" s="119"/>
      <c r="AP21" s="119"/>
      <c r="AQ21" s="119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1">
        <v>14438.219999999998</v>
      </c>
      <c r="BF21" s="121">
        <v>14378.26</v>
      </c>
      <c r="BG21" s="121">
        <v>21829.090000000004</v>
      </c>
      <c r="BH21" s="121">
        <v>20034.71</v>
      </c>
      <c r="BI21" s="121">
        <v>21499.39</v>
      </c>
      <c r="BJ21" s="121">
        <v>21969.759999999998</v>
      </c>
      <c r="BK21" s="121">
        <v>20142.39</v>
      </c>
      <c r="BL21" s="121">
        <v>18273.79</v>
      </c>
      <c r="BM21" s="121">
        <v>17544.560000000001</v>
      </c>
      <c r="BN21" s="121">
        <v>12898.66</v>
      </c>
      <c r="BO21" s="121">
        <v>25193.86</v>
      </c>
      <c r="BP21" s="121">
        <v>41556.649999999994</v>
      </c>
      <c r="BQ21" s="121">
        <v>23144.2</v>
      </c>
      <c r="BR21" s="121">
        <v>19650.750000000004</v>
      </c>
      <c r="BS21" s="121">
        <v>16431.189999999999</v>
      </c>
      <c r="BT21" s="73">
        <f t="shared" si="0"/>
        <v>308985.48</v>
      </c>
    </row>
    <row r="22" spans="1:75" x14ac:dyDescent="0.25">
      <c r="A22" t="s">
        <v>72</v>
      </c>
      <c r="B22" s="4"/>
      <c r="C22" s="4"/>
      <c r="D22" s="4"/>
      <c r="E22" s="4"/>
      <c r="F22" s="4"/>
      <c r="G22" s="4"/>
      <c r="H22" s="4"/>
      <c r="I22" s="4"/>
      <c r="J22" s="3"/>
      <c r="K22" s="4"/>
      <c r="L22" s="4"/>
      <c r="M22" s="4"/>
      <c r="N22" s="4"/>
      <c r="O22" s="4"/>
      <c r="P22" s="3"/>
      <c r="Q22" s="3"/>
      <c r="R22" s="4"/>
      <c r="S22" s="4"/>
      <c r="T22" s="4"/>
      <c r="U22" s="4"/>
      <c r="V22" s="4"/>
      <c r="W22" s="4"/>
      <c r="X22" s="3"/>
      <c r="Y22" s="3"/>
      <c r="Z22" s="3"/>
      <c r="AA22" s="3"/>
      <c r="AB22" s="3"/>
      <c r="AC22" s="3"/>
      <c r="AD22" s="3"/>
      <c r="AE22" s="3"/>
      <c r="AF22" s="4"/>
      <c r="AG22" s="4"/>
      <c r="AH22" s="3"/>
      <c r="AI22" s="3"/>
      <c r="AJ22" s="3"/>
      <c r="AK22" s="3"/>
      <c r="AL22" s="4"/>
      <c r="AM22" s="4"/>
      <c r="AN22" s="3"/>
      <c r="AO22" s="4"/>
      <c r="AP22" s="4"/>
      <c r="AQ22" s="4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66"/>
      <c r="BF22" s="66"/>
      <c r="BG22" s="66"/>
      <c r="BH22" s="66"/>
      <c r="BJ22" s="66"/>
      <c r="BK22" s="66"/>
      <c r="BM22" s="66"/>
      <c r="BO22" s="66"/>
      <c r="BP22" s="66"/>
      <c r="BQ22" s="66"/>
      <c r="BR22" s="66"/>
      <c r="BS22" s="66"/>
      <c r="BT22" s="73">
        <f t="shared" si="0"/>
        <v>0</v>
      </c>
    </row>
    <row r="23" spans="1:75" x14ac:dyDescent="0.25">
      <c r="A23" s="122" t="s">
        <v>115</v>
      </c>
      <c r="B23" s="4"/>
      <c r="C23" s="4"/>
      <c r="D23" s="4"/>
      <c r="E23" s="4"/>
      <c r="F23" s="4"/>
      <c r="G23" s="4"/>
      <c r="H23" s="4"/>
      <c r="I23" s="4"/>
      <c r="J23" s="3"/>
      <c r="K23" s="4"/>
      <c r="L23" s="4"/>
      <c r="M23" s="4"/>
      <c r="N23" s="4"/>
      <c r="O23" s="4"/>
      <c r="P23" s="3"/>
      <c r="Q23" s="3"/>
      <c r="R23" s="4"/>
      <c r="S23" s="4"/>
      <c r="T23" s="4"/>
      <c r="U23" s="4"/>
      <c r="V23" s="4"/>
      <c r="W23" s="4"/>
      <c r="X23" s="3"/>
      <c r="Y23" s="3"/>
      <c r="Z23" s="3"/>
      <c r="AA23" s="3"/>
      <c r="AB23" s="3"/>
      <c r="AC23" s="3"/>
      <c r="AD23" s="3"/>
      <c r="AE23" s="3"/>
      <c r="AF23" s="4"/>
      <c r="AG23" s="4"/>
      <c r="AH23" s="3"/>
      <c r="AI23" s="3"/>
      <c r="AJ23" s="3"/>
      <c r="AK23" s="3"/>
      <c r="AL23" s="4"/>
      <c r="AM23" s="4"/>
      <c r="AN23" s="3"/>
      <c r="AO23" s="4"/>
      <c r="AP23" s="4"/>
      <c r="AQ23" s="4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66"/>
      <c r="BF23" s="66"/>
      <c r="BG23" s="66"/>
      <c r="BH23" s="66"/>
      <c r="BJ23" s="66"/>
      <c r="BK23" s="66"/>
      <c r="BM23" s="66"/>
      <c r="BO23" s="66"/>
      <c r="BP23" s="66"/>
      <c r="BQ23" s="66"/>
      <c r="BR23" s="66"/>
      <c r="BS23" s="66"/>
      <c r="BT23" s="73">
        <f t="shared" si="0"/>
        <v>0</v>
      </c>
    </row>
    <row r="24" spans="1:75" x14ac:dyDescent="0.25">
      <c r="A24" t="s">
        <v>116</v>
      </c>
      <c r="B24" s="4"/>
      <c r="C24" s="4"/>
      <c r="D24" s="4"/>
      <c r="E24" s="4"/>
      <c r="F24" s="4"/>
      <c r="G24" s="4"/>
      <c r="H24" s="4"/>
      <c r="I24" s="4"/>
      <c r="J24" s="3"/>
      <c r="K24" s="4"/>
      <c r="L24" s="4"/>
      <c r="M24" s="4"/>
      <c r="N24" s="4"/>
      <c r="O24" s="4"/>
      <c r="P24" s="3"/>
      <c r="Q24" s="3"/>
      <c r="R24" s="4"/>
      <c r="S24" s="4"/>
      <c r="T24" s="4"/>
      <c r="U24" s="4"/>
      <c r="V24" s="4"/>
      <c r="W24" s="4"/>
      <c r="X24" s="3"/>
      <c r="Y24" s="3"/>
      <c r="Z24" s="3"/>
      <c r="AA24" s="3"/>
      <c r="AB24" s="3"/>
      <c r="AC24" s="3"/>
      <c r="AD24" s="3"/>
      <c r="AE24" s="3"/>
      <c r="AF24" s="4"/>
      <c r="AG24" s="4"/>
      <c r="AH24" s="3"/>
      <c r="AI24" s="3"/>
      <c r="AJ24" s="3"/>
      <c r="AK24" s="3"/>
      <c r="AL24" s="4"/>
      <c r="AM24" s="4"/>
      <c r="AN24" s="3"/>
      <c r="AO24" s="4"/>
      <c r="AP24" s="4"/>
      <c r="AQ24" s="4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66"/>
      <c r="BF24" s="66"/>
      <c r="BG24" s="66"/>
      <c r="BH24" s="66"/>
      <c r="BJ24" s="66"/>
      <c r="BK24" s="66"/>
      <c r="BM24" s="66"/>
      <c r="BO24" s="66">
        <v>0</v>
      </c>
      <c r="BP24" s="66">
        <v>0</v>
      </c>
      <c r="BQ24" s="66">
        <v>0</v>
      </c>
      <c r="BR24" s="66">
        <v>0</v>
      </c>
      <c r="BS24" s="66"/>
      <c r="BT24" s="73">
        <f t="shared" si="0"/>
        <v>0</v>
      </c>
    </row>
    <row r="25" spans="1:75" x14ac:dyDescent="0.25">
      <c r="A25" s="122" t="s">
        <v>117</v>
      </c>
      <c r="B25" s="4"/>
      <c r="C25" s="4"/>
      <c r="D25" s="4"/>
      <c r="E25" s="4"/>
      <c r="F25" s="4"/>
      <c r="G25" s="4"/>
      <c r="H25" s="4"/>
      <c r="I25" s="4"/>
      <c r="J25" s="3"/>
      <c r="K25" s="4"/>
      <c r="L25" s="4"/>
      <c r="M25" s="4"/>
      <c r="N25" s="4"/>
      <c r="O25" s="4"/>
      <c r="P25" s="3"/>
      <c r="Q25" s="3"/>
      <c r="R25" s="4"/>
      <c r="S25" s="4"/>
      <c r="T25" s="4"/>
      <c r="U25" s="4"/>
      <c r="V25" s="4"/>
      <c r="W25" s="4"/>
      <c r="X25" s="3"/>
      <c r="Y25" s="3"/>
      <c r="Z25" s="3"/>
      <c r="AA25" s="3"/>
      <c r="AB25" s="3"/>
      <c r="AC25" s="3"/>
      <c r="AD25" s="3"/>
      <c r="AE25" s="3"/>
      <c r="AF25" s="4"/>
      <c r="AG25" s="4"/>
      <c r="AH25" s="3"/>
      <c r="AI25" s="3"/>
      <c r="AJ25" s="3"/>
      <c r="AK25" s="3"/>
      <c r="AL25" s="4"/>
      <c r="AM25" s="4"/>
      <c r="AN25" s="3"/>
      <c r="AO25" s="4"/>
      <c r="AP25" s="4"/>
      <c r="AQ25" s="4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66"/>
      <c r="BF25" s="66"/>
      <c r="BG25" s="66"/>
      <c r="BH25" s="66"/>
      <c r="BJ25" s="66"/>
      <c r="BK25" s="66"/>
      <c r="BM25" s="66"/>
      <c r="BO25" s="66"/>
      <c r="BP25" s="66"/>
      <c r="BQ25" s="66"/>
      <c r="BR25" s="66"/>
      <c r="BS25" s="66"/>
      <c r="BT25" s="73">
        <f t="shared" si="0"/>
        <v>0</v>
      </c>
    </row>
    <row r="26" spans="1:75" x14ac:dyDescent="0.25">
      <c r="A26" s="122" t="s">
        <v>118</v>
      </c>
      <c r="B26" s="4"/>
      <c r="C26" s="4"/>
      <c r="D26" s="4"/>
      <c r="E26" s="4"/>
      <c r="F26" s="4"/>
      <c r="G26" s="4"/>
      <c r="H26" s="4"/>
      <c r="I26" s="4"/>
      <c r="J26" s="3"/>
      <c r="K26" s="4"/>
      <c r="L26" s="4"/>
      <c r="M26" s="4"/>
      <c r="N26" s="4"/>
      <c r="O26" s="4"/>
      <c r="P26" s="3"/>
      <c r="Q26" s="3"/>
      <c r="R26" s="4"/>
      <c r="S26" s="4"/>
      <c r="T26" s="4"/>
      <c r="U26" s="4"/>
      <c r="V26" s="4"/>
      <c r="W26" s="4"/>
      <c r="X26" s="3"/>
      <c r="Y26" s="3"/>
      <c r="Z26" s="3"/>
      <c r="AA26" s="3"/>
      <c r="AB26" s="3"/>
      <c r="AC26" s="3"/>
      <c r="AD26" s="3"/>
      <c r="AE26" s="3"/>
      <c r="AF26" s="4"/>
      <c r="AG26" s="4"/>
      <c r="AH26" s="3"/>
      <c r="AI26" s="3"/>
      <c r="AJ26" s="3"/>
      <c r="AK26" s="3"/>
      <c r="AL26" s="4"/>
      <c r="AM26" s="4"/>
      <c r="AN26" s="3"/>
      <c r="AO26" s="4"/>
      <c r="AP26" s="4"/>
      <c r="AQ26" s="4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66"/>
      <c r="BF26" s="66"/>
      <c r="BG26" s="66"/>
      <c r="BH26" s="66"/>
      <c r="BJ26" s="66"/>
      <c r="BK26" s="66"/>
      <c r="BM26" s="66"/>
      <c r="BO26" s="66"/>
      <c r="BP26" s="66"/>
      <c r="BQ26" s="66"/>
      <c r="BR26" s="66"/>
      <c r="BS26" s="66"/>
      <c r="BT26" s="73">
        <f t="shared" si="0"/>
        <v>0</v>
      </c>
    </row>
    <row r="27" spans="1:75" x14ac:dyDescent="0.25">
      <c r="A27" t="s">
        <v>119</v>
      </c>
      <c r="B27" s="4"/>
      <c r="C27" s="4"/>
      <c r="D27" s="4"/>
      <c r="E27" s="4"/>
      <c r="F27" s="4"/>
      <c r="G27" s="4"/>
      <c r="H27" s="4"/>
      <c r="I27" s="4"/>
      <c r="J27" s="3"/>
      <c r="K27" s="4"/>
      <c r="L27" s="4"/>
      <c r="M27" s="4"/>
      <c r="N27" s="4"/>
      <c r="O27" s="4"/>
      <c r="P27" s="3"/>
      <c r="Q27" s="3"/>
      <c r="R27" s="4"/>
      <c r="S27" s="4"/>
      <c r="T27" s="4"/>
      <c r="U27" s="4"/>
      <c r="V27" s="4"/>
      <c r="W27" s="4"/>
      <c r="X27" s="3"/>
      <c r="Y27" s="3"/>
      <c r="Z27" s="3"/>
      <c r="AA27" s="3"/>
      <c r="AB27" s="3"/>
      <c r="AC27" s="3"/>
      <c r="AD27" s="3"/>
      <c r="AE27" s="3"/>
      <c r="AF27" s="4"/>
      <c r="AG27" s="4"/>
      <c r="AH27" s="3"/>
      <c r="AI27" s="3"/>
      <c r="AJ27" s="3"/>
      <c r="AK27" s="3"/>
      <c r="AL27" s="4"/>
      <c r="AM27" s="4"/>
      <c r="AN27" s="3"/>
      <c r="AO27" s="4"/>
      <c r="AP27" s="4"/>
      <c r="AQ27" s="4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66"/>
      <c r="BF27" s="66"/>
      <c r="BG27" s="66"/>
      <c r="BH27" s="66"/>
      <c r="BJ27" s="66"/>
      <c r="BK27" s="66"/>
      <c r="BM27" s="66"/>
      <c r="BO27" s="66"/>
      <c r="BP27" s="66">
        <v>0</v>
      </c>
      <c r="BQ27" s="66">
        <v>0</v>
      </c>
      <c r="BR27" s="66">
        <v>0</v>
      </c>
      <c r="BS27" s="66"/>
      <c r="BT27" s="73">
        <f t="shared" si="0"/>
        <v>0</v>
      </c>
    </row>
    <row r="28" spans="1:75" x14ac:dyDescent="0.25">
      <c r="A28" t="s">
        <v>73</v>
      </c>
      <c r="B28" s="2"/>
      <c r="C28" s="2"/>
      <c r="D28" s="2"/>
      <c r="E28" s="2"/>
      <c r="F28" s="2"/>
      <c r="G28" s="2"/>
      <c r="H28" s="2"/>
      <c r="I28" s="2"/>
      <c r="K28" s="2"/>
      <c r="L28" s="2"/>
      <c r="M28" s="2"/>
      <c r="N28" s="2"/>
      <c r="O28" s="2"/>
      <c r="R28" s="2"/>
      <c r="S28" s="2"/>
      <c r="T28" s="2"/>
      <c r="U28" s="2"/>
      <c r="V28" s="2"/>
      <c r="W28" s="2"/>
      <c r="AG28" s="2"/>
      <c r="AL28" s="2"/>
      <c r="AM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74"/>
      <c r="BF28" s="74"/>
      <c r="BG28" s="66"/>
      <c r="BH28" s="69"/>
      <c r="BI28" s="69"/>
      <c r="BJ28" s="69"/>
      <c r="BK28" s="66"/>
      <c r="BL28" s="68"/>
      <c r="BM28" s="66"/>
      <c r="BN28" s="69"/>
      <c r="BO28" s="66"/>
      <c r="BP28" s="66"/>
      <c r="BQ28" s="66"/>
      <c r="BR28" s="66"/>
      <c r="BS28" s="66"/>
      <c r="BT28" s="73">
        <f t="shared" si="0"/>
        <v>0</v>
      </c>
    </row>
    <row r="29" spans="1:75" x14ac:dyDescent="0.25">
      <c r="A29" t="s">
        <v>74</v>
      </c>
      <c r="B29" s="2"/>
      <c r="C29" s="2"/>
      <c r="D29" s="2"/>
      <c r="E29" s="2"/>
      <c r="F29" s="2"/>
      <c r="G29" s="2"/>
      <c r="H29" s="2"/>
      <c r="I29" s="2"/>
      <c r="K29" s="2"/>
      <c r="L29" s="2"/>
      <c r="M29" s="2"/>
      <c r="N29" s="2"/>
      <c r="O29" s="2"/>
      <c r="R29" s="2"/>
      <c r="S29" s="2"/>
      <c r="T29" s="2"/>
      <c r="U29" s="2"/>
      <c r="V29" s="2"/>
      <c r="W29" s="2"/>
      <c r="AG29" s="2"/>
      <c r="AL29" s="2"/>
      <c r="AM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66"/>
      <c r="BF29" s="66"/>
      <c r="BG29" s="66"/>
      <c r="BH29" s="68"/>
      <c r="BI29" s="68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73">
        <f t="shared" si="0"/>
        <v>0</v>
      </c>
    </row>
    <row r="30" spans="1:75" ht="15.75" thickBot="1" x14ac:dyDescent="0.3">
      <c r="B30" s="2"/>
      <c r="C30" s="2"/>
      <c r="D30" s="2"/>
      <c r="E30" s="2"/>
      <c r="F30" s="2"/>
      <c r="G30" s="2"/>
      <c r="H30" s="2"/>
      <c r="I30" s="2"/>
      <c r="K30" s="2"/>
      <c r="L30" s="2"/>
      <c r="M30" s="2"/>
      <c r="N30" s="2"/>
      <c r="O30" s="2"/>
      <c r="R30" s="2"/>
      <c r="S30" s="2"/>
      <c r="T30" s="2"/>
      <c r="U30" s="2"/>
      <c r="V30" s="2"/>
      <c r="W30" s="2"/>
      <c r="AG30" s="2"/>
      <c r="AL30" s="2"/>
      <c r="AM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73">
        <f t="shared" si="0"/>
        <v>0</v>
      </c>
    </row>
    <row r="31" spans="1:75" ht="15.75" thickBot="1" x14ac:dyDescent="0.3">
      <c r="A31" s="58" t="s">
        <v>95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127">
        <v>20326.53</v>
      </c>
      <c r="BF31" s="127">
        <v>37297.919999999998</v>
      </c>
      <c r="BG31" s="127">
        <v>38267.58</v>
      </c>
      <c r="BH31" s="128">
        <v>37523.71</v>
      </c>
      <c r="BI31" s="127">
        <v>35594.639999999999</v>
      </c>
      <c r="BJ31" s="127">
        <v>36153.86</v>
      </c>
      <c r="BK31" s="127">
        <v>34365.410000000003</v>
      </c>
      <c r="BL31" s="127">
        <v>37548.089999999997</v>
      </c>
      <c r="BM31" s="127">
        <v>38113.72</v>
      </c>
      <c r="BN31" s="127">
        <v>36160.17</v>
      </c>
      <c r="BO31" s="127">
        <v>34271.22</v>
      </c>
      <c r="BP31" s="127">
        <v>47359.16</v>
      </c>
      <c r="BQ31" s="127">
        <v>37175.07</v>
      </c>
      <c r="BR31" s="127">
        <v>35059.4</v>
      </c>
      <c r="BS31" s="70"/>
      <c r="BT31" s="73">
        <f t="shared" si="0"/>
        <v>505216.48000000004</v>
      </c>
      <c r="BV31" s="5">
        <f>0.288*BT31</f>
        <v>145502.34624000001</v>
      </c>
      <c r="BW31" s="6" t="e">
        <f>BV31/#REF!</f>
        <v>#REF!</v>
      </c>
    </row>
    <row r="32" spans="1:75" x14ac:dyDescent="0.25">
      <c r="A32" t="s">
        <v>79</v>
      </c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127"/>
      <c r="BF32" s="127"/>
      <c r="BG32" s="127"/>
      <c r="BH32" s="128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70"/>
      <c r="BT32" s="66">
        <f t="shared" si="0"/>
        <v>0</v>
      </c>
    </row>
    <row r="33" spans="1:79" x14ac:dyDescent="0.25"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>
        <f t="shared" si="0"/>
        <v>0</v>
      </c>
    </row>
    <row r="34" spans="1:79" x14ac:dyDescent="0.25">
      <c r="A34" t="s">
        <v>96</v>
      </c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>
        <f t="shared" si="0"/>
        <v>0</v>
      </c>
      <c r="BY34" s="77">
        <v>10000000</v>
      </c>
      <c r="BZ34">
        <v>35</v>
      </c>
      <c r="CA34" t="s">
        <v>97</v>
      </c>
    </row>
    <row r="35" spans="1:79" x14ac:dyDescent="0.25"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124"/>
      <c r="BQ35" s="66"/>
      <c r="BR35" s="66"/>
      <c r="BS35" s="66"/>
      <c r="BT35" s="66">
        <f t="shared" si="0"/>
        <v>0</v>
      </c>
      <c r="BZ35">
        <v>34.5</v>
      </c>
      <c r="CA35" t="s">
        <v>98</v>
      </c>
    </row>
    <row r="36" spans="1:79" x14ac:dyDescent="0.25"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73"/>
    </row>
    <row r="37" spans="1:79" x14ac:dyDescent="0.25">
      <c r="A37" t="s">
        <v>70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97"/>
      <c r="BF37" s="99"/>
      <c r="BG37" s="98"/>
      <c r="BH37" s="99"/>
      <c r="BI37" s="98"/>
      <c r="BJ37" s="97"/>
      <c r="BK37" s="98"/>
      <c r="BL37" s="99"/>
      <c r="BM37" s="97"/>
      <c r="BN37" s="99"/>
      <c r="BO37" s="98"/>
      <c r="BP37" s="97"/>
      <c r="BQ37" s="66"/>
      <c r="BR37" s="66"/>
      <c r="BS37" s="66"/>
      <c r="BT37" s="66">
        <f t="shared" ref="BT37:BT48" si="1">SUM(BE37:BS37)</f>
        <v>0</v>
      </c>
      <c r="BY37" s="77">
        <v>10000000</v>
      </c>
      <c r="BZ37">
        <v>35.5</v>
      </c>
      <c r="CA37" t="s">
        <v>98</v>
      </c>
    </row>
    <row r="38" spans="1:79" x14ac:dyDescent="0.25">
      <c r="A38" s="122" t="s">
        <v>120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>
        <f t="shared" si="1"/>
        <v>0</v>
      </c>
      <c r="BZ38">
        <v>33</v>
      </c>
      <c r="CA38" t="s">
        <v>97</v>
      </c>
    </row>
    <row r="39" spans="1:79" x14ac:dyDescent="0.25">
      <c r="A39" t="s">
        <v>121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123">
        <v>110770.52</v>
      </c>
      <c r="BP39" s="123">
        <v>12858.3</v>
      </c>
      <c r="BQ39" s="126">
        <v>55115.1</v>
      </c>
      <c r="BR39" s="125">
        <v>120956.12</v>
      </c>
      <c r="BS39" s="123">
        <v>183889.66</v>
      </c>
      <c r="BT39" s="66">
        <f t="shared" si="1"/>
        <v>483589.70000000007</v>
      </c>
    </row>
    <row r="40" spans="1:79" x14ac:dyDescent="0.25">
      <c r="A40" s="122" t="s">
        <v>122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>
        <f t="shared" si="1"/>
        <v>0</v>
      </c>
    </row>
    <row r="41" spans="1:79" x14ac:dyDescent="0.25">
      <c r="A41" s="122" t="s">
        <v>123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>
        <f t="shared" si="1"/>
        <v>0</v>
      </c>
    </row>
    <row r="42" spans="1:79" x14ac:dyDescent="0.25">
      <c r="A42" t="s">
        <v>124</v>
      </c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126">
        <v>3524.62</v>
      </c>
      <c r="BR42" s="125">
        <v>18431.36</v>
      </c>
      <c r="BS42" s="126">
        <v>110270.88</v>
      </c>
      <c r="BT42" s="66">
        <f t="shared" si="1"/>
        <v>132226.86000000002</v>
      </c>
    </row>
    <row r="43" spans="1:79" x14ac:dyDescent="0.25">
      <c r="A43" t="s">
        <v>71</v>
      </c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97"/>
      <c r="BF43" s="97"/>
      <c r="BG43" s="98"/>
      <c r="BH43" s="97"/>
      <c r="BI43" s="97"/>
      <c r="BJ43" s="97"/>
      <c r="BK43" s="97"/>
      <c r="BL43" s="97"/>
      <c r="BM43" s="97"/>
      <c r="BN43" s="97"/>
      <c r="BO43" s="97"/>
      <c r="BP43" s="99"/>
      <c r="BQ43" s="96"/>
      <c r="BR43" s="66"/>
      <c r="BS43" s="66"/>
      <c r="BT43" s="66">
        <f t="shared" si="1"/>
        <v>0</v>
      </c>
    </row>
    <row r="44" spans="1:79" x14ac:dyDescent="0.25">
      <c r="A44" s="122" t="s">
        <v>125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>
        <f t="shared" si="1"/>
        <v>0</v>
      </c>
    </row>
    <row r="45" spans="1:79" x14ac:dyDescent="0.25">
      <c r="A45" t="s">
        <v>126</v>
      </c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123">
        <v>93004.92</v>
      </c>
      <c r="BP45" s="125">
        <v>258961.88</v>
      </c>
      <c r="BQ45" s="126">
        <v>83076.740000000005</v>
      </c>
      <c r="BR45" s="125">
        <v>87663.8</v>
      </c>
      <c r="BS45" s="126">
        <v>79367.240000000005</v>
      </c>
      <c r="BT45" s="66">
        <f t="shared" si="1"/>
        <v>602074.57999999996</v>
      </c>
    </row>
    <row r="46" spans="1:79" x14ac:dyDescent="0.25">
      <c r="A46" s="122" t="s">
        <v>127</v>
      </c>
      <c r="AR46" s="2"/>
      <c r="AS46" s="50"/>
      <c r="AT46" s="5"/>
      <c r="AU46" s="5"/>
      <c r="AV46" s="5"/>
      <c r="AW46" s="5"/>
      <c r="AX46" s="5"/>
      <c r="AY46" s="50"/>
      <c r="AZ46" s="50"/>
      <c r="BA46" s="5"/>
      <c r="BB46" s="5"/>
      <c r="BC46" s="5"/>
      <c r="BD46" s="5"/>
      <c r="BE46" s="65"/>
      <c r="BF46" s="65"/>
      <c r="BG46" s="65"/>
      <c r="BH46" s="65"/>
      <c r="BI46" s="71"/>
      <c r="BT46" s="66">
        <f t="shared" si="1"/>
        <v>0</v>
      </c>
    </row>
    <row r="47" spans="1:79" x14ac:dyDescent="0.25">
      <c r="A47" s="122" t="s">
        <v>128</v>
      </c>
      <c r="AR47" s="2"/>
      <c r="AS47" s="50"/>
      <c r="AT47" s="5"/>
      <c r="AU47" s="5"/>
      <c r="AV47" s="5"/>
      <c r="AW47" s="5"/>
      <c r="AX47" s="5"/>
      <c r="AY47" s="50"/>
      <c r="AZ47" s="50"/>
      <c r="BA47" s="5"/>
      <c r="BB47" s="5"/>
      <c r="BC47" s="5"/>
      <c r="BD47" s="5"/>
      <c r="BE47" s="65"/>
      <c r="BF47" s="65"/>
      <c r="BG47" s="65"/>
      <c r="BH47" s="65"/>
      <c r="BI47" s="71"/>
      <c r="BT47" s="66">
        <f t="shared" si="1"/>
        <v>0</v>
      </c>
    </row>
    <row r="48" spans="1:79" x14ac:dyDescent="0.25">
      <c r="A48" t="s">
        <v>129</v>
      </c>
      <c r="BP48" s="126">
        <v>141453.63</v>
      </c>
      <c r="BQ48" s="126">
        <v>63268.2</v>
      </c>
      <c r="BR48" s="123">
        <v>58347.57</v>
      </c>
      <c r="BS48" s="126">
        <v>74419.42</v>
      </c>
      <c r="BT48" s="66">
        <f t="shared" si="1"/>
        <v>337488.82</v>
      </c>
    </row>
    <row r="49" spans="44:72" x14ac:dyDescent="0.25">
      <c r="AR49" s="2" t="e">
        <f>AR43-AR37-#REF!-SUM(AR5:AR30)</f>
        <v>#REF!</v>
      </c>
      <c r="AS49" s="2" t="e">
        <f>AS43-AS37-#REF!-SUM(AS5:AS30)</f>
        <v>#REF!</v>
      </c>
      <c r="AT49" s="2" t="e">
        <f>AT43-AT37-#REF!-SUM(AT5:AT30)</f>
        <v>#REF!</v>
      </c>
      <c r="AU49" s="2" t="e">
        <f>AU43-AU37-#REF!-SUM(AU5:AU30)</f>
        <v>#REF!</v>
      </c>
      <c r="AV49" s="2" t="e">
        <f>AV43-AV37-#REF!-SUM(AV5:AV30)</f>
        <v>#REF!</v>
      </c>
      <c r="AW49" s="2" t="e">
        <f>AW43-AW37-#REF!-SUM(AW5:AW30)</f>
        <v>#REF!</v>
      </c>
      <c r="AX49" s="2" t="e">
        <f>AX43-AX37-#REF!-SUM(AX5:AX30)</f>
        <v>#REF!</v>
      </c>
      <c r="AY49" s="2" t="e">
        <f>AY43-AY37-#REF!-SUM(AY5:AY30)</f>
        <v>#REF!</v>
      </c>
      <c r="AZ49" s="2" t="e">
        <f>AZ43-AZ37-#REF!-SUM(AZ5:AZ30)</f>
        <v>#REF!</v>
      </c>
      <c r="BA49" s="2" t="e">
        <f>BA43-BA37-#REF!-SUM(BA5:BA30)</f>
        <v>#REF!</v>
      </c>
      <c r="BB49" s="2" t="e">
        <f>BB43-BB37-#REF!-SUM(BB5:BB30)</f>
        <v>#REF!</v>
      </c>
      <c r="BC49" s="2" t="e">
        <f>BC43-BC37-#REF!-SUM(BC5:BC30)</f>
        <v>#REF!</v>
      </c>
      <c r="BD49" s="2" t="e">
        <f>BD43-BD37-#REF!-SUM(BD5:BD30)</f>
        <v>#REF!</v>
      </c>
      <c r="BE49" s="66"/>
      <c r="BF49" s="66"/>
      <c r="BG49" s="66"/>
      <c r="BH49" s="66"/>
      <c r="BI49" s="66"/>
      <c r="BT49" s="66"/>
    </row>
    <row r="50" spans="44:72" x14ac:dyDescent="0.25">
      <c r="AR50" s="7" t="e">
        <f t="shared" ref="AR50:BD50" si="2">+AR49/AR43</f>
        <v>#REF!</v>
      </c>
      <c r="AS50" s="7" t="e">
        <f t="shared" si="2"/>
        <v>#REF!</v>
      </c>
      <c r="AT50" s="7" t="e">
        <f t="shared" si="2"/>
        <v>#REF!</v>
      </c>
      <c r="AU50" s="7" t="e">
        <f t="shared" si="2"/>
        <v>#REF!</v>
      </c>
      <c r="AV50" s="7" t="e">
        <f t="shared" si="2"/>
        <v>#REF!</v>
      </c>
      <c r="AW50" s="7" t="e">
        <f t="shared" si="2"/>
        <v>#REF!</v>
      </c>
      <c r="AX50" s="7" t="e">
        <f t="shared" si="2"/>
        <v>#REF!</v>
      </c>
      <c r="AY50" s="7" t="e">
        <f t="shared" si="2"/>
        <v>#REF!</v>
      </c>
      <c r="AZ50" s="7" t="e">
        <f t="shared" si="2"/>
        <v>#REF!</v>
      </c>
      <c r="BA50" s="7" t="e">
        <f t="shared" si="2"/>
        <v>#REF!</v>
      </c>
      <c r="BB50" s="7" t="e">
        <f t="shared" si="2"/>
        <v>#REF!</v>
      </c>
      <c r="BC50" s="7" t="e">
        <f t="shared" si="2"/>
        <v>#REF!</v>
      </c>
      <c r="BD50" s="7" t="e">
        <f t="shared" si="2"/>
        <v>#REF!</v>
      </c>
      <c r="BE50" s="72"/>
      <c r="BF50" s="72"/>
      <c r="BG50" s="72"/>
      <c r="BH50" s="72"/>
      <c r="BI50" s="72"/>
    </row>
    <row r="51" spans="44:72" x14ac:dyDescent="0.25">
      <c r="BI51" s="70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17C5-B653-442D-B207-34EE390E71E9}">
  <dimension ref="A7:E21"/>
  <sheetViews>
    <sheetView workbookViewId="0">
      <selection activeCell="D34" sqref="D34"/>
    </sheetView>
  </sheetViews>
  <sheetFormatPr defaultRowHeight="15" x14ac:dyDescent="0.25"/>
  <cols>
    <col min="1" max="1" width="28.140625" bestFit="1" customWidth="1"/>
    <col min="3" max="3" width="10.5703125" bestFit="1" customWidth="1"/>
    <col min="4" max="5" width="9.140625" bestFit="1" customWidth="1"/>
  </cols>
  <sheetData>
    <row r="7" spans="1:5" x14ac:dyDescent="0.25">
      <c r="A7" t="s">
        <v>80</v>
      </c>
    </row>
    <row r="8" spans="1:5" x14ac:dyDescent="0.25">
      <c r="A8" t="s">
        <v>81</v>
      </c>
      <c r="C8" s="5">
        <v>145</v>
      </c>
    </row>
    <row r="9" spans="1:5" x14ac:dyDescent="0.25">
      <c r="A9" t="s">
        <v>82</v>
      </c>
      <c r="C9" s="5">
        <v>650</v>
      </c>
    </row>
    <row r="10" spans="1:5" x14ac:dyDescent="0.25">
      <c r="A10" t="s">
        <v>83</v>
      </c>
      <c r="C10" s="5">
        <v>500</v>
      </c>
    </row>
    <row r="11" spans="1:5" x14ac:dyDescent="0.25">
      <c r="A11" t="s">
        <v>84</v>
      </c>
      <c r="C11" s="5">
        <v>2000</v>
      </c>
    </row>
    <row r="12" spans="1:5" x14ac:dyDescent="0.25">
      <c r="A12" t="s">
        <v>85</v>
      </c>
      <c r="E12" s="5">
        <v>1500</v>
      </c>
    </row>
    <row r="13" spans="1:5" x14ac:dyDescent="0.25">
      <c r="A13" t="s">
        <v>86</v>
      </c>
      <c r="C13" s="5">
        <v>400</v>
      </c>
    </row>
    <row r="14" spans="1:5" x14ac:dyDescent="0.25">
      <c r="A14" t="s">
        <v>87</v>
      </c>
      <c r="C14" s="5">
        <v>300</v>
      </c>
    </row>
    <row r="15" spans="1:5" x14ac:dyDescent="0.25">
      <c r="A15" t="s">
        <v>88</v>
      </c>
      <c r="C15" s="5">
        <v>4000</v>
      </c>
    </row>
    <row r="16" spans="1:5" x14ac:dyDescent="0.25">
      <c r="A16" t="s">
        <v>89</v>
      </c>
      <c r="C16" s="5">
        <v>5000</v>
      </c>
    </row>
    <row r="17" spans="1:4" x14ac:dyDescent="0.25">
      <c r="A17" t="s">
        <v>90</v>
      </c>
      <c r="C17" s="5">
        <v>7100</v>
      </c>
      <c r="D17" s="5"/>
    </row>
    <row r="18" spans="1:4" x14ac:dyDescent="0.25">
      <c r="A18" t="s">
        <v>91</v>
      </c>
      <c r="C18" s="5">
        <v>1412</v>
      </c>
    </row>
    <row r="19" spans="1:4" x14ac:dyDescent="0.25">
      <c r="A19" t="s">
        <v>93</v>
      </c>
      <c r="C19" s="5">
        <v>1500</v>
      </c>
    </row>
    <row r="20" spans="1:4" x14ac:dyDescent="0.25">
      <c r="A20" t="s">
        <v>92</v>
      </c>
      <c r="C20" s="93">
        <v>1500</v>
      </c>
      <c r="D20" t="s">
        <v>94</v>
      </c>
    </row>
    <row r="21" spans="1:4" x14ac:dyDescent="0.25">
      <c r="C21" s="94">
        <f>SUM(C13:C20)</f>
        <v>21212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Apresentação</vt:lpstr>
      <vt:lpstr>planejamento_tributario</vt:lpstr>
      <vt:lpstr>Dados</vt:lpstr>
      <vt:lpstr>Despesas Informada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Bastos</dc:creator>
  <cp:lastModifiedBy>Luan Gonçalves</cp:lastModifiedBy>
  <cp:lastPrinted>2024-04-20T20:42:07Z</cp:lastPrinted>
  <dcterms:created xsi:type="dcterms:W3CDTF">2023-05-25T19:29:51Z</dcterms:created>
  <dcterms:modified xsi:type="dcterms:W3CDTF">2024-04-20T20:42:55Z</dcterms:modified>
</cp:coreProperties>
</file>