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uan\Documents\Projetos\Entercap\ENTERCAP-Resumo-tributario\"/>
    </mc:Choice>
  </mc:AlternateContent>
  <xr:revisionPtr revIDLastSave="0" documentId="13_ncr:1_{11250B43-2859-4F09-8AB4-F00C4E195E2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presentação" sheetId="4" r:id="rId1"/>
    <sheet name="Planejamento Tributário" sheetId="2" r:id="rId2"/>
  </sheets>
  <definedNames>
    <definedName name="CNPJ">Apresentação!$C$7</definedName>
    <definedName name="EMPRESA">Apresentação!$B$7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B7" i="2"/>
  <c r="P13" i="4"/>
  <c r="P12" i="4"/>
  <c r="P15" i="4"/>
  <c r="P14" i="4"/>
  <c r="N26" i="4" l="1"/>
  <c r="N25" i="4"/>
  <c r="N27" i="4" l="1"/>
  <c r="F19" i="4" l="1"/>
  <c r="P16" i="4" l="1"/>
  <c r="O24" i="4" s="1"/>
  <c r="O20" i="4" s="1"/>
  <c r="F30" i="4" l="1"/>
  <c r="P17" i="4" s="1"/>
  <c r="O21" i="4" s="1"/>
  <c r="O23" i="4" s="1"/>
  <c r="P18" i="4"/>
  <c r="P24" i="4" s="1"/>
  <c r="P22" i="4" s="1"/>
  <c r="P23" i="4" s="1"/>
  <c r="F36" i="4"/>
  <c r="G36" i="4" s="1"/>
  <c r="F41" i="4"/>
  <c r="G41" i="4" s="1"/>
  <c r="G25" i="4"/>
  <c r="G19" i="4"/>
  <c r="G18" i="4"/>
  <c r="G16" i="4"/>
  <c r="G24" i="4"/>
  <c r="G23" i="4"/>
  <c r="G22" i="4"/>
  <c r="G21" i="4"/>
  <c r="G20" i="4"/>
  <c r="G14" i="4"/>
  <c r="G15" i="4"/>
  <c r="S22" i="4" l="1"/>
  <c r="F38" i="4" s="1"/>
  <c r="G38" i="4" s="1"/>
  <c r="S23" i="4"/>
  <c r="F37" i="4" s="1"/>
  <c r="C30" i="4"/>
  <c r="G30" i="4"/>
  <c r="G27" i="4"/>
  <c r="G32" i="4" s="1"/>
  <c r="G26" i="4"/>
  <c r="G15" i="2"/>
  <c r="G16" i="2"/>
  <c r="G14" i="2"/>
  <c r="D46" i="2"/>
  <c r="G19" i="2"/>
  <c r="G20" i="2"/>
  <c r="G21" i="2"/>
  <c r="G22" i="2"/>
  <c r="G27" i="2"/>
  <c r="G28" i="2"/>
  <c r="G23" i="2"/>
  <c r="G18" i="2"/>
  <c r="G37" i="4" l="1"/>
  <c r="G31" i="4"/>
  <c r="F31" i="4" s="1"/>
  <c r="D45" i="2"/>
  <c r="D47" i="2"/>
  <c r="C31" i="4" l="1"/>
  <c r="F39" i="4"/>
  <c r="G39" i="4" s="1"/>
  <c r="F40" i="4"/>
  <c r="G40" i="4" s="1"/>
  <c r="G29" i="2"/>
  <c r="G33" i="2" s="1"/>
  <c r="G24" i="2"/>
  <c r="G36" i="2" l="1"/>
  <c r="G34" i="2"/>
  <c r="G47" i="4" l="1"/>
  <c r="F47" i="4"/>
</calcChain>
</file>

<file path=xl/sharedStrings.xml><?xml version="1.0" encoding="utf-8"?>
<sst xmlns="http://schemas.openxmlformats.org/spreadsheetml/2006/main" count="120" uniqueCount="75">
  <si>
    <t>1410 - INSS</t>
  </si>
  <si>
    <t>2172 - COFINS - CONTRIB</t>
  </si>
  <si>
    <t>8109 - PIS - FATURAMENTO</t>
  </si>
  <si>
    <t>2089 - IRPJ</t>
  </si>
  <si>
    <t>2372 - CSLL</t>
  </si>
  <si>
    <t>COMPRAS</t>
  </si>
  <si>
    <t>5629 - COFINS IMPORTAÇÃO</t>
  </si>
  <si>
    <t>1097 - IPI MAQ, APARELHOS</t>
  </si>
  <si>
    <t>VENDAS (BC SPED CONTRIBUIÇÕES)</t>
  </si>
  <si>
    <t>1038 - IPI IMPORTAÇÃO</t>
  </si>
  <si>
    <t>Folha</t>
  </si>
  <si>
    <t>ICMS</t>
  </si>
  <si>
    <t>IPI</t>
  </si>
  <si>
    <t>PIS</t>
  </si>
  <si>
    <t>COFINS</t>
  </si>
  <si>
    <t>Impostos:</t>
  </si>
  <si>
    <t>Tributação Presumido x Real</t>
  </si>
  <si>
    <t>FOLHA(MÉDIA INFORMADA VINICIUS)</t>
  </si>
  <si>
    <t>% TRIBUTOS SOBRE O FATURAMENTO</t>
  </si>
  <si>
    <t>CARGA TRIBUTÁRIA DO LUCRO PRESUMIDO SOBRE O FATURAMENTO</t>
  </si>
  <si>
    <t>COMPRAS INTERNACIONAIS x TRIBUTOS (EM RELAÇÃO AO FATURAMENTO)</t>
  </si>
  <si>
    <t>PLANEJAMENTO TRIBUTÁRIO - EMPRESA NO LUCRO REAL</t>
  </si>
  <si>
    <t>Redução da carga tributária</t>
  </si>
  <si>
    <t>(-) Compras Internacionais</t>
  </si>
  <si>
    <t>(-) Situações Reais da Empresa</t>
  </si>
  <si>
    <t>a analisar</t>
  </si>
  <si>
    <t>R$</t>
  </si>
  <si>
    <t>%</t>
  </si>
  <si>
    <t>Imposto sobre a folha</t>
  </si>
  <si>
    <t>Igual</t>
  </si>
  <si>
    <t>Diminui</t>
  </si>
  <si>
    <t>Cofins</t>
  </si>
  <si>
    <t>Planejamento Tributário: Oportunidades Lucro Presumido x Lucro Real</t>
  </si>
  <si>
    <t>Resumo da Carga Tributária no Lucro Real - Comparação com o Faturamento</t>
  </si>
  <si>
    <t>IRPJ</t>
  </si>
  <si>
    <t>C.S.L.L.</t>
  </si>
  <si>
    <t>FATURAMENTO</t>
  </si>
  <si>
    <t>% TRIBUTOS SOBRE VENDAS</t>
  </si>
  <si>
    <t>Custo Fixo - Teórico</t>
  </si>
  <si>
    <t>Lucro - Teórico</t>
  </si>
  <si>
    <t>MARGENS DE LUCRO E CUSTO</t>
  </si>
  <si>
    <t>TOTAL CARGA TRIBUTÁRIA</t>
  </si>
  <si>
    <t>INSS</t>
  </si>
  <si>
    <t>p/mês</t>
  </si>
  <si>
    <t>DAS</t>
  </si>
  <si>
    <t>Qtd</t>
  </si>
  <si>
    <t>FOLHA (Total Período)</t>
  </si>
  <si>
    <t>IRPJ (não identificamos baixa, quebras, roubo)</t>
  </si>
  <si>
    <t>CSLL (não identificamos baixa, quebras, roubo)</t>
  </si>
  <si>
    <t>COFINS (aproveitar despesas, excl ICMS, baixa, quebras, roubo)</t>
  </si>
  <si>
    <t>PIS (aproveitar despesas, excl ICMS, baixa, quebras, roubo)</t>
  </si>
  <si>
    <t>IRRF</t>
  </si>
  <si>
    <t>FGTS</t>
  </si>
  <si>
    <t>CARGA TRIBUTÁRIA SOBRE O FATURAMENTO</t>
  </si>
  <si>
    <t>COFINS - CONTRIB</t>
  </si>
  <si>
    <t>PIS - FATURAMENTO</t>
  </si>
  <si>
    <t>CSLL</t>
  </si>
  <si>
    <t>Período: 01/2023 - 02/2024</t>
  </si>
  <si>
    <t>CR</t>
  </si>
  <si>
    <t>DB</t>
  </si>
  <si>
    <t>compras</t>
  </si>
  <si>
    <t>despesas</t>
  </si>
  <si>
    <t>vendas</t>
  </si>
  <si>
    <t>ICMS COMPRA</t>
  </si>
  <si>
    <t>ICMS VENDA</t>
  </si>
  <si>
    <t>Compras</t>
  </si>
  <si>
    <t>Despesas</t>
  </si>
  <si>
    <t>Vendas</t>
  </si>
  <si>
    <t>Exclusão ICMS</t>
  </si>
  <si>
    <t>Base de Cálculo</t>
  </si>
  <si>
    <t>% ICMS Compra</t>
  </si>
  <si>
    <t>% ICMS Venda</t>
  </si>
  <si>
    <t>Resumo Tributário: Simples Nacional</t>
  </si>
  <si>
    <t>Empresa: NOME EMPRESA LTDA</t>
  </si>
  <si>
    <t>CNPJ: 00.111.222/0001-03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</si>
</sst>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9">
    <xf numFmtId="0" fontId="0" fillId="0" borderId="0" xfId="0"/>
    <xf numFmtId="4" fontId="0" fillId="0" borderId="0" xfId="0" applyNumberFormat="1"/>
    <xf numFmtId="0" fontId="0" fillId="0" borderId="0" xfId="0" quotePrefix="1"/>
    <xf numFmtId="43" fontId="0" fillId="0" borderId="0" xfId="1" applyFont="1"/>
    <xf numFmtId="10" fontId="0" fillId="0" borderId="0" xfId="2" applyNumberFormat="1" applyFont="1"/>
    <xf numFmtId="0" fontId="2" fillId="0" borderId="0" xfId="0" applyFont="1"/>
    <xf numFmtId="0" fontId="3" fillId="4" borderId="1" xfId="0" applyFont="1" applyFill="1" applyBorder="1"/>
    <xf numFmtId="4" fontId="3" fillId="4" borderId="2" xfId="0" applyNumberFormat="1" applyFont="1" applyFill="1" applyBorder="1"/>
    <xf numFmtId="10" fontId="3" fillId="4" borderId="2" xfId="2" applyNumberFormat="1" applyFont="1" applyFill="1" applyBorder="1"/>
    <xf numFmtId="0" fontId="3" fillId="4" borderId="3" xfId="0" applyFont="1" applyFill="1" applyBorder="1"/>
    <xf numFmtId="0" fontId="0" fillId="0" borderId="4" xfId="0" applyBorder="1"/>
    <xf numFmtId="10" fontId="0" fillId="0" borderId="0" xfId="2" applyNumberFormat="1" applyFont="1" applyBorder="1"/>
    <xf numFmtId="0" fontId="0" fillId="0" borderId="5" xfId="0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4" xfId="0" applyFont="1" applyFill="1" applyBorder="1"/>
    <xf numFmtId="4" fontId="3" fillId="3" borderId="0" xfId="0" applyNumberFormat="1" applyFont="1" applyFill="1"/>
    <xf numFmtId="10" fontId="3" fillId="3" borderId="0" xfId="2" applyNumberFormat="1" applyFont="1" applyFill="1" applyBorder="1"/>
    <xf numFmtId="0" fontId="3" fillId="3" borderId="5" xfId="0" applyFont="1" applyFill="1" applyBorder="1"/>
    <xf numFmtId="0" fontId="3" fillId="0" borderId="4" xfId="0" applyFont="1" applyBorder="1"/>
    <xf numFmtId="4" fontId="3" fillId="0" borderId="0" xfId="0" applyNumberFormat="1" applyFont="1"/>
    <xf numFmtId="10" fontId="3" fillId="0" borderId="0" xfId="2" applyNumberFormat="1" applyFont="1" applyFill="1" applyBorder="1"/>
    <xf numFmtId="0" fontId="3" fillId="0" borderId="5" xfId="0" applyFont="1" applyBorder="1"/>
    <xf numFmtId="0" fontId="3" fillId="3" borderId="6" xfId="0" applyFont="1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3" borderId="8" xfId="0" applyFill="1" applyBorder="1"/>
    <xf numFmtId="10" fontId="3" fillId="0" borderId="0" xfId="2" applyNumberFormat="1" applyFont="1" applyBorder="1" applyAlignment="1">
      <alignment horizontal="center"/>
    </xf>
    <xf numFmtId="0" fontId="3" fillId="5" borderId="4" xfId="0" applyFont="1" applyFill="1" applyBorder="1"/>
    <xf numFmtId="4" fontId="0" fillId="5" borderId="0" xfId="0" applyNumberFormat="1" applyFill="1"/>
    <xf numFmtId="10" fontId="3" fillId="5" borderId="0" xfId="2" applyNumberFormat="1" applyFont="1" applyFill="1" applyBorder="1"/>
    <xf numFmtId="0" fontId="0" fillId="5" borderId="5" xfId="0" applyFill="1" applyBorder="1"/>
    <xf numFmtId="4" fontId="3" fillId="5" borderId="0" xfId="0" applyNumberFormat="1" applyFont="1" applyFill="1"/>
    <xf numFmtId="0" fontId="3" fillId="5" borderId="5" xfId="0" applyFont="1" applyFill="1" applyBorder="1"/>
    <xf numFmtId="0" fontId="0" fillId="0" borderId="6" xfId="0" applyBorder="1"/>
    <xf numFmtId="0" fontId="0" fillId="0" borderId="7" xfId="0" applyBorder="1"/>
    <xf numFmtId="4" fontId="0" fillId="0" borderId="7" xfId="0" applyNumberFormat="1" applyBorder="1"/>
    <xf numFmtId="0" fontId="0" fillId="0" borderId="8" xfId="0" applyBorder="1"/>
    <xf numFmtId="0" fontId="4" fillId="0" borderId="0" xfId="0" applyFont="1"/>
    <xf numFmtId="0" fontId="0" fillId="4" borderId="2" xfId="0" applyFill="1" applyBorder="1"/>
    <xf numFmtId="0" fontId="0" fillId="5" borderId="0" xfId="0" applyFill="1"/>
    <xf numFmtId="0" fontId="0" fillId="3" borderId="0" xfId="0" applyFill="1"/>
    <xf numFmtId="0" fontId="0" fillId="2" borderId="2" xfId="0" applyFill="1" applyBorder="1"/>
    <xf numFmtId="0" fontId="0" fillId="0" borderId="4" xfId="0" quotePrefix="1" applyBorder="1"/>
    <xf numFmtId="10" fontId="3" fillId="3" borderId="7" xfId="0" applyNumberFormat="1" applyFont="1" applyFill="1" applyBorder="1"/>
    <xf numFmtId="0" fontId="3" fillId="0" borderId="0" xfId="0" applyFont="1"/>
    <xf numFmtId="0" fontId="0" fillId="0" borderId="0" xfId="0" applyAlignment="1">
      <alignment horizontal="center" vertical="center"/>
    </xf>
    <xf numFmtId="44" fontId="0" fillId="0" borderId="0" xfId="3" applyFont="1"/>
    <xf numFmtId="0" fontId="0" fillId="0" borderId="0" xfId="0" applyAlignment="1">
      <alignment horizontal="right"/>
    </xf>
    <xf numFmtId="0" fontId="3" fillId="5" borderId="6" xfId="0" applyFont="1" applyFill="1" applyBorder="1"/>
    <xf numFmtId="0" fontId="0" fillId="5" borderId="7" xfId="0" applyFill="1" applyBorder="1"/>
    <xf numFmtId="10" fontId="3" fillId="5" borderId="7" xfId="2" applyNumberFormat="1" applyFont="1" applyFill="1" applyBorder="1"/>
    <xf numFmtId="0" fontId="0" fillId="5" borderId="8" xfId="0" applyFill="1" applyBorder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3" fontId="5" fillId="0" borderId="0" xfId="1" applyFont="1" applyBorder="1"/>
    <xf numFmtId="0" fontId="5" fillId="0" borderId="0" xfId="0" applyFont="1"/>
    <xf numFmtId="10" fontId="5" fillId="0" borderId="5" xfId="2" applyNumberFormat="1" applyFont="1" applyBorder="1"/>
    <xf numFmtId="4" fontId="3" fillId="3" borderId="0" xfId="0" applyNumberFormat="1" applyFont="1" applyFill="1" applyAlignment="1">
      <alignment horizontal="center"/>
    </xf>
    <xf numFmtId="4" fontId="3" fillId="0" borderId="0" xfId="0" applyNumberFormat="1" applyFont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2" xfId="0" applyBorder="1"/>
    <xf numFmtId="4" fontId="0" fillId="0" borderId="2" xfId="0" applyNumberFormat="1" applyBorder="1"/>
    <xf numFmtId="10" fontId="0" fillId="0" borderId="2" xfId="2" applyNumberFormat="1" applyFont="1" applyBorder="1"/>
    <xf numFmtId="0" fontId="3" fillId="5" borderId="1" xfId="0" applyFont="1" applyFill="1" applyBorder="1"/>
    <xf numFmtId="0" fontId="0" fillId="5" borderId="2" xfId="0" applyFill="1" applyBorder="1"/>
    <xf numFmtId="4" fontId="3" fillId="5" borderId="2" xfId="0" applyNumberFormat="1" applyFont="1" applyFill="1" applyBorder="1"/>
    <xf numFmtId="10" fontId="3" fillId="5" borderId="2" xfId="2" applyNumberFormat="1" applyFont="1" applyFill="1" applyBorder="1"/>
    <xf numFmtId="0" fontId="3" fillId="5" borderId="3" xfId="0" applyFont="1" applyFill="1" applyBorder="1"/>
    <xf numFmtId="4" fontId="3" fillId="5" borderId="7" xfId="0" applyNumberFormat="1" applyFont="1" applyFill="1" applyBorder="1" applyAlignment="1">
      <alignment horizontal="center"/>
    </xf>
    <xf numFmtId="4" fontId="5" fillId="0" borderId="0" xfId="0" applyNumberFormat="1" applyFont="1" applyAlignment="1">
      <alignment horizontal="center"/>
    </xf>
    <xf numFmtId="4" fontId="5" fillId="0" borderId="0" xfId="1" applyNumberFormat="1" applyFont="1" applyAlignment="1">
      <alignment horizontal="center"/>
    </xf>
    <xf numFmtId="43" fontId="0" fillId="0" borderId="0" xfId="0" applyNumberFormat="1"/>
    <xf numFmtId="9" fontId="3" fillId="0" borderId="5" xfId="0" applyNumberFormat="1" applyFont="1" applyBorder="1"/>
    <xf numFmtId="9" fontId="0" fillId="0" borderId="5" xfId="0" applyNumberFormat="1" applyBorder="1"/>
    <xf numFmtId="4" fontId="0" fillId="0" borderId="0" xfId="1" applyNumberFormat="1" applyFont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3" fontId="0" fillId="0" borderId="15" xfId="1" applyFont="1" applyBorder="1"/>
    <xf numFmtId="43" fontId="0" fillId="0" borderId="16" xfId="1" applyFont="1" applyBorder="1"/>
    <xf numFmtId="43" fontId="0" fillId="0" borderId="13" xfId="0" applyNumberFormat="1" applyBorder="1"/>
    <xf numFmtId="0" fontId="6" fillId="0" borderId="12" xfId="0" applyFont="1" applyBorder="1"/>
    <xf numFmtId="43" fontId="6" fillId="0" borderId="0" xfId="0" applyNumberFormat="1" applyFont="1"/>
    <xf numFmtId="43" fontId="6" fillId="0" borderId="13" xfId="0" applyNumberFormat="1" applyFont="1" applyBorder="1"/>
    <xf numFmtId="0" fontId="3" fillId="6" borderId="0" xfId="0" applyFont="1" applyFill="1"/>
    <xf numFmtId="43" fontId="3" fillId="6" borderId="0" xfId="0" applyNumberFormat="1" applyFont="1" applyFill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65</xdr:row>
      <xdr:rowOff>158750</xdr:rowOff>
    </xdr:from>
    <xdr:to>
      <xdr:col>2</xdr:col>
      <xdr:colOff>482600</xdr:colOff>
      <xdr:row>67</xdr:row>
      <xdr:rowOff>19050</xdr:rowOff>
    </xdr:to>
    <xdr:sp macro="" textlink="">
      <xdr:nvSpPr>
        <xdr:cNvPr id="2" name="Igual a 1">
          <a:extLst>
            <a:ext uri="{FF2B5EF4-FFF2-40B4-BE49-F238E27FC236}">
              <a16:creationId xmlns:a16="http://schemas.microsoft.com/office/drawing/2014/main" id="{F0D106B3-58B7-4FA4-9E17-20E9DA29E414}"/>
            </a:ext>
          </a:extLst>
        </xdr:cNvPr>
        <xdr:cNvSpPr/>
      </xdr:nvSpPr>
      <xdr:spPr>
        <a:xfrm>
          <a:off x="3105150" y="10013950"/>
          <a:ext cx="260350" cy="260350"/>
        </a:xfrm>
        <a:prstGeom prst="mathEqua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228600</xdr:colOff>
      <xdr:row>67</xdr:row>
      <xdr:rowOff>0</xdr:rowOff>
    </xdr:from>
    <xdr:to>
      <xdr:col>2</xdr:col>
      <xdr:colOff>488950</xdr:colOff>
      <xdr:row>68</xdr:row>
      <xdr:rowOff>44450</xdr:rowOff>
    </xdr:to>
    <xdr:sp macro="" textlink="">
      <xdr:nvSpPr>
        <xdr:cNvPr id="3" name="Igual a 2">
          <a:extLst>
            <a:ext uri="{FF2B5EF4-FFF2-40B4-BE49-F238E27FC236}">
              <a16:creationId xmlns:a16="http://schemas.microsoft.com/office/drawing/2014/main" id="{C8DFA0F1-8DD6-4CE5-B4E2-3379810577E8}"/>
            </a:ext>
          </a:extLst>
        </xdr:cNvPr>
        <xdr:cNvSpPr/>
      </xdr:nvSpPr>
      <xdr:spPr>
        <a:xfrm>
          <a:off x="3111500" y="10255250"/>
          <a:ext cx="260350" cy="266700"/>
        </a:xfrm>
        <a:prstGeom prst="mathEqua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260350</xdr:colOff>
      <xdr:row>68</xdr:row>
      <xdr:rowOff>31750</xdr:rowOff>
    </xdr:from>
    <xdr:to>
      <xdr:col>2</xdr:col>
      <xdr:colOff>400050</xdr:colOff>
      <xdr:row>68</xdr:row>
      <xdr:rowOff>165100</xdr:rowOff>
    </xdr:to>
    <xdr:sp macro="" textlink="">
      <xdr:nvSpPr>
        <xdr:cNvPr id="4" name="Seta: para Cima 3">
          <a:extLst>
            <a:ext uri="{FF2B5EF4-FFF2-40B4-BE49-F238E27FC236}">
              <a16:creationId xmlns:a16="http://schemas.microsoft.com/office/drawing/2014/main" id="{EDDA59C8-0FCB-4BCC-8123-CC934C09623B}"/>
            </a:ext>
          </a:extLst>
        </xdr:cNvPr>
        <xdr:cNvSpPr/>
      </xdr:nvSpPr>
      <xdr:spPr>
        <a:xfrm>
          <a:off x="3143250" y="1050925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266700</xdr:colOff>
      <xdr:row>69</xdr:row>
      <xdr:rowOff>31750</xdr:rowOff>
    </xdr:from>
    <xdr:to>
      <xdr:col>2</xdr:col>
      <xdr:colOff>406400</xdr:colOff>
      <xdr:row>69</xdr:row>
      <xdr:rowOff>165100</xdr:rowOff>
    </xdr:to>
    <xdr:sp macro="" textlink="">
      <xdr:nvSpPr>
        <xdr:cNvPr id="5" name="Seta: para Cima 4">
          <a:extLst>
            <a:ext uri="{FF2B5EF4-FFF2-40B4-BE49-F238E27FC236}">
              <a16:creationId xmlns:a16="http://schemas.microsoft.com/office/drawing/2014/main" id="{C3F49B1F-B15F-49AE-A922-6A244355A03F}"/>
            </a:ext>
          </a:extLst>
        </xdr:cNvPr>
        <xdr:cNvSpPr/>
      </xdr:nvSpPr>
      <xdr:spPr>
        <a:xfrm>
          <a:off x="3149600" y="1078865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260350</xdr:colOff>
      <xdr:row>70</xdr:row>
      <xdr:rowOff>38100</xdr:rowOff>
    </xdr:from>
    <xdr:to>
      <xdr:col>2</xdr:col>
      <xdr:colOff>400050</xdr:colOff>
      <xdr:row>70</xdr:row>
      <xdr:rowOff>171450</xdr:rowOff>
    </xdr:to>
    <xdr:sp macro="" textlink="">
      <xdr:nvSpPr>
        <xdr:cNvPr id="6" name="Seta: para Cima 5">
          <a:extLst>
            <a:ext uri="{FF2B5EF4-FFF2-40B4-BE49-F238E27FC236}">
              <a16:creationId xmlns:a16="http://schemas.microsoft.com/office/drawing/2014/main" id="{2A881AE1-7498-44F8-9196-F8EDB238DD04}"/>
            </a:ext>
          </a:extLst>
        </xdr:cNvPr>
        <xdr:cNvSpPr/>
      </xdr:nvSpPr>
      <xdr:spPr>
        <a:xfrm>
          <a:off x="3143250" y="1106170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108405</xdr:colOff>
      <xdr:row>5</xdr:row>
      <xdr:rowOff>59690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FA15B71-EEB8-45F8-A8B3-F2D5EE382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865429" cy="9479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53</xdr:row>
      <xdr:rowOff>158750</xdr:rowOff>
    </xdr:from>
    <xdr:to>
      <xdr:col>2</xdr:col>
      <xdr:colOff>482600</xdr:colOff>
      <xdr:row>55</xdr:row>
      <xdr:rowOff>19050</xdr:rowOff>
    </xdr:to>
    <xdr:sp macro="" textlink="">
      <xdr:nvSpPr>
        <xdr:cNvPr id="2" name="Igual a 1">
          <a:extLst>
            <a:ext uri="{FF2B5EF4-FFF2-40B4-BE49-F238E27FC236}">
              <a16:creationId xmlns:a16="http://schemas.microsoft.com/office/drawing/2014/main" id="{4E6F32FE-4F76-1F92-A53B-2B787E27C94B}"/>
            </a:ext>
          </a:extLst>
        </xdr:cNvPr>
        <xdr:cNvSpPr/>
      </xdr:nvSpPr>
      <xdr:spPr>
        <a:xfrm>
          <a:off x="9290050" y="1816100"/>
          <a:ext cx="260350" cy="228600"/>
        </a:xfrm>
        <a:prstGeom prst="mathEqua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228600</xdr:colOff>
      <xdr:row>55</xdr:row>
      <xdr:rowOff>0</xdr:rowOff>
    </xdr:from>
    <xdr:to>
      <xdr:col>2</xdr:col>
      <xdr:colOff>488950</xdr:colOff>
      <xdr:row>56</xdr:row>
      <xdr:rowOff>44450</xdr:rowOff>
    </xdr:to>
    <xdr:sp macro="" textlink="">
      <xdr:nvSpPr>
        <xdr:cNvPr id="3" name="Igual a 2">
          <a:extLst>
            <a:ext uri="{FF2B5EF4-FFF2-40B4-BE49-F238E27FC236}">
              <a16:creationId xmlns:a16="http://schemas.microsoft.com/office/drawing/2014/main" id="{77010C24-44D0-468B-953E-F11EAEFAD21D}"/>
            </a:ext>
          </a:extLst>
        </xdr:cNvPr>
        <xdr:cNvSpPr/>
      </xdr:nvSpPr>
      <xdr:spPr>
        <a:xfrm>
          <a:off x="9296400" y="2025650"/>
          <a:ext cx="260350" cy="228600"/>
        </a:xfrm>
        <a:prstGeom prst="mathEqua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260350</xdr:colOff>
      <xdr:row>56</xdr:row>
      <xdr:rowOff>31750</xdr:rowOff>
    </xdr:from>
    <xdr:to>
      <xdr:col>2</xdr:col>
      <xdr:colOff>400050</xdr:colOff>
      <xdr:row>56</xdr:row>
      <xdr:rowOff>165100</xdr:rowOff>
    </xdr:to>
    <xdr:sp macro="" textlink="">
      <xdr:nvSpPr>
        <xdr:cNvPr id="4" name="Seta: para Cima 3">
          <a:extLst>
            <a:ext uri="{FF2B5EF4-FFF2-40B4-BE49-F238E27FC236}">
              <a16:creationId xmlns:a16="http://schemas.microsoft.com/office/drawing/2014/main" id="{53D315D7-FAE9-14CA-AC12-CED487FC727A}"/>
            </a:ext>
          </a:extLst>
        </xdr:cNvPr>
        <xdr:cNvSpPr/>
      </xdr:nvSpPr>
      <xdr:spPr>
        <a:xfrm>
          <a:off x="9328150" y="224155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266700</xdr:colOff>
      <xdr:row>57</xdr:row>
      <xdr:rowOff>31750</xdr:rowOff>
    </xdr:from>
    <xdr:to>
      <xdr:col>2</xdr:col>
      <xdr:colOff>406400</xdr:colOff>
      <xdr:row>57</xdr:row>
      <xdr:rowOff>165100</xdr:rowOff>
    </xdr:to>
    <xdr:sp macro="" textlink="">
      <xdr:nvSpPr>
        <xdr:cNvPr id="5" name="Seta: para Cima 4">
          <a:extLst>
            <a:ext uri="{FF2B5EF4-FFF2-40B4-BE49-F238E27FC236}">
              <a16:creationId xmlns:a16="http://schemas.microsoft.com/office/drawing/2014/main" id="{5ABBC4A8-F4AC-43BF-A609-F1807B96C8C3}"/>
            </a:ext>
          </a:extLst>
        </xdr:cNvPr>
        <xdr:cNvSpPr/>
      </xdr:nvSpPr>
      <xdr:spPr>
        <a:xfrm>
          <a:off x="9334500" y="242570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260350</xdr:colOff>
      <xdr:row>58</xdr:row>
      <xdr:rowOff>38100</xdr:rowOff>
    </xdr:from>
    <xdr:to>
      <xdr:col>2</xdr:col>
      <xdr:colOff>400050</xdr:colOff>
      <xdr:row>58</xdr:row>
      <xdr:rowOff>171450</xdr:rowOff>
    </xdr:to>
    <xdr:sp macro="" textlink="">
      <xdr:nvSpPr>
        <xdr:cNvPr id="6" name="Seta: para Cima 5">
          <a:extLst>
            <a:ext uri="{FF2B5EF4-FFF2-40B4-BE49-F238E27FC236}">
              <a16:creationId xmlns:a16="http://schemas.microsoft.com/office/drawing/2014/main" id="{14934EAA-7653-422E-981B-EE8838AB13A9}"/>
            </a:ext>
          </a:extLst>
        </xdr:cNvPr>
        <xdr:cNvSpPr/>
      </xdr:nvSpPr>
      <xdr:spPr>
        <a:xfrm>
          <a:off x="9328150" y="2616200"/>
          <a:ext cx="139700" cy="133350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273685</xdr:colOff>
      <xdr:row>5</xdr:row>
      <xdr:rowOff>63500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28F828B-77B9-7C55-1C79-C527ABD4D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69810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7:S71"/>
  <sheetViews>
    <sheetView zoomScale="80" zoomScaleNormal="80" workbookViewId="0">
      <selection activeCell="E7" sqref="E7"/>
    </sheetView>
  </sheetViews>
  <sheetFormatPr defaultRowHeight="15" x14ac:dyDescent="0.25"/>
  <cols>
    <col min="2" max="2" width="84.42578125" customWidth="1"/>
    <col min="3" max="3" width="16" customWidth="1"/>
    <col min="4" max="4" width="8.5703125" customWidth="1"/>
    <col min="5" max="5" width="11.42578125" customWidth="1"/>
    <col min="6" max="6" width="16.5703125" bestFit="1" customWidth="1"/>
    <col min="7" max="7" width="13.5703125" bestFit="1" customWidth="1"/>
    <col min="9" max="9" width="8.85546875" style="50"/>
    <col min="10" max="10" width="15.5703125" bestFit="1" customWidth="1"/>
    <col min="11" max="11" width="8.7109375" style="60"/>
    <col min="12" max="12" width="11.85546875" bestFit="1" customWidth="1"/>
    <col min="13" max="13" width="2.85546875" style="60" bestFit="1" customWidth="1"/>
    <col min="14" max="14" width="19.140625" style="60" bestFit="1" customWidth="1"/>
    <col min="15" max="15" width="14.5703125" customWidth="1"/>
    <col min="16" max="16" width="14.5703125" bestFit="1" customWidth="1"/>
    <col min="18" max="18" width="7.85546875" bestFit="1" customWidth="1"/>
    <col min="19" max="19" width="10.140625" bestFit="1" customWidth="1"/>
    <col min="16377" max="16377" width="17.5703125" bestFit="1" customWidth="1"/>
    <col min="16378" max="16379" width="16.140625" bestFit="1" customWidth="1"/>
    <col min="16382" max="16382" width="10.5703125" bestFit="1" customWidth="1"/>
  </cols>
  <sheetData>
    <row r="7" spans="1:16" x14ac:dyDescent="0.25">
      <c r="A7" s="52"/>
      <c r="B7" s="49" t="s">
        <v>73</v>
      </c>
      <c r="C7" s="98" t="s">
        <v>74</v>
      </c>
      <c r="D7" s="52"/>
      <c r="H7" s="2"/>
    </row>
    <row r="10" spans="1:16" ht="21" x14ac:dyDescent="0.35">
      <c r="B10" s="42" t="s">
        <v>72</v>
      </c>
      <c r="C10" t="s">
        <v>57</v>
      </c>
    </row>
    <row r="11" spans="1:16" ht="15.75" thickBot="1" x14ac:dyDescent="0.3"/>
    <row r="12" spans="1:16" x14ac:dyDescent="0.25">
      <c r="B12" s="13" t="s">
        <v>53</v>
      </c>
      <c r="C12" s="46"/>
      <c r="D12" s="46"/>
      <c r="E12" s="46"/>
      <c r="F12" s="14"/>
      <c r="G12" s="14"/>
      <c r="H12" s="15"/>
      <c r="N12"/>
      <c r="O12" t="s">
        <v>63</v>
      </c>
      <c r="P12" s="80">
        <f>C43</f>
        <v>0.12</v>
      </c>
    </row>
    <row r="13" spans="1:16" x14ac:dyDescent="0.25">
      <c r="B13" s="16"/>
      <c r="F13" s="17" t="s">
        <v>26</v>
      </c>
      <c r="G13" s="17" t="s">
        <v>27</v>
      </c>
      <c r="H13" s="18" t="s">
        <v>45</v>
      </c>
      <c r="N13"/>
      <c r="O13" t="s">
        <v>64</v>
      </c>
      <c r="P13" s="80">
        <f>C44</f>
        <v>0.12</v>
      </c>
    </row>
    <row r="14" spans="1:16" x14ac:dyDescent="0.25">
      <c r="B14" s="10" t="s">
        <v>36</v>
      </c>
      <c r="F14" s="58">
        <v>100000</v>
      </c>
      <c r="G14" s="11">
        <f>F14/$F$14</f>
        <v>1</v>
      </c>
      <c r="H14" s="18">
        <v>5</v>
      </c>
      <c r="J14" s="51"/>
      <c r="N14"/>
      <c r="O14" t="s">
        <v>13</v>
      </c>
      <c r="P14" s="81">
        <f>H38</f>
        <v>1.6500000000000001E-2</v>
      </c>
    </row>
    <row r="15" spans="1:16" x14ac:dyDescent="0.25">
      <c r="B15" s="10" t="s">
        <v>5</v>
      </c>
      <c r="F15" s="58">
        <v>1000</v>
      </c>
      <c r="G15" s="11">
        <f>F15/$F$14</f>
        <v>0.01</v>
      </c>
      <c r="H15" s="18">
        <v>5</v>
      </c>
      <c r="J15" s="51"/>
      <c r="N15"/>
      <c r="O15" t="s">
        <v>14</v>
      </c>
      <c r="P15" s="81">
        <f>H37</f>
        <v>7.5999999999999998E-2</v>
      </c>
    </row>
    <row r="16" spans="1:16" x14ac:dyDescent="0.25">
      <c r="B16" s="10" t="s">
        <v>46</v>
      </c>
      <c r="F16" s="58">
        <v>2000</v>
      </c>
      <c r="G16" s="11">
        <f>F16/$F$14</f>
        <v>0.02</v>
      </c>
      <c r="H16" s="18">
        <v>14</v>
      </c>
      <c r="N16"/>
      <c r="O16" t="s">
        <v>60</v>
      </c>
      <c r="P16" s="1">
        <f>F15</f>
        <v>1000</v>
      </c>
    </row>
    <row r="17" spans="2:19" x14ac:dyDescent="0.25">
      <c r="B17" s="10"/>
      <c r="F17" s="57"/>
      <c r="G17" s="11"/>
      <c r="H17" s="12"/>
      <c r="N17"/>
      <c r="O17" t="s">
        <v>61</v>
      </c>
      <c r="P17" s="1">
        <f>F30</f>
        <v>40000</v>
      </c>
    </row>
    <row r="18" spans="2:19" x14ac:dyDescent="0.25">
      <c r="B18" s="10" t="s">
        <v>42</v>
      </c>
      <c r="F18" s="58">
        <v>3000</v>
      </c>
      <c r="G18" s="11">
        <f t="shared" ref="G18:G25" si="0">F18/$F$14</f>
        <v>0.03</v>
      </c>
      <c r="H18" s="18">
        <v>14</v>
      </c>
      <c r="N18"/>
      <c r="O18" t="s">
        <v>62</v>
      </c>
      <c r="P18" s="1">
        <f>F14</f>
        <v>100000</v>
      </c>
    </row>
    <row r="19" spans="2:19" x14ac:dyDescent="0.25">
      <c r="B19" s="10" t="s">
        <v>52</v>
      </c>
      <c r="F19" s="58">
        <f>0.08*F16</f>
        <v>160</v>
      </c>
      <c r="G19" s="11">
        <f t="shared" si="0"/>
        <v>1.6000000000000001E-3</v>
      </c>
      <c r="H19" s="18">
        <v>14</v>
      </c>
      <c r="J19" s="3"/>
      <c r="N19" s="82"/>
      <c r="O19" s="83" t="s">
        <v>58</v>
      </c>
      <c r="P19" s="84" t="s">
        <v>59</v>
      </c>
    </row>
    <row r="20" spans="2:19" x14ac:dyDescent="0.25">
      <c r="B20" s="10" t="s">
        <v>54</v>
      </c>
      <c r="F20" s="58">
        <v>4000</v>
      </c>
      <c r="G20" s="11">
        <f t="shared" si="0"/>
        <v>0.04</v>
      </c>
      <c r="H20" s="18">
        <v>0</v>
      </c>
      <c r="K20" s="74"/>
      <c r="L20" s="58"/>
      <c r="M20" s="74"/>
      <c r="N20" s="85" t="s">
        <v>65</v>
      </c>
      <c r="O20" s="76">
        <f>(P16-O24)</f>
        <v>880</v>
      </c>
      <c r="P20" s="86"/>
    </row>
    <row r="21" spans="2:19" x14ac:dyDescent="0.25">
      <c r="B21" s="10" t="s">
        <v>55</v>
      </c>
      <c r="F21" s="58">
        <v>3000</v>
      </c>
      <c r="G21" s="11">
        <f t="shared" si="0"/>
        <v>0.03</v>
      </c>
      <c r="H21" s="18">
        <v>0</v>
      </c>
      <c r="K21" s="74"/>
      <c r="L21" s="58"/>
      <c r="M21" s="74"/>
      <c r="N21" s="85" t="s">
        <v>66</v>
      </c>
      <c r="O21" s="1">
        <f>P17</f>
        <v>40000</v>
      </c>
      <c r="P21" s="86"/>
    </row>
    <row r="22" spans="2:19" x14ac:dyDescent="0.25">
      <c r="B22" s="47" t="s">
        <v>51</v>
      </c>
      <c r="F22" s="58">
        <v>5000</v>
      </c>
      <c r="G22" s="11">
        <f t="shared" si="0"/>
        <v>0.05</v>
      </c>
      <c r="H22" s="18">
        <v>4</v>
      </c>
      <c r="K22" s="74"/>
      <c r="L22" s="79"/>
      <c r="M22" s="74"/>
      <c r="N22" s="85" t="s">
        <v>67</v>
      </c>
      <c r="P22" s="90">
        <f>(P18-P24)</f>
        <v>88000</v>
      </c>
      <c r="R22" s="94" t="s">
        <v>13</v>
      </c>
      <c r="S22" s="95">
        <f>(P23*P14)-(O23*P14)</f>
        <v>777.48</v>
      </c>
    </row>
    <row r="23" spans="2:19" ht="18.75" x14ac:dyDescent="0.3">
      <c r="B23" s="10" t="s">
        <v>34</v>
      </c>
      <c r="F23" s="58">
        <v>6000</v>
      </c>
      <c r="G23" s="11">
        <f t="shared" si="0"/>
        <v>0.06</v>
      </c>
      <c r="H23" s="18">
        <v>0</v>
      </c>
      <c r="K23" s="74"/>
      <c r="L23" s="79"/>
      <c r="M23" s="74"/>
      <c r="N23" s="91" t="s">
        <v>69</v>
      </c>
      <c r="O23" s="92">
        <f>SUM(O20:O22)</f>
        <v>40880</v>
      </c>
      <c r="P23" s="93">
        <f>SUM(P22)</f>
        <v>88000</v>
      </c>
      <c r="R23" s="94" t="s">
        <v>14</v>
      </c>
      <c r="S23" s="95">
        <f>(P23*P15)-(O23*P15)</f>
        <v>3581.12</v>
      </c>
    </row>
    <row r="24" spans="2:19" x14ac:dyDescent="0.25">
      <c r="B24" s="10" t="s">
        <v>56</v>
      </c>
      <c r="F24" s="58">
        <v>7000</v>
      </c>
      <c r="G24" s="11">
        <f t="shared" si="0"/>
        <v>7.0000000000000007E-2</v>
      </c>
      <c r="H24" s="18">
        <v>0</v>
      </c>
      <c r="J24" s="1"/>
      <c r="K24" s="74"/>
      <c r="L24" s="79"/>
      <c r="M24" s="74"/>
      <c r="N24" s="87" t="s">
        <v>68</v>
      </c>
      <c r="O24" s="88">
        <f>P16*P12</f>
        <v>120</v>
      </c>
      <c r="P24" s="89">
        <f>P18*P13</f>
        <v>12000</v>
      </c>
    </row>
    <row r="25" spans="2:19" x14ac:dyDescent="0.25">
      <c r="B25" s="10" t="s">
        <v>44</v>
      </c>
      <c r="F25" s="58">
        <v>8000</v>
      </c>
      <c r="G25" s="11">
        <f t="shared" si="0"/>
        <v>0.08</v>
      </c>
      <c r="H25" s="18">
        <v>15</v>
      </c>
      <c r="J25" s="1"/>
      <c r="K25" s="74"/>
      <c r="L25" s="79"/>
      <c r="M25" s="74"/>
      <c r="N25" s="75">
        <f t="shared" ref="N25" si="1">+K25*30*L25</f>
        <v>0</v>
      </c>
    </row>
    <row r="26" spans="2:19" x14ac:dyDescent="0.25">
      <c r="B26" s="19" t="s">
        <v>37</v>
      </c>
      <c r="C26" s="45"/>
      <c r="D26" s="45"/>
      <c r="E26" s="45"/>
      <c r="F26" s="62"/>
      <c r="G26" s="21">
        <f>SUM(G20:G25)</f>
        <v>0.33</v>
      </c>
      <c r="H26" s="22"/>
      <c r="K26" s="74"/>
      <c r="L26" s="58"/>
      <c r="M26" s="74"/>
      <c r="N26" s="74">
        <f>+K26*L26</f>
        <v>0</v>
      </c>
    </row>
    <row r="27" spans="2:19" x14ac:dyDescent="0.25">
      <c r="B27" s="23" t="s">
        <v>11</v>
      </c>
      <c r="F27" s="58">
        <v>9000</v>
      </c>
      <c r="G27" s="25">
        <f>F27/F14</f>
        <v>0.09</v>
      </c>
      <c r="H27" s="77">
        <v>0.17</v>
      </c>
      <c r="J27" s="3"/>
      <c r="K27" s="74"/>
      <c r="L27" s="58"/>
      <c r="M27" s="74"/>
      <c r="N27" s="74">
        <f>SUM(N25:N26)</f>
        <v>0</v>
      </c>
    </row>
    <row r="28" spans="2:19" x14ac:dyDescent="0.25">
      <c r="B28" s="23"/>
      <c r="F28" s="63"/>
      <c r="G28" s="25"/>
      <c r="H28" s="26"/>
    </row>
    <row r="29" spans="2:19" x14ac:dyDescent="0.25">
      <c r="B29" s="19" t="s">
        <v>40</v>
      </c>
      <c r="C29" s="45"/>
      <c r="D29" s="45"/>
      <c r="E29" s="45"/>
      <c r="F29" s="62"/>
      <c r="G29" s="21"/>
      <c r="H29" s="22"/>
    </row>
    <row r="30" spans="2:19" x14ac:dyDescent="0.25">
      <c r="B30" s="10" t="s">
        <v>38</v>
      </c>
      <c r="C30" s="59">
        <f>F30/16</f>
        <v>2500</v>
      </c>
      <c r="D30" s="60" t="s">
        <v>43</v>
      </c>
      <c r="F30" s="58">
        <f>H30*F14</f>
        <v>40000</v>
      </c>
      <c r="G30" s="11">
        <f>F30/F14</f>
        <v>0.4</v>
      </c>
      <c r="H30" s="78">
        <v>0.4</v>
      </c>
    </row>
    <row r="31" spans="2:19" x14ac:dyDescent="0.25">
      <c r="B31" s="10" t="s">
        <v>39</v>
      </c>
      <c r="C31" s="59">
        <f>F31/16</f>
        <v>1249.9999999999984</v>
      </c>
      <c r="D31" s="60" t="s">
        <v>43</v>
      </c>
      <c r="F31" s="58">
        <f>G31*F14</f>
        <v>19999.999999999975</v>
      </c>
      <c r="G31" s="11">
        <f>(100%-G15-G16-G18-G20-G21-G22-G23-G24-G27-G30)</f>
        <v>0.19999999999999973</v>
      </c>
      <c r="H31" s="12"/>
    </row>
    <row r="32" spans="2:19" ht="15.75" thickBot="1" x14ac:dyDescent="0.3">
      <c r="B32" s="27" t="s">
        <v>41</v>
      </c>
      <c r="C32" s="28"/>
      <c r="D32" s="28"/>
      <c r="E32" s="28"/>
      <c r="F32" s="64"/>
      <c r="G32" s="48">
        <f>SUM(G18:G25)+G27</f>
        <v>0.4516</v>
      </c>
      <c r="H32" s="30"/>
    </row>
    <row r="33" spans="2:16" ht="15.75" thickBot="1" x14ac:dyDescent="0.3">
      <c r="F33" s="1"/>
      <c r="G33" s="4"/>
    </row>
    <row r="34" spans="2:16" x14ac:dyDescent="0.25">
      <c r="B34" s="6" t="s">
        <v>21</v>
      </c>
      <c r="C34" s="43"/>
      <c r="D34" s="43"/>
      <c r="E34" s="43"/>
      <c r="F34" s="7"/>
      <c r="G34" s="8"/>
      <c r="H34" s="9"/>
    </row>
    <row r="35" spans="2:16" x14ac:dyDescent="0.25">
      <c r="B35" s="10"/>
      <c r="F35" s="1"/>
      <c r="G35" s="31" t="s">
        <v>27</v>
      </c>
      <c r="H35" s="12"/>
    </row>
    <row r="36" spans="2:16" x14ac:dyDescent="0.25">
      <c r="B36" s="10" t="s">
        <v>42</v>
      </c>
      <c r="F36" s="58">
        <f>F14*H36</f>
        <v>1617.920778151936</v>
      </c>
      <c r="G36" s="11">
        <f>F36/F14</f>
        <v>1.6179207781519361E-2</v>
      </c>
      <c r="H36" s="61">
        <v>1.6179207781519361E-2</v>
      </c>
      <c r="L36" s="57"/>
      <c r="O36" s="96"/>
      <c r="P36" s="96"/>
    </row>
    <row r="37" spans="2:16" x14ac:dyDescent="0.25">
      <c r="B37" s="10" t="s">
        <v>49</v>
      </c>
      <c r="F37" s="58">
        <f>S23</f>
        <v>3581.12</v>
      </c>
      <c r="G37" s="11">
        <f>F37/$F$14</f>
        <v>3.5811200000000001E-2</v>
      </c>
      <c r="H37" s="61">
        <v>7.5999999999999998E-2</v>
      </c>
      <c r="L37" s="3"/>
      <c r="O37" s="96"/>
      <c r="P37" s="96"/>
    </row>
    <row r="38" spans="2:16" x14ac:dyDescent="0.25">
      <c r="B38" s="10" t="s">
        <v>50</v>
      </c>
      <c r="F38" s="58">
        <f>S22</f>
        <v>777.48</v>
      </c>
      <c r="G38" s="11">
        <f t="shared" ref="G38:G41" si="2">F38/$F$14</f>
        <v>7.7748000000000001E-3</v>
      </c>
      <c r="H38" s="61">
        <v>1.6500000000000001E-2</v>
      </c>
      <c r="O38" s="96"/>
      <c r="P38" s="96"/>
    </row>
    <row r="39" spans="2:16" x14ac:dyDescent="0.25">
      <c r="B39" s="10" t="s">
        <v>47</v>
      </c>
      <c r="F39" s="58">
        <f>IF(F31&gt;0,F31*H39,0)</f>
        <v>2999.9999999999959</v>
      </c>
      <c r="G39" s="11">
        <f t="shared" si="2"/>
        <v>2.9999999999999961E-2</v>
      </c>
      <c r="H39" s="61">
        <v>0.15</v>
      </c>
      <c r="O39" s="96"/>
      <c r="P39" s="96"/>
    </row>
    <row r="40" spans="2:16" x14ac:dyDescent="0.25">
      <c r="B40" s="10" t="s">
        <v>48</v>
      </c>
      <c r="F40" s="58">
        <f>IF(F31&gt;0,F31*H40,0)</f>
        <v>1799.9999999999977</v>
      </c>
      <c r="G40" s="11">
        <f t="shared" si="2"/>
        <v>1.7999999999999978E-2</v>
      </c>
      <c r="H40" s="61">
        <v>0.09</v>
      </c>
      <c r="O40" s="96"/>
      <c r="P40" s="96"/>
    </row>
    <row r="41" spans="2:16" x14ac:dyDescent="0.25">
      <c r="B41" s="10" t="s">
        <v>11</v>
      </c>
      <c r="F41" s="58">
        <f>+(H41*F14)-(F15*12%)</f>
        <v>11880</v>
      </c>
      <c r="G41" s="11">
        <f t="shared" si="2"/>
        <v>0.1188</v>
      </c>
      <c r="H41" s="61">
        <v>0.12</v>
      </c>
      <c r="J41" s="4"/>
    </row>
    <row r="42" spans="2:16" x14ac:dyDescent="0.25">
      <c r="B42" s="10"/>
      <c r="F42" s="1"/>
      <c r="G42" s="11"/>
      <c r="H42" s="12"/>
      <c r="J42" s="4"/>
    </row>
    <row r="43" spans="2:16" x14ac:dyDescent="0.25">
      <c r="B43" s="10" t="s">
        <v>70</v>
      </c>
      <c r="C43" s="80">
        <v>0.12</v>
      </c>
      <c r="F43" s="1"/>
      <c r="G43" s="11"/>
      <c r="H43" s="12"/>
    </row>
    <row r="44" spans="2:16" x14ac:dyDescent="0.25">
      <c r="B44" s="10" t="s">
        <v>71</v>
      </c>
      <c r="C44" s="80">
        <v>0.12</v>
      </c>
      <c r="F44" s="1"/>
      <c r="G44" s="11"/>
      <c r="H44" s="12"/>
    </row>
    <row r="45" spans="2:16" x14ac:dyDescent="0.25">
      <c r="B45" s="10"/>
      <c r="F45" s="1"/>
      <c r="G45" s="11"/>
      <c r="H45" s="12"/>
    </row>
    <row r="46" spans="2:16" x14ac:dyDescent="0.25">
      <c r="B46" s="10"/>
      <c r="F46" s="1"/>
      <c r="G46" s="11"/>
      <c r="H46" s="12"/>
    </row>
    <row r="47" spans="2:16" ht="15.75" thickBot="1" x14ac:dyDescent="0.3">
      <c r="B47" s="53" t="s">
        <v>18</v>
      </c>
      <c r="C47" s="54"/>
      <c r="D47" s="54"/>
      <c r="E47" s="54"/>
      <c r="F47" s="73">
        <f>SUM(F36:F46)</f>
        <v>22656.520778151931</v>
      </c>
      <c r="G47" s="55">
        <f>G36+G39+G40+G41+G37+G38+G42</f>
        <v>0.22656520778151931</v>
      </c>
      <c r="H47" s="56"/>
    </row>
    <row r="48" spans="2:16" ht="15.75" thickBot="1" x14ac:dyDescent="0.3">
      <c r="B48" s="65"/>
      <c r="C48" s="65"/>
      <c r="D48" s="65"/>
      <c r="E48" s="65"/>
      <c r="F48" s="66"/>
      <c r="G48" s="67"/>
      <c r="H48" s="65"/>
    </row>
    <row r="49" spans="2:8" x14ac:dyDescent="0.25">
      <c r="B49" s="68" t="s">
        <v>33</v>
      </c>
      <c r="C49" s="69"/>
      <c r="D49" s="69"/>
      <c r="E49" s="69"/>
      <c r="F49" s="70"/>
      <c r="G49" s="71"/>
      <c r="H49" s="72"/>
    </row>
    <row r="50" spans="2:8" x14ac:dyDescent="0.25">
      <c r="B50" s="10" t="s">
        <v>28</v>
      </c>
      <c r="G50" s="1" t="s">
        <v>29</v>
      </c>
      <c r="H50" s="12"/>
    </row>
    <row r="51" spans="2:8" x14ac:dyDescent="0.25">
      <c r="B51" s="10" t="s">
        <v>11</v>
      </c>
      <c r="G51" s="1" t="s">
        <v>29</v>
      </c>
      <c r="H51" s="12"/>
    </row>
    <row r="52" spans="2:8" x14ac:dyDescent="0.25">
      <c r="B52" s="10" t="s">
        <v>34</v>
      </c>
      <c r="G52" s="1" t="s">
        <v>30</v>
      </c>
      <c r="H52" s="12"/>
    </row>
    <row r="53" spans="2:8" x14ac:dyDescent="0.25">
      <c r="B53" s="10" t="s">
        <v>35</v>
      </c>
      <c r="G53" s="1" t="s">
        <v>30</v>
      </c>
      <c r="H53" s="12"/>
    </row>
    <row r="54" spans="2:8" x14ac:dyDescent="0.25">
      <c r="B54" s="10" t="s">
        <v>13</v>
      </c>
      <c r="G54" s="1" t="s">
        <v>30</v>
      </c>
      <c r="H54" s="12"/>
    </row>
    <row r="55" spans="2:8" ht="15.75" thickBot="1" x14ac:dyDescent="0.3">
      <c r="B55" s="38" t="s">
        <v>31</v>
      </c>
      <c r="C55" s="39"/>
      <c r="D55" s="39"/>
      <c r="E55" s="39"/>
      <c r="F55" s="39"/>
      <c r="G55" s="40" t="s">
        <v>30</v>
      </c>
      <c r="H55" s="41"/>
    </row>
    <row r="57" spans="2:8" x14ac:dyDescent="0.25">
      <c r="C57" s="1"/>
      <c r="D57" s="4"/>
    </row>
    <row r="58" spans="2:8" x14ac:dyDescent="0.25">
      <c r="C58" s="1"/>
      <c r="D58" s="4"/>
    </row>
    <row r="59" spans="2:8" x14ac:dyDescent="0.25">
      <c r="C59" s="1"/>
      <c r="D59" s="4"/>
    </row>
    <row r="60" spans="2:8" x14ac:dyDescent="0.25">
      <c r="C60" s="1"/>
      <c r="D60" s="4"/>
    </row>
    <row r="65" spans="2:3" x14ac:dyDescent="0.25">
      <c r="B65" s="97" t="s">
        <v>16</v>
      </c>
      <c r="C65" s="97"/>
    </row>
    <row r="66" spans="2:3" ht="11.45" customHeight="1" x14ac:dyDescent="0.25">
      <c r="B66" t="s">
        <v>15</v>
      </c>
    </row>
    <row r="67" spans="2:3" ht="18.95" customHeight="1" x14ac:dyDescent="0.25">
      <c r="B67" t="s">
        <v>10</v>
      </c>
      <c r="C67" s="5"/>
    </row>
    <row r="68" spans="2:3" ht="17.45" customHeight="1" x14ac:dyDescent="0.25">
      <c r="B68" t="s">
        <v>11</v>
      </c>
    </row>
    <row r="69" spans="2:3" ht="21.95" customHeight="1" x14ac:dyDescent="0.25">
      <c r="B69" t="s">
        <v>12</v>
      </c>
    </row>
    <row r="70" spans="2:3" ht="21" customHeight="1" x14ac:dyDescent="0.25">
      <c r="B70" t="s">
        <v>13</v>
      </c>
    </row>
    <row r="71" spans="2:3" ht="21.6" customHeight="1" x14ac:dyDescent="0.25">
      <c r="B71" t="s">
        <v>14</v>
      </c>
    </row>
  </sheetData>
  <mergeCells count="1">
    <mergeCell ref="B65:C65"/>
  </mergeCells>
  <pageMargins left="0.511811024" right="0.511811024" top="0.78740157499999996" bottom="0.78740157499999996" header="0.31496062000000002" footer="0.31496062000000002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7:H59"/>
  <sheetViews>
    <sheetView tabSelected="1" workbookViewId="0">
      <selection activeCell="H8" sqref="H8"/>
    </sheetView>
  </sheetViews>
  <sheetFormatPr defaultRowHeight="15" x14ac:dyDescent="0.25"/>
  <cols>
    <col min="2" max="2" width="32.5703125" bestFit="1" customWidth="1"/>
    <col min="3" max="3" width="11.42578125" bestFit="1" customWidth="1"/>
    <col min="5" max="5" width="11.42578125" customWidth="1"/>
    <col min="6" max="6" width="11.42578125" bestFit="1" customWidth="1"/>
  </cols>
  <sheetData>
    <row r="7" spans="2:8" x14ac:dyDescent="0.25">
      <c r="B7" s="49" t="str">
        <f>EMPRESA</f>
        <v>Empresa: NOME EMPRESA LTDA</v>
      </c>
      <c r="D7" s="98" t="str">
        <f>CNPJ</f>
        <v>CNPJ: 00.111.222/0001-03</v>
      </c>
    </row>
    <row r="10" spans="2:8" ht="21" x14ac:dyDescent="0.35">
      <c r="B10" s="42" t="s">
        <v>32</v>
      </c>
    </row>
    <row r="11" spans="2:8" ht="15.75" thickBot="1" x14ac:dyDescent="0.3"/>
    <row r="12" spans="2:8" x14ac:dyDescent="0.25">
      <c r="B12" s="13" t="s">
        <v>19</v>
      </c>
      <c r="C12" s="46"/>
      <c r="D12" s="46"/>
      <c r="E12" s="46"/>
      <c r="F12" s="14"/>
      <c r="G12" s="14"/>
      <c r="H12" s="15"/>
    </row>
    <row r="13" spans="2:8" x14ac:dyDescent="0.25">
      <c r="B13" s="16"/>
      <c r="F13" s="17" t="s">
        <v>26</v>
      </c>
      <c r="G13" s="17" t="s">
        <v>27</v>
      </c>
      <c r="H13" s="18"/>
    </row>
    <row r="14" spans="2:8" x14ac:dyDescent="0.25">
      <c r="B14" s="10" t="s">
        <v>5</v>
      </c>
      <c r="F14" s="1">
        <v>20000</v>
      </c>
      <c r="G14" s="11">
        <f>F14/$F$15</f>
        <v>0.2</v>
      </c>
      <c r="H14" s="18"/>
    </row>
    <row r="15" spans="2:8" x14ac:dyDescent="0.25">
      <c r="B15" s="10" t="s">
        <v>8</v>
      </c>
      <c r="F15" s="1">
        <v>100000</v>
      </c>
      <c r="G15" s="11">
        <f>F15/$F$15</f>
        <v>1</v>
      </c>
      <c r="H15" s="18"/>
    </row>
    <row r="16" spans="2:8" x14ac:dyDescent="0.25">
      <c r="B16" s="10" t="s">
        <v>17</v>
      </c>
      <c r="F16" s="1">
        <v>40000</v>
      </c>
      <c r="G16" s="11">
        <f>F16/$F$15</f>
        <v>0.4</v>
      </c>
      <c r="H16" s="18"/>
    </row>
    <row r="17" spans="2:8" x14ac:dyDescent="0.25">
      <c r="B17" s="10"/>
      <c r="G17" s="11"/>
      <c r="H17" s="12"/>
    </row>
    <row r="18" spans="2:8" x14ac:dyDescent="0.25">
      <c r="B18" s="10" t="s">
        <v>0</v>
      </c>
      <c r="F18" s="1">
        <v>1000</v>
      </c>
      <c r="G18" s="11">
        <f t="shared" ref="G18:G23" si="0">F18/$F$15</f>
        <v>0.01</v>
      </c>
      <c r="H18" s="12"/>
    </row>
    <row r="19" spans="2:8" x14ac:dyDescent="0.25">
      <c r="B19" s="10" t="s">
        <v>1</v>
      </c>
      <c r="F19" s="1">
        <v>2000</v>
      </c>
      <c r="G19" s="11">
        <f t="shared" si="0"/>
        <v>0.02</v>
      </c>
      <c r="H19" s="12"/>
    </row>
    <row r="20" spans="2:8" x14ac:dyDescent="0.25">
      <c r="B20" s="10" t="s">
        <v>2</v>
      </c>
      <c r="F20" s="1">
        <v>3000</v>
      </c>
      <c r="G20" s="11">
        <f t="shared" si="0"/>
        <v>0.03</v>
      </c>
      <c r="H20" s="12"/>
    </row>
    <row r="21" spans="2:8" x14ac:dyDescent="0.25">
      <c r="B21" s="10" t="s">
        <v>3</v>
      </c>
      <c r="F21" s="1">
        <v>4000</v>
      </c>
      <c r="G21" s="11">
        <f t="shared" si="0"/>
        <v>0.04</v>
      </c>
      <c r="H21" s="12"/>
    </row>
    <row r="22" spans="2:8" x14ac:dyDescent="0.25">
      <c r="B22" s="10" t="s">
        <v>4</v>
      </c>
      <c r="F22" s="1">
        <v>5000</v>
      </c>
      <c r="G22" s="11">
        <f t="shared" si="0"/>
        <v>0.05</v>
      </c>
      <c r="H22" s="12"/>
    </row>
    <row r="23" spans="2:8" x14ac:dyDescent="0.25">
      <c r="B23" s="10" t="s">
        <v>7</v>
      </c>
      <c r="F23" s="1">
        <v>6000</v>
      </c>
      <c r="G23" s="11">
        <f t="shared" si="0"/>
        <v>0.06</v>
      </c>
      <c r="H23" s="12"/>
    </row>
    <row r="24" spans="2:8" x14ac:dyDescent="0.25">
      <c r="B24" s="19" t="s">
        <v>18</v>
      </c>
      <c r="C24" s="45"/>
      <c r="D24" s="45"/>
      <c r="E24" s="45"/>
      <c r="F24" s="20"/>
      <c r="G24" s="21">
        <f>SUM(G19:G23)</f>
        <v>0.2</v>
      </c>
      <c r="H24" s="22"/>
    </row>
    <row r="25" spans="2:8" x14ac:dyDescent="0.25">
      <c r="B25" s="23"/>
      <c r="F25" s="24"/>
      <c r="G25" s="25"/>
      <c r="H25" s="26"/>
    </row>
    <row r="26" spans="2:8" x14ac:dyDescent="0.25">
      <c r="B26" s="19" t="s">
        <v>20</v>
      </c>
      <c r="C26" s="45"/>
      <c r="D26" s="45"/>
      <c r="E26" s="45"/>
      <c r="F26" s="20"/>
      <c r="G26" s="21"/>
      <c r="H26" s="22"/>
    </row>
    <row r="27" spans="2:8" x14ac:dyDescent="0.25">
      <c r="B27" s="10" t="s">
        <v>9</v>
      </c>
      <c r="F27" s="1">
        <v>7000</v>
      </c>
      <c r="G27" s="11">
        <f>F27/$F$15</f>
        <v>7.0000000000000007E-2</v>
      </c>
      <c r="H27" s="12"/>
    </row>
    <row r="28" spans="2:8" x14ac:dyDescent="0.25">
      <c r="B28" s="10" t="s">
        <v>6</v>
      </c>
      <c r="F28" s="1">
        <v>8000</v>
      </c>
      <c r="G28" s="11">
        <f>F28/$F$15</f>
        <v>0.08</v>
      </c>
      <c r="H28" s="12"/>
    </row>
    <row r="29" spans="2:8" ht="15.75" thickBot="1" x14ac:dyDescent="0.3">
      <c r="B29" s="27" t="s">
        <v>18</v>
      </c>
      <c r="C29" s="28"/>
      <c r="D29" s="28"/>
      <c r="E29" s="28"/>
      <c r="F29" s="28"/>
      <c r="G29" s="29">
        <f>G27+G28</f>
        <v>0.15000000000000002</v>
      </c>
      <c r="H29" s="30"/>
    </row>
    <row r="30" spans="2:8" ht="15.75" thickBot="1" x14ac:dyDescent="0.3">
      <c r="F30" s="1"/>
      <c r="G30" s="4"/>
    </row>
    <row r="31" spans="2:8" x14ac:dyDescent="0.25">
      <c r="B31" s="6" t="s">
        <v>21</v>
      </c>
      <c r="C31" s="43"/>
      <c r="D31" s="43"/>
      <c r="E31" s="43"/>
      <c r="F31" s="7"/>
      <c r="G31" s="8"/>
      <c r="H31" s="9"/>
    </row>
    <row r="32" spans="2:8" x14ac:dyDescent="0.25">
      <c r="B32" s="10"/>
      <c r="F32" s="1"/>
      <c r="G32" s="31" t="s">
        <v>27</v>
      </c>
      <c r="H32" s="12"/>
    </row>
    <row r="33" spans="2:8" x14ac:dyDescent="0.25">
      <c r="B33" s="10" t="s">
        <v>23</v>
      </c>
      <c r="F33" s="1"/>
      <c r="G33" s="11">
        <f>G29</f>
        <v>0.15000000000000002</v>
      </c>
      <c r="H33" s="12"/>
    </row>
    <row r="34" spans="2:8" x14ac:dyDescent="0.25">
      <c r="B34" s="10" t="s">
        <v>22</v>
      </c>
      <c r="F34" s="1"/>
      <c r="G34" s="11">
        <f>1-((G24-G29)/G24)</f>
        <v>0.75</v>
      </c>
      <c r="H34" s="12"/>
    </row>
    <row r="35" spans="2:8" x14ac:dyDescent="0.25">
      <c r="B35" s="10" t="s">
        <v>24</v>
      </c>
      <c r="F35" s="1"/>
      <c r="G35" s="11" t="s">
        <v>25</v>
      </c>
      <c r="H35" s="12"/>
    </row>
    <row r="36" spans="2:8" x14ac:dyDescent="0.25">
      <c r="B36" s="32" t="s">
        <v>18</v>
      </c>
      <c r="C36" s="44"/>
      <c r="D36" s="44"/>
      <c r="E36" s="44"/>
      <c r="F36" s="33"/>
      <c r="G36" s="34">
        <f>G24-G29</f>
        <v>4.9999999999999989E-2</v>
      </c>
      <c r="H36" s="35"/>
    </row>
    <row r="37" spans="2:8" x14ac:dyDescent="0.25">
      <c r="B37" s="10"/>
      <c r="F37" s="1"/>
      <c r="G37" s="11"/>
      <c r="H37" s="12"/>
    </row>
    <row r="38" spans="2:8" x14ac:dyDescent="0.25">
      <c r="B38" s="32" t="s">
        <v>33</v>
      </c>
      <c r="C38" s="44"/>
      <c r="D38" s="44"/>
      <c r="E38" s="44"/>
      <c r="F38" s="36"/>
      <c r="G38" s="34"/>
      <c r="H38" s="37"/>
    </row>
    <row r="39" spans="2:8" x14ac:dyDescent="0.25">
      <c r="B39" s="10" t="s">
        <v>28</v>
      </c>
      <c r="G39" s="1" t="s">
        <v>29</v>
      </c>
      <c r="H39" s="12"/>
    </row>
    <row r="40" spans="2:8" x14ac:dyDescent="0.25">
      <c r="B40" s="10" t="s">
        <v>11</v>
      </c>
      <c r="G40" s="1" t="s">
        <v>29</v>
      </c>
      <c r="H40" s="12"/>
    </row>
    <row r="41" spans="2:8" x14ac:dyDescent="0.25">
      <c r="B41" s="10" t="s">
        <v>12</v>
      </c>
      <c r="G41" s="1" t="s">
        <v>30</v>
      </c>
      <c r="H41" s="12"/>
    </row>
    <row r="42" spans="2:8" x14ac:dyDescent="0.25">
      <c r="B42" s="10" t="s">
        <v>13</v>
      </c>
      <c r="G42" s="1" t="s">
        <v>30</v>
      </c>
      <c r="H42" s="12"/>
    </row>
    <row r="43" spans="2:8" ht="15.75" thickBot="1" x14ac:dyDescent="0.3">
      <c r="B43" s="38" t="s">
        <v>31</v>
      </c>
      <c r="C43" s="39"/>
      <c r="D43" s="39"/>
      <c r="E43" s="39"/>
      <c r="F43" s="39"/>
      <c r="G43" s="40" t="s">
        <v>30</v>
      </c>
      <c r="H43" s="41"/>
    </row>
    <row r="44" spans="2:8" x14ac:dyDescent="0.25">
      <c r="C44" s="1"/>
      <c r="D44" s="4"/>
    </row>
    <row r="45" spans="2:8" x14ac:dyDescent="0.25">
      <c r="B45" t="s">
        <v>5</v>
      </c>
      <c r="C45" s="1">
        <v>20000</v>
      </c>
      <c r="D45" s="4">
        <f>C45/$C$46</f>
        <v>0.2</v>
      </c>
    </row>
    <row r="46" spans="2:8" x14ac:dyDescent="0.25">
      <c r="B46" t="s">
        <v>8</v>
      </c>
      <c r="C46" s="1">
        <v>100000</v>
      </c>
      <c r="D46" s="4">
        <f>C46/$C$46</f>
        <v>1</v>
      </c>
    </row>
    <row r="47" spans="2:8" x14ac:dyDescent="0.25">
      <c r="B47" t="s">
        <v>17</v>
      </c>
      <c r="C47" s="1">
        <v>40000</v>
      </c>
      <c r="D47" s="4">
        <f>C47/$C$46</f>
        <v>0.4</v>
      </c>
    </row>
    <row r="53" spans="2:3" x14ac:dyDescent="0.25">
      <c r="B53" s="97" t="s">
        <v>16</v>
      </c>
      <c r="C53" s="97"/>
    </row>
    <row r="54" spans="2:3" ht="11.45" customHeight="1" x14ac:dyDescent="0.25">
      <c r="B54" t="s">
        <v>15</v>
      </c>
    </row>
    <row r="55" spans="2:3" ht="18.95" customHeight="1" x14ac:dyDescent="0.25">
      <c r="B55" t="s">
        <v>10</v>
      </c>
      <c r="C55" s="5"/>
    </row>
    <row r="56" spans="2:3" ht="17.45" customHeight="1" x14ac:dyDescent="0.25">
      <c r="B56" t="s">
        <v>11</v>
      </c>
    </row>
    <row r="57" spans="2:3" ht="21.95" customHeight="1" x14ac:dyDescent="0.25">
      <c r="B57" t="s">
        <v>12</v>
      </c>
    </row>
    <row r="58" spans="2:3" ht="21" customHeight="1" x14ac:dyDescent="0.25">
      <c r="B58" t="s">
        <v>13</v>
      </c>
    </row>
    <row r="59" spans="2:3" ht="21.6" customHeight="1" x14ac:dyDescent="0.25">
      <c r="B59" t="s">
        <v>14</v>
      </c>
    </row>
  </sheetData>
  <mergeCells count="1">
    <mergeCell ref="B53:C53"/>
  </mergeCells>
  <pageMargins left="0.511811024" right="0.511811024" top="0.78740157499999996" bottom="0.78740157499999996" header="0.31496062000000002" footer="0.31496062000000002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Apresentação</vt:lpstr>
      <vt:lpstr>Planejamento Tributário</vt:lpstr>
      <vt:lpstr>CNPJ</vt:lpstr>
      <vt:lpstr>EMPRESA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Bastos</dc:creator>
  <cp:lastModifiedBy>Luan Gonçalves</cp:lastModifiedBy>
  <cp:lastPrinted>2024-03-14T20:21:50Z</cp:lastPrinted>
  <dcterms:created xsi:type="dcterms:W3CDTF">2023-05-25T19:29:51Z</dcterms:created>
  <dcterms:modified xsi:type="dcterms:W3CDTF">2024-05-06T21:29:17Z</dcterms:modified>
</cp:coreProperties>
</file>