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 MEng Transportation\SHC-798-DA-SLR\"/>
    </mc:Choice>
  </mc:AlternateContent>
  <xr:revisionPtr revIDLastSave="0" documentId="13_ncr:1_{60397B8A-05DE-463B-BECE-266BD55DD75D}" xr6:coauthVersionLast="47" xr6:coauthVersionMax="47" xr10:uidLastSave="{00000000-0000-0000-0000-000000000000}"/>
  <bookViews>
    <workbookView xWindow="-108" yWindow="-108" windowWidth="23256" windowHeight="13896" xr2:uid="{9D3958F0-25F4-47E3-8E6B-D1F8EE350FB9}"/>
  </bookViews>
  <sheets>
    <sheet name="Qn. 2. Smoothing" sheetId="2" r:id="rId1"/>
    <sheet name="Qn. 4 Regression" sheetId="3" r:id="rId2"/>
  </sheets>
  <definedNames>
    <definedName name="_xlchart.v1.0" hidden="1">'Qn. 2. Smoothing'!$K$8:$K$20</definedName>
    <definedName name="_xlchart.v1.1" hidden="1">'Qn. 2. Smoothing'!$M$7</definedName>
    <definedName name="_xlchart.v1.2" hidden="1">'Qn. 2. Smoothing'!$M$8:$M$20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3" i="3" l="1"/>
  <c r="F64" i="3"/>
  <c r="P17" i="3"/>
  <c r="L2" i="2"/>
  <c r="O9" i="2"/>
  <c r="M21" i="2" s="1" a="1"/>
  <c r="M21" i="2" s="1"/>
  <c r="M8" i="2" a="1"/>
  <c r="M8" i="2" s="1"/>
  <c r="P4" i="2" l="1"/>
  <c r="M11" i="2" a="1"/>
  <c r="M11" i="2" s="1"/>
  <c r="M10" i="2" a="1"/>
  <c r="M10" i="2" s="1"/>
  <c r="M9" i="2" a="1"/>
  <c r="M9" i="2" s="1"/>
  <c r="M20" i="2" a="1"/>
  <c r="M20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H15" i="2"/>
  <c r="A9" i="2"/>
  <c r="A10" i="2"/>
  <c r="A11" i="2"/>
  <c r="A12" i="2"/>
  <c r="A13" i="2"/>
  <c r="H10" i="2"/>
  <c r="H11" i="2"/>
  <c r="H12" i="2"/>
  <c r="H13" i="2"/>
  <c r="H14" i="2"/>
  <c r="H16" i="2"/>
  <c r="H17" i="2"/>
  <c r="H18" i="2"/>
  <c r="H19" i="2"/>
  <c r="H9" i="2"/>
  <c r="E53" i="3"/>
  <c r="H5" i="3"/>
  <c r="H6" i="3"/>
  <c r="H7" i="3"/>
  <c r="H8" i="3"/>
  <c r="H9" i="3"/>
  <c r="H10" i="3"/>
  <c r="G6" i="3"/>
  <c r="G7" i="3"/>
  <c r="G8" i="3"/>
  <c r="G9" i="3"/>
  <c r="G10" i="3"/>
  <c r="G5" i="3"/>
  <c r="G11" i="3" l="1"/>
  <c r="G16" i="3" s="1"/>
  <c r="G13" i="3"/>
  <c r="I10" i="3" s="1"/>
  <c r="J10" i="3" s="1"/>
  <c r="H13" i="3"/>
  <c r="H11" i="3"/>
  <c r="AB17" i="2"/>
  <c r="AC17" i="2" s="1"/>
  <c r="Z13" i="2"/>
  <c r="AA13" i="2" s="1"/>
  <c r="T16" i="2"/>
  <c r="U16" i="2" s="1"/>
  <c r="AB18" i="2"/>
  <c r="AC18" i="2" s="1"/>
  <c r="Z14" i="2"/>
  <c r="AA14" i="2" s="1"/>
  <c r="T17" i="2"/>
  <c r="U17" i="2" s="1"/>
  <c r="AB19" i="2"/>
  <c r="AC19" i="2" s="1"/>
  <c r="Z15" i="2"/>
  <c r="AA15" i="2" s="1"/>
  <c r="T18" i="2"/>
  <c r="U18" i="2" s="1"/>
  <c r="X11" i="2"/>
  <c r="Y11" i="2" s="1"/>
  <c r="T8" i="2"/>
  <c r="X12" i="2"/>
  <c r="Y12" i="2" s="1"/>
  <c r="V15" i="2"/>
  <c r="W15" i="2" s="1"/>
  <c r="T9" i="2"/>
  <c r="U9" i="2" s="1"/>
  <c r="T10" i="2"/>
  <c r="U10" i="2" s="1"/>
  <c r="T12" i="2"/>
  <c r="U12" i="2" s="1"/>
  <c r="T13" i="2"/>
  <c r="U13" i="2" s="1"/>
  <c r="AB20" i="2"/>
  <c r="AC20" i="2" s="1"/>
  <c r="Z16" i="2"/>
  <c r="AA16" i="2" s="1"/>
  <c r="X9" i="2"/>
  <c r="Y9" i="2" s="1"/>
  <c r="T19" i="2"/>
  <c r="U19" i="2" s="1"/>
  <c r="AB8" i="2"/>
  <c r="Z17" i="2"/>
  <c r="AA17" i="2" s="1"/>
  <c r="X10" i="2"/>
  <c r="Y10" i="2" s="1"/>
  <c r="T20" i="2"/>
  <c r="U20" i="2" s="1"/>
  <c r="Z18" i="2"/>
  <c r="AA18" i="2" s="1"/>
  <c r="Z19" i="2"/>
  <c r="AA19" i="2" s="1"/>
  <c r="Z20" i="2"/>
  <c r="AA20" i="2" s="1"/>
  <c r="X13" i="2"/>
  <c r="Y13" i="2" s="1"/>
  <c r="X16" i="2"/>
  <c r="Y16" i="2" s="1"/>
  <c r="V12" i="2"/>
  <c r="W12" i="2" s="1"/>
  <c r="X18" i="2"/>
  <c r="Y18" i="2" s="1"/>
  <c r="X19" i="2"/>
  <c r="Y19" i="2" s="1"/>
  <c r="AB9" i="2"/>
  <c r="AC9" i="2" s="1"/>
  <c r="X20" i="2"/>
  <c r="Y20" i="2" s="1"/>
  <c r="V16" i="2"/>
  <c r="W16" i="2" s="1"/>
  <c r="AB11" i="2"/>
  <c r="AC11" i="2" s="1"/>
  <c r="AB12" i="2"/>
  <c r="AC12" i="2" s="1"/>
  <c r="V18" i="2"/>
  <c r="W18" i="2" s="1"/>
  <c r="AB13" i="2"/>
  <c r="AC13" i="2" s="1"/>
  <c r="Z10" i="2"/>
  <c r="AA10" i="2" s="1"/>
  <c r="V20" i="2"/>
  <c r="W20" i="2" s="1"/>
  <c r="AB15" i="2"/>
  <c r="AC15" i="2" s="1"/>
  <c r="T14" i="2"/>
  <c r="U14" i="2" s="1"/>
  <c r="Z12" i="2"/>
  <c r="AA12" i="2" s="1"/>
  <c r="Z8" i="2"/>
  <c r="X14" i="2"/>
  <c r="Y14" i="2" s="1"/>
  <c r="V9" i="2"/>
  <c r="W9" i="2" s="1"/>
  <c r="X15" i="2"/>
  <c r="Y15" i="2" s="1"/>
  <c r="V10" i="2"/>
  <c r="W10" i="2" s="1"/>
  <c r="V11" i="2"/>
  <c r="W11" i="2" s="1"/>
  <c r="X17" i="2"/>
  <c r="Y17" i="2" s="1"/>
  <c r="V13" i="2"/>
  <c r="W13" i="2" s="1"/>
  <c r="V14" i="2"/>
  <c r="W14" i="2" s="1"/>
  <c r="AB10" i="2"/>
  <c r="AC10" i="2" s="1"/>
  <c r="X8" i="2"/>
  <c r="V17" i="2"/>
  <c r="W17" i="2" s="1"/>
  <c r="T11" i="2"/>
  <c r="U11" i="2" s="1"/>
  <c r="Z9" i="2"/>
  <c r="AA9" i="2" s="1"/>
  <c r="V19" i="2"/>
  <c r="W19" i="2" s="1"/>
  <c r="AB14" i="2"/>
  <c r="AC14" i="2" s="1"/>
  <c r="Z11" i="2"/>
  <c r="AA11" i="2" s="1"/>
  <c r="V8" i="2"/>
  <c r="AB16" i="2"/>
  <c r="AC16" i="2" s="1"/>
  <c r="T15" i="2"/>
  <c r="U15" i="2" s="1"/>
  <c r="I5" i="3"/>
  <c r="K9" i="3" l="1"/>
  <c r="T9" i="3" s="1"/>
  <c r="K6" i="3"/>
  <c r="T6" i="3" s="1"/>
  <c r="K7" i="3"/>
  <c r="T7" i="3" s="1"/>
  <c r="K8" i="3"/>
  <c r="T8" i="3" s="1"/>
  <c r="K10" i="3"/>
  <c r="T10" i="3" s="1"/>
  <c r="K5" i="3"/>
  <c r="T5" i="3" s="1"/>
  <c r="I9" i="3"/>
  <c r="L9" i="3" s="1"/>
  <c r="I8" i="3"/>
  <c r="J8" i="3" s="1"/>
  <c r="I7" i="3"/>
  <c r="J7" i="3" s="1"/>
  <c r="I6" i="3"/>
  <c r="J6" i="3" s="1"/>
  <c r="W8" i="2"/>
  <c r="W21" i="2" s="1"/>
  <c r="V21" i="2"/>
  <c r="Y8" i="2"/>
  <c r="Y21" i="2" s="1"/>
  <c r="X21" i="2"/>
  <c r="AC8" i="2"/>
  <c r="AC21" i="2" s="1"/>
  <c r="AB21" i="2"/>
  <c r="AB22" i="2" s="1"/>
  <c r="T21" i="2"/>
  <c r="U8" i="2"/>
  <c r="U21" i="2" s="1"/>
  <c r="T22" i="2" s="1"/>
  <c r="AA8" i="2"/>
  <c r="AA21" i="2" s="1"/>
  <c r="Z21" i="2"/>
  <c r="J5" i="3"/>
  <c r="L7" i="3" l="1"/>
  <c r="J9" i="3"/>
  <c r="L8" i="3"/>
  <c r="L5" i="3"/>
  <c r="T11" i="3"/>
  <c r="L10" i="3"/>
  <c r="L6" i="3"/>
  <c r="Z22" i="2"/>
  <c r="X22" i="2"/>
  <c r="V22" i="2"/>
  <c r="J11" i="3"/>
  <c r="E59" i="3" s="1"/>
  <c r="L11" i="3" l="1"/>
  <c r="K19" i="3" s="1"/>
  <c r="E58" i="3" l="1"/>
  <c r="K18" i="3"/>
  <c r="Q5" i="3" s="1"/>
  <c r="K13" i="3"/>
  <c r="K17" i="3" s="1"/>
  <c r="W5" i="3"/>
  <c r="Q6" i="3"/>
  <c r="Q7" i="3"/>
  <c r="Q8" i="3"/>
  <c r="Q9" i="3"/>
  <c r="Q10" i="3"/>
  <c r="Q19" i="3" l="1"/>
  <c r="Q17" i="3"/>
  <c r="R10" i="3"/>
  <c r="W10" i="3"/>
  <c r="R9" i="3"/>
  <c r="W9" i="3"/>
  <c r="R8" i="3"/>
  <c r="W8" i="3"/>
  <c r="R7" i="3"/>
  <c r="W7" i="3"/>
  <c r="R6" i="3"/>
  <c r="W6" i="3"/>
  <c r="R5" i="3"/>
  <c r="S8" i="3" l="1"/>
  <c r="V8" i="3"/>
  <c r="S9" i="3"/>
  <c r="V9" i="3"/>
  <c r="S10" i="3"/>
  <c r="V10" i="3"/>
  <c r="S5" i="3"/>
  <c r="V5" i="3"/>
  <c r="S6" i="3"/>
  <c r="V6" i="3"/>
  <c r="S7" i="3"/>
  <c r="V7" i="3"/>
  <c r="S11" i="3" l="1"/>
  <c r="E54" i="3" l="1"/>
  <c r="R14" i="3"/>
  <c r="E55" i="3" l="1"/>
  <c r="E60" i="3" s="1"/>
  <c r="E61" i="3" s="1"/>
  <c r="E6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<sst xmlns="http://schemas.openxmlformats.org/spreadsheetml/2006/main" count="148" uniqueCount="113">
  <si>
    <t>Traffic Flow Data Analysis</t>
  </si>
  <si>
    <t>Hour</t>
  </si>
  <si>
    <t>Vehicles</t>
  </si>
  <si>
    <t>Window width</t>
  </si>
  <si>
    <t>3 hours</t>
  </si>
  <si>
    <t>Scatter Plot</t>
  </si>
  <si>
    <t>Standard deviation is two hours</t>
  </si>
  <si>
    <t>frequency</t>
  </si>
  <si>
    <t xml:space="preserve"> 5 - 10</t>
  </si>
  <si>
    <t xml:space="preserve"> 21 - 25</t>
  </si>
  <si>
    <t xml:space="preserve">Strength groups </t>
  </si>
  <si>
    <t xml:space="preserve">Age groups </t>
  </si>
  <si>
    <t xml:space="preserve"> 20 - 25</t>
  </si>
  <si>
    <t>Original Alien Beam Data</t>
  </si>
  <si>
    <t>Log-transformed Data</t>
  </si>
  <si>
    <t xml:space="preserve">ln(Age) groups </t>
  </si>
  <si>
    <t xml:space="preserve">ln(Strength) groups </t>
  </si>
  <si>
    <t>1.5 - 2.0</t>
  </si>
  <si>
    <t xml:space="preserve"> 3.0 - 3.2</t>
  </si>
  <si>
    <t xml:space="preserve"> 3.6 - 3.8</t>
  </si>
  <si>
    <t xml:space="preserve"> 3.8 - 4.0</t>
  </si>
  <si>
    <t>2.0 - 2.5</t>
  </si>
  <si>
    <t xml:space="preserve"> 2.5 - 3.0</t>
  </si>
  <si>
    <t xml:space="preserve"> 3.0 - 3.5</t>
  </si>
  <si>
    <t xml:space="preserve"> 10 - 15</t>
  </si>
  <si>
    <t xml:space="preserve"> 15 - 20</t>
  </si>
  <si>
    <t xml:space="preserve"> 25 - 30</t>
  </si>
  <si>
    <t xml:space="preserve"> 30 - 35</t>
  </si>
  <si>
    <t xml:space="preserve"> 35 - 40</t>
  </si>
  <si>
    <t xml:space="preserve"> 40 - 45</t>
  </si>
  <si>
    <t xml:space="preserve"> 45 - 50</t>
  </si>
  <si>
    <t xml:space="preserve"> 3.2 - 3.4</t>
  </si>
  <si>
    <t xml:space="preserve"> 3.4 - 3.6</t>
  </si>
  <si>
    <t>Age, x (years)</t>
  </si>
  <si>
    <t>ln(Age), x'</t>
  </si>
  <si>
    <t>Strength, y (MPa)</t>
  </si>
  <si>
    <t>ln(Strength), y'</t>
  </si>
  <si>
    <t>x'-x*</t>
  </si>
  <si>
    <t>y'-y*</t>
  </si>
  <si>
    <t>(x'-x*)^2</t>
  </si>
  <si>
    <t>(x'-x*) . (y'-y*)</t>
  </si>
  <si>
    <t>ln(Strength), y^</t>
  </si>
  <si>
    <t>R^2</t>
  </si>
  <si>
    <t>Residuals (y' - y^)</t>
  </si>
  <si>
    <t>(y'-y*)^2</t>
  </si>
  <si>
    <t>β0</t>
  </si>
  <si>
    <t>β1</t>
  </si>
  <si>
    <t>Residual Standard Error (RSE)</t>
  </si>
  <si>
    <r>
      <t>[</t>
    </r>
    <r>
      <rPr>
        <b/>
        <sz val="11"/>
        <color theme="1"/>
        <rFont val="Aptos Narrow"/>
        <family val="2"/>
        <scheme val="minor"/>
      </rPr>
      <t>(x'-x*)^2</t>
    </r>
    <r>
      <rPr>
        <sz val="11"/>
        <color theme="1"/>
        <rFont val="Aptos Narrow"/>
        <family val="2"/>
        <scheme val="minor"/>
      </rPr>
      <t>]^0.5</t>
    </r>
  </si>
  <si>
    <t>t-statistic for β1</t>
  </si>
  <si>
    <t>Calculation</t>
  </si>
  <si>
    <t>Ave.Veh</t>
  </si>
  <si>
    <t>N/A</t>
  </si>
  <si>
    <t>Gaussian Kernel Smoother in Excel</t>
  </si>
  <si>
    <t>Gaussian Kernel Values</t>
  </si>
  <si>
    <t>Vehicles (y,)</t>
  </si>
  <si>
    <t>Hour (xi)</t>
  </si>
  <si>
    <r>
      <t>λ</t>
    </r>
    <r>
      <rPr>
        <sz val="10.65"/>
        <color theme="1"/>
        <rFont val="Aptos Narrow"/>
        <family val="2"/>
      </rPr>
      <t xml:space="preserve"> = 2*σ^2</t>
    </r>
  </si>
  <si>
    <t>σ</t>
  </si>
  <si>
    <t>Time</t>
  </si>
  <si>
    <t>w*y</t>
  </si>
  <si>
    <t>Smoothed Value</t>
  </si>
  <si>
    <t>wi (xi =6)</t>
  </si>
  <si>
    <t>wi (xi =7)</t>
  </si>
  <si>
    <t>wi (xi =8)</t>
  </si>
  <si>
    <t>wi (xi =9)</t>
  </si>
  <si>
    <t>wi (xi =10)</t>
  </si>
  <si>
    <t>Sum</t>
  </si>
  <si>
    <t>Valdation by Hand</t>
  </si>
  <si>
    <t>Weights</t>
  </si>
  <si>
    <t>wi</t>
  </si>
  <si>
    <t>Running Mean Smoother</t>
  </si>
  <si>
    <t>Standard Deviation</t>
  </si>
  <si>
    <t>-</t>
  </si>
  <si>
    <t>(200+350+500)/3</t>
  </si>
  <si>
    <t>(350+500+420)/3</t>
  </si>
  <si>
    <t>(500+420+380)/3</t>
  </si>
  <si>
    <t>(420+380+300)/3</t>
  </si>
  <si>
    <t>(380+300+250)/3</t>
  </si>
  <si>
    <t>(300+250+220)/3</t>
  </si>
  <si>
    <t>(250+220+200)/3</t>
  </si>
  <si>
    <t>(220+200+280)/3</t>
  </si>
  <si>
    <t>(200+280+400)/3</t>
  </si>
  <si>
    <t>(280+400+550)/3</t>
  </si>
  <si>
    <t>(400+550+600)/3</t>
  </si>
  <si>
    <t>Computations on Log-transformed Data</t>
  </si>
  <si>
    <t>Summation</t>
  </si>
  <si>
    <t>Mean ( x* &amp; y*)</t>
  </si>
  <si>
    <t>20.96135/6</t>
  </si>
  <si>
    <t>Computing  Predicted values [ln(Strength), y^]</t>
  </si>
  <si>
    <t>ln(Strength), y^ is computed using the regression coefficients, β0 and β1</t>
  </si>
  <si>
    <t>RSS =(y' - y^)^2</t>
  </si>
  <si>
    <t>Fitted [ln(Strength), y^]</t>
  </si>
  <si>
    <t>x* = 16.23588/6</t>
  </si>
  <si>
    <t>y* = 20.96135/6</t>
  </si>
  <si>
    <t>1 - [sum((y' - y^)^2)/sum((y'-y*)^2)]</t>
  </si>
  <si>
    <t>Residual Sum of Squares (RSS) 
(errors^2) = sum(y' - y^)^2</t>
  </si>
  <si>
    <t>Computing the P-value for  β1</t>
  </si>
  <si>
    <t xml:space="preserve"> = (n-2)</t>
  </si>
  <si>
    <t>df (degrees of freedom)</t>
  </si>
  <si>
    <t>n (data points)</t>
  </si>
  <si>
    <t>= RSS/df</t>
  </si>
  <si>
    <t xml:space="preserve"> = Sum(y' - y^)^2</t>
  </si>
  <si>
    <t>Computing the t-statistic (using the β1 = 0 null hypothesis)</t>
  </si>
  <si>
    <t>SE(β1) : Standard error</t>
  </si>
  <si>
    <t>β1 (Slope Coefficient)</t>
  </si>
  <si>
    <t>uses the variance of the predictor</t>
  </si>
  <si>
    <t>(From Excel)</t>
  </si>
  <si>
    <t>=1-0.995</t>
  </si>
  <si>
    <t>(Reported in the R Model Summary)</t>
  </si>
  <si>
    <t>Two-tailed p-value; p = 2*P(T&gt;∣t∣)</t>
  </si>
  <si>
    <t>(From Tables)
= 1-0.995</t>
  </si>
  <si>
    <t>Residuals vs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</si>
</sst>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0000"/>
    <numFmt numFmtId="168" formatCode="0.00000"/>
    <numFmt numFmtId="169" formatCode="0.0000"/>
    <numFmt numFmtId="170" formatCode="0.000"/>
    <numFmt numFmtId="178" formatCode="0.000000000000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theme="1"/>
      <name val="Aptos Narrow"/>
      <family val="2"/>
    </font>
    <font>
      <sz val="10.65"/>
      <color theme="1"/>
      <name val="Aptos Narrow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9" fontId="0" fillId="0" borderId="0" xfId="0" applyNumberFormat="1" applyAlignment="1">
      <alignment vertical="center"/>
    </xf>
    <xf numFmtId="169" fontId="0" fillId="0" borderId="0" xfId="0" applyNumberForma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0" fontId="0" fillId="0" borderId="0" xfId="0" applyNumberFormat="1" applyAlignment="1">
      <alignment vertical="center"/>
    </xf>
    <xf numFmtId="168" fontId="0" fillId="0" borderId="1" xfId="0" applyNumberFormat="1" applyBorder="1" applyAlignment="1">
      <alignment vertical="center"/>
    </xf>
    <xf numFmtId="178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9" fontId="0" fillId="0" borderId="1" xfId="0" applyNumberFormat="1" applyBorder="1" applyAlignment="1">
      <alignment vertical="center"/>
    </xf>
    <xf numFmtId="169" fontId="0" fillId="0" borderId="0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quotePrefix="1" applyNumberFormat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20" fontId="0" fillId="0" borderId="2" xfId="0" applyNumberFormat="1" applyBorder="1" applyAlignment="1">
      <alignment vertical="center" wrapText="1"/>
    </xf>
    <xf numFmtId="169" fontId="1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vertic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9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9" fontId="1" fillId="0" borderId="1" xfId="0" applyNumberFormat="1" applyFont="1" applyBorder="1" applyAlignment="1">
      <alignment horizontal="center" vertical="center"/>
    </xf>
    <xf numFmtId="168" fontId="8" fillId="0" borderId="5" xfId="0" applyNumberFormat="1" applyFont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8" fontId="2" fillId="0" borderId="1" xfId="0" applyNumberFormat="1" applyFon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7" fontId="2" fillId="0" borderId="1" xfId="0" applyNumberFormat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68" fontId="9" fillId="0" borderId="1" xfId="0" applyNumberFormat="1" applyFont="1" applyBorder="1" applyAlignment="1">
      <alignment horizontal="center" vertical="center" wrapText="1"/>
    </xf>
    <xf numFmtId="168" fontId="8" fillId="0" borderId="1" xfId="0" applyNumberFormat="1" applyFont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168" fontId="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Running Mean Smoother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'Qn. 2. Smoothing'!$H$7</c:f>
              <c:strCache>
                <c:ptCount val="1"/>
                <c:pt idx="0">
                  <c:v>Ave.Veh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'Qn. 2. Smoothing'!$F$9:$F$19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'Qn. 2. Smoothing'!$H$9:$H$19</c:f>
              <c:numCache>
                <c:formatCode>0.000</c:formatCode>
                <c:ptCount val="11"/>
                <c:pt idx="0">
                  <c:v>350</c:v>
                </c:pt>
                <c:pt idx="1">
                  <c:v>423.33333333333331</c:v>
                </c:pt>
                <c:pt idx="2">
                  <c:v>433.33333333333331</c:v>
                </c:pt>
                <c:pt idx="3">
                  <c:v>366.66666666666669</c:v>
                </c:pt>
                <c:pt idx="4">
                  <c:v>310</c:v>
                </c:pt>
                <c:pt idx="5">
                  <c:v>256.66666666666669</c:v>
                </c:pt>
                <c:pt idx="6">
                  <c:v>223.33333333333334</c:v>
                </c:pt>
                <c:pt idx="7">
                  <c:v>233.33333333333334</c:v>
                </c:pt>
                <c:pt idx="8">
                  <c:v>293.33333333333331</c:v>
                </c:pt>
                <c:pt idx="9">
                  <c:v>410</c:v>
                </c:pt>
                <c:pt idx="10">
                  <c:v>516.66666666666663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7F-40E2-BB88-D651619FA94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'Qn. 2. Smoothing'!$B$8:$B$20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Smoothing'!$C$8:$C$20</c:f>
              <c:numCache>
                <c:formatCode>General</c:formatCode>
                <c:ptCount val="13"/>
                <c:pt idx="0">
                  <c:v>200</c:v>
                </c:pt>
                <c:pt idx="1">
                  <c:v>350</c:v>
                </c:pt>
                <c:pt idx="2">
                  <c:v>500</c:v>
                </c:pt>
                <c:pt idx="3">
                  <c:v>420</c:v>
                </c:pt>
                <c:pt idx="4">
                  <c:v>380</c:v>
                </c:pt>
                <c:pt idx="5">
                  <c:v>300</c:v>
                </c:pt>
                <c:pt idx="6">
                  <c:v>250</c:v>
                </c:pt>
                <c:pt idx="7">
                  <c:v>220</c:v>
                </c:pt>
                <c:pt idx="8">
                  <c:v>200</c:v>
                </c:pt>
                <c:pt idx="9">
                  <c:v>280</c:v>
                </c:pt>
                <c:pt idx="10">
                  <c:v>400</c:v>
                </c:pt>
                <c:pt idx="11">
                  <c:v>550</c:v>
                </c:pt>
                <c:pt idx="1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7F-40E2-BB88-D651619F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887520"/>
        <c:axId val="2109890400"/>
      </c:scatterChart>
      <c:valAx>
        <c:axId val="210988752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Hour</a:t>
                </a:r>
              </a:p>
            </c:rich>
          </c:tx>
          <c:layout>
            <c:manualLayout>
              <c:xMode val="edge"/>
              <c:yMode val="edge"/>
              <c:x val="0.41980140031413898"/>
              <c:y val="0.90531937424682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90400"/>
        <c:crosses val="autoZero"/>
        <c:crossBetween val="midCat"/>
      </c:valAx>
      <c:valAx>
        <c:axId val="210989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Vehicles</a:t>
                </a:r>
              </a:p>
            </c:rich>
          </c:tx>
          <c:layout>
            <c:manualLayout>
              <c:xMode val="edge"/>
              <c:yMode val="edge"/>
              <c:x val="1.7661870346375303E-2"/>
              <c:y val="0.38537291999205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Gausian Kernel Smoother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'Qn. 2. Smoothing'!$M$7</c:f>
              <c:strCache>
                <c:ptCount val="1"/>
                <c:pt idx="0">
                  <c:v>Gaussian Kernel 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'Qn. 2. Smoothing'!$K$8:$K$20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Smoothing'!$M$8:$M$20</c:f>
              <c:numCache>
                <c:formatCode>0.0000</c:formatCode>
                <c:ptCount val="13"/>
                <c:pt idx="0">
                  <c:v>338.0664762732502</c:v>
                </c:pt>
                <c:pt idx="1">
                  <c:v>360.09052204088266</c:v>
                </c:pt>
                <c:pt idx="2">
                  <c:v>372.62615402646583</c:v>
                </c:pt>
                <c:pt idx="3">
                  <c:v>369.20719394879319</c:v>
                </c:pt>
                <c:pt idx="4">
                  <c:v>348.62222394626411</c:v>
                </c:pt>
                <c:pt idx="5">
                  <c:v>318.14188617728212</c:v>
                </c:pt>
                <c:pt idx="6">
                  <c:v>291.16202640364514</c:v>
                </c:pt>
                <c:pt idx="7">
                  <c:v>281.25930873853201</c:v>
                </c:pt>
                <c:pt idx="8">
                  <c:v>296.41565604060395</c:v>
                </c:pt>
                <c:pt idx="9">
                  <c:v>335.17861483985797</c:v>
                </c:pt>
                <c:pt idx="10">
                  <c:v>387.36465579026088</c:v>
                </c:pt>
                <c:pt idx="11">
                  <c:v>440.28930320756791</c:v>
                </c:pt>
                <c:pt idx="12">
                  <c:v>485.32810205079517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ED-4B13-A4EE-58070190E1B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'Qn. 2. Smoothing'!$K$8:$K$20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Smoothing'!$L$8:$L$20</c:f>
              <c:numCache>
                <c:formatCode>General</c:formatCode>
                <c:ptCount val="13"/>
                <c:pt idx="0">
                  <c:v>200</c:v>
                </c:pt>
                <c:pt idx="1">
                  <c:v>350</c:v>
                </c:pt>
                <c:pt idx="2">
                  <c:v>500</c:v>
                </c:pt>
                <c:pt idx="3">
                  <c:v>420</c:v>
                </c:pt>
                <c:pt idx="4">
                  <c:v>380</c:v>
                </c:pt>
                <c:pt idx="5">
                  <c:v>300</c:v>
                </c:pt>
                <c:pt idx="6">
                  <c:v>250</c:v>
                </c:pt>
                <c:pt idx="7">
                  <c:v>220</c:v>
                </c:pt>
                <c:pt idx="8">
                  <c:v>200</c:v>
                </c:pt>
                <c:pt idx="9">
                  <c:v>280</c:v>
                </c:pt>
                <c:pt idx="10">
                  <c:v>400</c:v>
                </c:pt>
                <c:pt idx="11">
                  <c:v>550</c:v>
                </c:pt>
                <c:pt idx="1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ED-4B13-A4EE-58070190E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86992"/>
        <c:axId val="640188432"/>
      </c:scatterChart>
      <c:valAx>
        <c:axId val="6401869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8432"/>
        <c:crosses val="autoZero"/>
        <c:crossBetween val="midCat"/>
      </c:valAx>
      <c:valAx>
        <c:axId val="640188432"/>
        <c:scaling>
          <c:orientation val="minMax"/>
          <c:max val="6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Vehicles</a:t>
                </a:r>
              </a:p>
            </c:rich>
          </c:tx>
          <c:layout>
            <c:manualLayout>
              <c:xMode val="edge"/>
              <c:yMode val="edge"/>
              <c:x val="1.7065786591666791E-2"/>
              <c:y val="0.41768916900610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Age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Regression'!$C$18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00">
                  <a:alpha val="96000"/>
                </a:srgbClr>
              </a:solidFill>
            </a:ln>
            <a:effectLst/>
          </c:spPr>
          <c:invertIfNegative val="0"/>
          <c:cat>
            <c:strRef>
              <c:f>'Qn. 4 Regression'!$B$19:$B$23</c:f>
              <c:strCache>
                <c:ptCount val="5"/>
                <c:pt idx="0">
                  <c:v> 5 - 10</c:v>
                </c:pt>
                <c:pt idx="1">
                  <c:v> 10 - 15</c:v>
                </c:pt>
                <c:pt idx="2">
                  <c:v> 15 - 20</c:v>
                </c:pt>
                <c:pt idx="3">
                  <c:v> 20 - 25</c:v>
                </c:pt>
                <c:pt idx="4">
                  <c:v> 25 - 30</c:v>
                </c:pt>
              </c:strCache>
            </c:strRef>
          </c:cat>
          <c:val>
            <c:numRef>
              <c:f>'Qn. 4 Regression'!$C$19:$C$23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D-464B-BC2F-69F6FB75E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03959584"/>
        <c:axId val="1803950944"/>
      </c:barChart>
      <c:catAx>
        <c:axId val="180395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0944"/>
        <c:crosses val="autoZero"/>
        <c:auto val="1"/>
        <c:lblAlgn val="ctr"/>
        <c:lblOffset val="100"/>
        <c:noMultiLvlLbl val="0"/>
      </c:catAx>
      <c:valAx>
        <c:axId val="18039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Strength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Regression'!$C$25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tx2">
                  <a:lumMod val="75000"/>
                  <a:lumOff val="25000"/>
                </a:schemeClr>
              </a:solidFill>
            </a:ln>
            <a:effectLst/>
          </c:spPr>
          <c:invertIfNegative val="0"/>
          <c:cat>
            <c:strRef>
              <c:f>'Qn. 4 Regression'!$B$26:$B$31</c:f>
              <c:strCache>
                <c:ptCount val="6"/>
                <c:pt idx="0">
                  <c:v> 21 - 25</c:v>
                </c:pt>
                <c:pt idx="1">
                  <c:v> 25 - 30</c:v>
                </c:pt>
                <c:pt idx="2">
                  <c:v> 30 - 35</c:v>
                </c:pt>
                <c:pt idx="3">
                  <c:v> 35 - 40</c:v>
                </c:pt>
                <c:pt idx="4">
                  <c:v> 40 - 45</c:v>
                </c:pt>
                <c:pt idx="5">
                  <c:v> 45 - 50</c:v>
                </c:pt>
              </c:strCache>
            </c:strRef>
          </c:cat>
          <c:val>
            <c:numRef>
              <c:f>'Qn. 4 Regression'!$C$26:$C$31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48E7-BCEB-074DF0BD2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5"/>
        <c:axId val="1803973504"/>
        <c:axId val="1803978784"/>
      </c:barChart>
      <c:catAx>
        <c:axId val="180397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Strength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8784"/>
        <c:crosses val="autoZero"/>
        <c:auto val="1"/>
        <c:lblAlgn val="ctr"/>
        <c:lblOffset val="100"/>
        <c:noMultiLvlLbl val="0"/>
      </c:catAx>
      <c:valAx>
        <c:axId val="18039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ln(Age)</a:t>
            </a:r>
            <a:r>
              <a:rPr lang="en-US" baseline="0">
                <a:solidFill>
                  <a:sysClr val="windowText" lastClr="000000"/>
                </a:solidFill>
              </a:rPr>
              <a:t> Histogram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Regression'!$H$18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'Qn. 4 Regression'!$G$19:$G$22</c:f>
              <c:strCache>
                <c:ptCount val="4"/>
                <c:pt idx="0">
                  <c:v>1.5 - 2.0</c:v>
                </c:pt>
                <c:pt idx="1">
                  <c:v>2.0 - 2.5</c:v>
                </c:pt>
                <c:pt idx="2">
                  <c:v> 2.5 - 3.0</c:v>
                </c:pt>
                <c:pt idx="3">
                  <c:v> 3.0 - 3.5</c:v>
                </c:pt>
              </c:strCache>
            </c:strRef>
          </c:cat>
          <c:val>
            <c:numRef>
              <c:f>'Qn. 4 Regression'!$H$19:$H$22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C-4DFB-8793-D3860750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48149024"/>
        <c:axId val="1748142304"/>
      </c:barChart>
      <c:catAx>
        <c:axId val="174814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ln(Age)</a:t>
                </a:r>
              </a:p>
            </c:rich>
          </c:tx>
          <c:layout>
            <c:manualLayout>
              <c:xMode val="edge"/>
              <c:yMode val="edge"/>
              <c:x val="0.41007274961036061"/>
              <c:y val="0.84147773981082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2304"/>
        <c:crosses val="autoZero"/>
        <c:auto val="1"/>
        <c:lblAlgn val="ctr"/>
        <c:lblOffset val="100"/>
        <c:noMultiLvlLbl val="0"/>
      </c:catAx>
      <c:valAx>
        <c:axId val="17481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ln(Strength)</a:t>
            </a:r>
            <a:r>
              <a:rPr lang="en-US" baseline="0">
                <a:solidFill>
                  <a:sysClr val="windowText" lastClr="000000"/>
                </a:solidFill>
              </a:rPr>
              <a:t> Histogram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Regression'!$H$24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'Qn. 4 Regression'!$G$25:$G$29</c:f>
              <c:strCache>
                <c:ptCount val="5"/>
                <c:pt idx="0">
                  <c:v> 3.0 - 3.2</c:v>
                </c:pt>
                <c:pt idx="1">
                  <c:v> 3.2 - 3.4</c:v>
                </c:pt>
                <c:pt idx="2">
                  <c:v> 3.4 - 3.6</c:v>
                </c:pt>
                <c:pt idx="3">
                  <c:v> 3.6 - 3.8</c:v>
                </c:pt>
                <c:pt idx="4">
                  <c:v> 3.8 - 4.0</c:v>
                </c:pt>
              </c:strCache>
            </c:strRef>
          </c:cat>
          <c:val>
            <c:numRef>
              <c:f>'Qn. 4 Regression'!$H$25:$H$29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4-4FD4-89B6-4F80FC85F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5955648"/>
        <c:axId val="2105318704"/>
      </c:barChart>
      <c:catAx>
        <c:axId val="50595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ln(Strength)</a:t>
                </a:r>
              </a:p>
            </c:rich>
          </c:tx>
          <c:layout>
            <c:manualLayout>
              <c:xMode val="edge"/>
              <c:yMode val="edge"/>
              <c:x val="0.40143531754271089"/>
              <c:y val="0.8489073697248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8704"/>
        <c:crosses val="autoZero"/>
        <c:auto val="1"/>
        <c:lblAlgn val="ctr"/>
        <c:lblOffset val="100"/>
        <c:noMultiLvlLbl val="0"/>
      </c:catAx>
      <c:valAx>
        <c:axId val="21053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Residual vs 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'Qn. 4 Regression'!$W$5:$W$10</c:f>
              <c:numCache>
                <c:formatCode>0.00000</c:formatCode>
                <c:ptCount val="6"/>
                <c:pt idx="0">
                  <c:v>3.9693778266186839</c:v>
                </c:pt>
                <c:pt idx="1">
                  <c:v>3.6686018133878582</c:v>
                </c:pt>
                <c:pt idx="2">
                  <c:v>3.4926591245314147</c:v>
                </c:pt>
                <c:pt idx="3">
                  <c:v>3.3678258001570325</c:v>
                </c:pt>
                <c:pt idx="4">
                  <c:v>3.2709975512298168</c:v>
                </c:pt>
                <c:pt idx="5">
                  <c:v>3.191883111300589</c:v>
                </c:pt>
              </c:numCache>
            </c:numRef>
          </c:xVal>
          <c:yVal>
            <c:numRef>
              <c:f>'Qn. 4 Regression'!$V$5:$V$10</c:f>
              <c:numCache>
                <c:formatCode>0.00000</c:formatCode>
                <c:ptCount val="6"/>
                <c:pt idx="0">
                  <c:v>-9.8176815710792731E-2</c:v>
                </c:pt>
                <c:pt idx="1">
                  <c:v>6.9067804895510232E-2</c:v>
                </c:pt>
                <c:pt idx="2">
                  <c:v>0.11825878811280965</c:v>
                </c:pt>
                <c:pt idx="3">
                  <c:v>3.3371581505122982E-2</c:v>
                </c:pt>
                <c:pt idx="4">
                  <c:v>2.4839314774512289E-2</c:v>
                </c:pt>
                <c:pt idx="5">
                  <c:v>-0.14736067357716598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EB-4756-8A1A-036A1059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959936"/>
        <c:axId val="646963776"/>
      </c:scatterChart>
      <c:valAx>
        <c:axId val="646959936"/>
        <c:scaling>
          <c:orientation val="minMax"/>
          <c:max val="4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Fitted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63776"/>
        <c:crossesAt val="-0.25"/>
        <c:crossBetween val="midCat"/>
      </c:valAx>
      <c:valAx>
        <c:axId val="6469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5.xml"/><Relationship Id="rId7" Type="http://schemas.openxmlformats.org/officeDocument/2006/relationships/image" Target="../media/image3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21</xdr:row>
      <xdr:rowOff>102870</xdr:rowOff>
    </xdr:from>
    <xdr:to>
      <xdr:col>7</xdr:col>
      <xdr:colOff>358140</xdr:colOff>
      <xdr:row>36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5B3E7-FA58-661F-ADEC-130483F96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164025</xdr:colOff>
      <xdr:row>23</xdr:row>
      <xdr:rowOff>7855</xdr:rowOff>
    </xdr:from>
    <xdr:to>
      <xdr:col>15</xdr:col>
      <xdr:colOff>274948</xdr:colOff>
      <xdr:row>40</xdr:row>
      <xdr:rowOff>23567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2B6F13-47B1-3807-67AE-1BE1BF809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1122045</xdr:colOff>
      <xdr:row>63</xdr:row>
      <xdr:rowOff>152400</xdr:rowOff>
    </xdr:from>
    <xdr:to>
      <xdr:col>11</xdr:col>
      <xdr:colOff>752475</xdr:colOff>
      <xdr:row>74</xdr:row>
      <xdr:rowOff>20955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0EF6FC-645C-0227-704E-B4F7D487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855345</xdr:colOff>
      <xdr:row>63</xdr:row>
      <xdr:rowOff>177165</xdr:rowOff>
    </xdr:from>
    <xdr:to>
      <xdr:col>18</xdr:col>
      <xdr:colOff>680085</xdr:colOff>
      <xdr:row>74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28DF48-DDD7-F096-0CED-9D2AC2FD4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516255</xdr:colOff>
      <xdr:row>30</xdr:row>
      <xdr:rowOff>102870</xdr:rowOff>
    </xdr:from>
    <xdr:to>
      <xdr:col>7</xdr:col>
      <xdr:colOff>476250</xdr:colOff>
      <xdr:row>41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2765C7-7554-2396-008D-9458F70AC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20954</xdr:colOff>
      <xdr:row>29</xdr:row>
      <xdr:rowOff>51434</xdr:rowOff>
    </xdr:from>
    <xdr:to>
      <xdr:col>17</xdr:col>
      <xdr:colOff>238124</xdr:colOff>
      <xdr:row>41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3D6CBD-7AFA-3462-4A57-B9413E403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563880</xdr:colOff>
      <xdr:row>53</xdr:row>
      <xdr:rowOff>60960</xdr:rowOff>
    </xdr:from>
    <xdr:to>
      <xdr:col>15</xdr:col>
      <xdr:colOff>137396</xdr:colOff>
      <xdr:row>56</xdr:row>
      <xdr:rowOff>53410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E48B95-0A1F-5ADC-2140-5E93646AB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0480" y="8839200"/>
          <a:ext cx="2720576" cy="807790"/>
        </a:xfrm>
        <a:prstGeom prst="rect">
          <a:avLst/>
        </a:prstGeom>
      </xdr:spPr>
    </xdr:pic>
    <xdr:clientData/>
  </xdr:twoCellAnchor>
  <xdr:twoCellAnchor editAs="oneCell">
    <xdr:from>
      <xdr:col>8</xdr:col>
      <xdr:colOff>487681</xdr:colOff>
      <xdr:row>43</xdr:row>
      <xdr:rowOff>22860</xdr:rowOff>
    </xdr:from>
    <xdr:to>
      <xdr:col>15</xdr:col>
      <xdr:colOff>950596</xdr:colOff>
      <xdr:row>52</xdr:row>
      <xdr:rowOff>63465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E93C901-D874-3024-292E-EB5D0820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7461" y="6972300"/>
          <a:ext cx="4998720" cy="16865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42</xdr:row>
      <xdr:rowOff>156211</xdr:rowOff>
    </xdr:from>
    <xdr:to>
      <xdr:col>6</xdr:col>
      <xdr:colOff>57154</xdr:colOff>
      <xdr:row>46</xdr:row>
      <xdr:rowOff>179071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DF9679A-D9EC-121E-73C9-0CE97945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2940" y="7757161"/>
          <a:ext cx="5614039" cy="746760"/>
        </a:xfrm>
        <a:prstGeom prst="rect">
          <a:avLst/>
        </a:prstGeom>
      </xdr:spPr>
    </xdr:pic>
    <xdr:clientData/>
  </xdr:twoCellAnchor>
  <xdr:twoCellAnchor>
    <xdr:from>
      <xdr:col>17</xdr:col>
      <xdr:colOff>927735</xdr:colOff>
      <xdr:row>20</xdr:row>
      <xdr:rowOff>5715</xdr:rowOff>
    </xdr:from>
    <xdr:to>
      <xdr:col>22</xdr:col>
      <xdr:colOff>981075</xdr:colOff>
      <xdr:row>34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B3961B-E82A-32A2-BA14-53CE508C8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A91C-9C3F-4CE9-B728-30DFF26DDA3E}">
  <dimension ref="A1:AJ22"/>
  <sheetViews>
    <sheetView showGridLines="0" tabSelected="1" topLeftCell="N2" zoomScale="97" workbookViewId="0">
      <selection activeCell="AB30" sqref="AB30"/>
    </sheetView>
  </sheetViews>
  <sheetFormatPr defaultRowHeight="14.4" x14ac:dyDescent="0.3"/>
  <cols>
    <col min="1" max="1" width="19.77734375" style="1" bestFit="1" customWidth="1"/>
    <col min="2" max="6" width="8.88671875" style="1"/>
    <col min="7" max="7" width="15.33203125" style="1" bestFit="1" customWidth="1"/>
    <col min="8" max="11" width="8.88671875" style="1"/>
    <col min="12" max="12" width="8.109375" style="1" bestFit="1" customWidth="1"/>
    <col min="13" max="13" width="20.6640625" style="1" bestFit="1" customWidth="1"/>
    <col min="14" max="14" width="9.88671875" style="1" customWidth="1"/>
    <col min="15" max="17" width="8.88671875" style="1"/>
    <col min="18" max="18" width="7.88671875" style="1" bestFit="1" customWidth="1"/>
    <col min="19" max="20" width="11" style="1" bestFit="1" customWidth="1"/>
    <col min="21" max="21" width="11.21875" style="1" customWidth="1"/>
    <col min="22" max="22" width="9" style="1" bestFit="1" customWidth="1"/>
    <col min="23" max="23" width="9.88671875" style="1" bestFit="1" customWidth="1"/>
    <col min="24" max="24" width="9" style="1" bestFit="1" customWidth="1"/>
    <col min="25" max="25" width="9.88671875" style="1" bestFit="1" customWidth="1"/>
    <col min="26" max="26" width="9" style="1" bestFit="1" customWidth="1"/>
    <col min="27" max="27" width="9.88671875" style="1" bestFit="1" customWidth="1"/>
    <col min="28" max="28" width="9" style="1" bestFit="1" customWidth="1"/>
    <col min="29" max="29" width="9.88671875" style="1" bestFit="1" customWidth="1"/>
    <col min="30" max="16384" width="8.88671875" style="1"/>
  </cols>
  <sheetData>
    <row r="1" spans="1:36" x14ac:dyDescent="0.3">
      <c r="K1" s="9" t="s">
        <v>58</v>
      </c>
      <c r="L1" s="9">
        <v>2</v>
      </c>
    </row>
    <row r="2" spans="1:36" x14ac:dyDescent="0.3">
      <c r="K2" s="46" t="s">
        <v>57</v>
      </c>
      <c r="L2" s="9">
        <f>2*L1^2</f>
        <v>8</v>
      </c>
    </row>
    <row r="3" spans="1:36" x14ac:dyDescent="0.3">
      <c r="K3" s="9" t="s">
        <v>69</v>
      </c>
      <c r="L3" s="9" t="s">
        <v>70</v>
      </c>
      <c r="O3" s="9" t="s">
        <v>58</v>
      </c>
      <c r="P3" s="9">
        <v>2</v>
      </c>
      <c r="R3" s="1" t="s">
        <v>72</v>
      </c>
    </row>
    <row r="4" spans="1:36" x14ac:dyDescent="0.3">
      <c r="F4" s="1" t="s">
        <v>5</v>
      </c>
      <c r="O4" s="46" t="s">
        <v>57</v>
      </c>
      <c r="P4" s="9">
        <f>2*P3^2</f>
        <v>8</v>
      </c>
      <c r="V4" s="10" t="s">
        <v>68</v>
      </c>
      <c r="W4" s="10"/>
      <c r="X4" s="10"/>
    </row>
    <row r="5" spans="1:36" x14ac:dyDescent="0.3">
      <c r="B5" s="4" t="s">
        <v>0</v>
      </c>
      <c r="E5" s="47" t="s">
        <v>71</v>
      </c>
      <c r="F5" s="47"/>
      <c r="G5" s="47"/>
      <c r="H5" s="47"/>
      <c r="J5" s="48" t="s">
        <v>53</v>
      </c>
      <c r="K5" s="48"/>
      <c r="L5" s="48"/>
      <c r="M5" s="48"/>
      <c r="N5" s="44"/>
      <c r="O5" s="9" t="s">
        <v>69</v>
      </c>
      <c r="P5" s="9" t="s">
        <v>70</v>
      </c>
    </row>
    <row r="6" spans="1:36" x14ac:dyDescent="0.3">
      <c r="E6" s="39" t="s">
        <v>3</v>
      </c>
      <c r="F6" s="39"/>
      <c r="G6" s="10" t="s">
        <v>4</v>
      </c>
      <c r="H6" s="10"/>
      <c r="J6" s="40" t="s">
        <v>6</v>
      </c>
      <c r="K6" s="40"/>
      <c r="L6" s="40"/>
      <c r="M6" s="40"/>
      <c r="N6" s="45"/>
      <c r="T6" s="35">
        <v>0.25</v>
      </c>
      <c r="V6" s="35">
        <v>0.29166666666666669</v>
      </c>
      <c r="X6" s="35">
        <v>0.33333333333333331</v>
      </c>
      <c r="Z6" s="35">
        <v>0.375</v>
      </c>
      <c r="AB6" s="35">
        <v>0.41666666666666669</v>
      </c>
    </row>
    <row r="7" spans="1:36" x14ac:dyDescent="0.3">
      <c r="B7" s="2" t="s">
        <v>1</v>
      </c>
      <c r="C7" s="2" t="s">
        <v>2</v>
      </c>
      <c r="E7" s="11" t="s">
        <v>59</v>
      </c>
      <c r="F7" s="9" t="s">
        <v>1</v>
      </c>
      <c r="G7" s="16" t="s">
        <v>51</v>
      </c>
      <c r="H7" s="16" t="s">
        <v>51</v>
      </c>
      <c r="J7" s="11" t="s">
        <v>59</v>
      </c>
      <c r="K7" s="9" t="s">
        <v>1</v>
      </c>
      <c r="L7" s="9" t="s">
        <v>2</v>
      </c>
      <c r="M7" s="16" t="s">
        <v>54</v>
      </c>
      <c r="N7" s="19"/>
      <c r="Q7" s="11" t="s">
        <v>59</v>
      </c>
      <c r="R7" s="11" t="s">
        <v>56</v>
      </c>
      <c r="S7" s="11" t="s">
        <v>55</v>
      </c>
      <c r="T7" s="11" t="s">
        <v>62</v>
      </c>
      <c r="U7" s="11" t="s">
        <v>60</v>
      </c>
      <c r="V7" s="11" t="s">
        <v>63</v>
      </c>
      <c r="W7" s="11" t="s">
        <v>60</v>
      </c>
      <c r="X7" s="11" t="s">
        <v>64</v>
      </c>
      <c r="Y7" s="11" t="s">
        <v>60</v>
      </c>
      <c r="Z7" s="11" t="s">
        <v>65</v>
      </c>
      <c r="AA7" s="11" t="s">
        <v>60</v>
      </c>
      <c r="AB7" s="11" t="s">
        <v>66</v>
      </c>
      <c r="AC7" s="11" t="s">
        <v>60</v>
      </c>
    </row>
    <row r="8" spans="1:36" x14ac:dyDescent="0.3">
      <c r="A8" s="26"/>
      <c r="B8" s="33">
        <v>6</v>
      </c>
      <c r="C8" s="2">
        <v>200</v>
      </c>
      <c r="E8" s="38">
        <v>0.25</v>
      </c>
      <c r="F8" s="34">
        <v>6</v>
      </c>
      <c r="G8" s="9" t="s">
        <v>73</v>
      </c>
      <c r="H8" s="9" t="s">
        <v>52</v>
      </c>
      <c r="J8" s="38">
        <v>0.25</v>
      </c>
      <c r="K8" s="34">
        <v>6</v>
      </c>
      <c r="L8" s="9">
        <v>200</v>
      </c>
      <c r="M8" s="13" cm="1">
        <f t="array" ref="M8">SUMPRODUCT($L$8:$L$20,EXP(-(($K$8:$K$20-K8)^2/(2*2^2)))/SUM(EXP(-(($K$8:$K$20-K8)^2/(2*2^2)))))</f>
        <v>338.0664762732502</v>
      </c>
      <c r="N8" s="30"/>
      <c r="Q8" s="38">
        <v>0.25</v>
      </c>
      <c r="R8" s="34">
        <v>6</v>
      </c>
      <c r="S8" s="9">
        <v>200</v>
      </c>
      <c r="T8" s="29">
        <f>EXP((0-($R$8-R8)^2/$P$4))</f>
        <v>1</v>
      </c>
      <c r="U8" s="29">
        <f>T8*S8</f>
        <v>200</v>
      </c>
      <c r="V8" s="29">
        <f>EXP((0-($R$9-R8)^2/$P$4))</f>
        <v>0.88249690258459546</v>
      </c>
      <c r="W8" s="29">
        <f>V8*S8</f>
        <v>176.4993805169191</v>
      </c>
      <c r="X8" s="29">
        <f>EXP((0-($R$10-R8)^2/$P$4))</f>
        <v>0.60653065971263342</v>
      </c>
      <c r="Y8" s="29">
        <f>X8*S8</f>
        <v>121.30613194252669</v>
      </c>
      <c r="Z8" s="29">
        <f>EXP((0-($R$11-R8)^2/$P$4))</f>
        <v>0.32465246735834974</v>
      </c>
      <c r="AA8" s="29">
        <f>Z8*S8</f>
        <v>64.930493471669948</v>
      </c>
      <c r="AB8" s="29">
        <f>EXP((0-($R$12-R8)^2/$P$4))</f>
        <v>0.1353352832366127</v>
      </c>
      <c r="AC8" s="29">
        <f>AB8*S8</f>
        <v>27.067056647322541</v>
      </c>
    </row>
    <row r="9" spans="1:36" x14ac:dyDescent="0.3">
      <c r="A9" s="32">
        <f t="shared" ref="A9:A13" si="0">B10-B9</f>
        <v>1</v>
      </c>
      <c r="B9" s="33">
        <v>7</v>
      </c>
      <c r="C9" s="2">
        <v>350</v>
      </c>
      <c r="E9" s="38">
        <v>0.29166666666666669</v>
      </c>
      <c r="F9" s="34">
        <v>7</v>
      </c>
      <c r="G9" s="9" t="s">
        <v>74</v>
      </c>
      <c r="H9" s="14">
        <f>(C8+C9+C10)/3</f>
        <v>350</v>
      </c>
      <c r="J9" s="38">
        <v>0.29166666666666669</v>
      </c>
      <c r="K9" s="34">
        <v>7</v>
      </c>
      <c r="L9" s="9">
        <v>350</v>
      </c>
      <c r="M9" s="13" cm="1">
        <f t="array" ref="M9">SUMPRODUCT($L$8:$L$20,EXP(-(($K$8:$K$20-K9)^2/(2*2^2)))/SUM(EXP(-(($K$8:$K$20-K9)^2/(2*2^2)))))</f>
        <v>360.09052204088266</v>
      </c>
      <c r="N9" s="30"/>
      <c r="O9" s="1">
        <f>(1/(2*SQRT(2*PI())))</f>
        <v>0.19947114020071635</v>
      </c>
      <c r="Q9" s="38">
        <v>0.29166666666666669</v>
      </c>
      <c r="R9" s="34">
        <v>7</v>
      </c>
      <c r="S9" s="9">
        <v>350</v>
      </c>
      <c r="T9" s="29">
        <f t="shared" ref="T9:T20" si="1">EXP((0-($R$8-R9)^2/$P$4))</f>
        <v>0.88249690258459546</v>
      </c>
      <c r="U9" s="29">
        <f t="shared" ref="U9:U20" si="2">T9*S9</f>
        <v>308.8739159046084</v>
      </c>
      <c r="V9" s="29">
        <f t="shared" ref="V9:V20" si="3">EXP((0-($R$9-R9)^2/$P$4))</f>
        <v>1</v>
      </c>
      <c r="W9" s="29">
        <f t="shared" ref="W9:W20" si="4">V9*S9</f>
        <v>350</v>
      </c>
      <c r="X9" s="29">
        <f t="shared" ref="X9:X20" si="5">EXP((0-($R$10-R9)^2/$P$4))</f>
        <v>0.88249690258459546</v>
      </c>
      <c r="Y9" s="29">
        <f t="shared" ref="Y9:Y20" si="6">X9*S9</f>
        <v>308.8739159046084</v>
      </c>
      <c r="Z9" s="29">
        <f t="shared" ref="Z9:Z20" si="7">EXP((0-($R$11-R9)^2/$P$4))</f>
        <v>0.60653065971263342</v>
      </c>
      <c r="AA9" s="29">
        <f t="shared" ref="AA9:AA20" si="8">Z9*S9</f>
        <v>212.28573089942171</v>
      </c>
      <c r="AB9" s="29">
        <f t="shared" ref="AB9:AB20" si="9">EXP((0-($R$12-R9)^2/$P$4))</f>
        <v>0.32465246735834974</v>
      </c>
      <c r="AC9" s="29">
        <f t="shared" ref="AC9:AC20" si="10">AB9*S9</f>
        <v>113.62836357542241</v>
      </c>
      <c r="AE9" s="20"/>
      <c r="AF9" s="24"/>
      <c r="AG9" s="24"/>
      <c r="AH9" s="24"/>
      <c r="AI9" s="24"/>
      <c r="AJ9" s="24"/>
    </row>
    <row r="10" spans="1:36" x14ac:dyDescent="0.3">
      <c r="A10" s="32">
        <f t="shared" si="0"/>
        <v>1</v>
      </c>
      <c r="B10" s="33">
        <v>8</v>
      </c>
      <c r="C10" s="2">
        <v>500</v>
      </c>
      <c r="E10" s="38">
        <v>0.33333333333333331</v>
      </c>
      <c r="F10" s="34">
        <v>8</v>
      </c>
      <c r="G10" s="9" t="s">
        <v>75</v>
      </c>
      <c r="H10" s="14">
        <f>(C9+C10+C11)/3</f>
        <v>423.33333333333331</v>
      </c>
      <c r="J10" s="38">
        <v>0.33333333333333331</v>
      </c>
      <c r="K10" s="34">
        <v>8</v>
      </c>
      <c r="L10" s="9">
        <v>500</v>
      </c>
      <c r="M10" s="13" cm="1">
        <f t="array" ref="M10">SUMPRODUCT($L$8:$L$20,EXP(-(($K$8:$K$20-K10)^2/(2*2^2)))/SUM(EXP(-(($K$8:$K$20-K10)^2/(2*2^2)))))</f>
        <v>372.62615402646583</v>
      </c>
      <c r="N10" s="30"/>
      <c r="Q10" s="38">
        <v>0.33333333333333331</v>
      </c>
      <c r="R10" s="34">
        <v>8</v>
      </c>
      <c r="S10" s="9">
        <v>500</v>
      </c>
      <c r="T10" s="29">
        <f t="shared" si="1"/>
        <v>0.60653065971263342</v>
      </c>
      <c r="U10" s="29">
        <f t="shared" si="2"/>
        <v>303.26532985631673</v>
      </c>
      <c r="V10" s="29">
        <f t="shared" si="3"/>
        <v>0.88249690258459546</v>
      </c>
      <c r="W10" s="29">
        <f t="shared" si="4"/>
        <v>441.24845129229772</v>
      </c>
      <c r="X10" s="29">
        <f t="shared" si="5"/>
        <v>1</v>
      </c>
      <c r="Y10" s="29">
        <f t="shared" si="6"/>
        <v>500</v>
      </c>
      <c r="Z10" s="29">
        <f t="shared" si="7"/>
        <v>0.88249690258459546</v>
      </c>
      <c r="AA10" s="29">
        <f t="shared" si="8"/>
        <v>441.24845129229772</v>
      </c>
      <c r="AB10" s="29">
        <f t="shared" si="9"/>
        <v>0.60653065971263342</v>
      </c>
      <c r="AC10" s="29">
        <f t="shared" si="10"/>
        <v>303.26532985631673</v>
      </c>
      <c r="AE10" s="20"/>
      <c r="AF10" s="24"/>
      <c r="AG10" s="24"/>
      <c r="AH10" s="24"/>
      <c r="AI10" s="24"/>
      <c r="AJ10" s="24"/>
    </row>
    <row r="11" spans="1:36" x14ac:dyDescent="0.3">
      <c r="A11" s="32">
        <f t="shared" si="0"/>
        <v>1</v>
      </c>
      <c r="B11" s="33">
        <v>9</v>
      </c>
      <c r="C11" s="2">
        <v>420</v>
      </c>
      <c r="E11" s="38">
        <v>0.375</v>
      </c>
      <c r="F11" s="34">
        <v>9</v>
      </c>
      <c r="G11" s="9" t="s">
        <v>76</v>
      </c>
      <c r="H11" s="14">
        <f>(C10+C11+C12)/3</f>
        <v>433.33333333333331</v>
      </c>
      <c r="J11" s="38">
        <v>0.375</v>
      </c>
      <c r="K11" s="34">
        <v>9</v>
      </c>
      <c r="L11" s="9">
        <v>420</v>
      </c>
      <c r="M11" s="13" cm="1">
        <f t="array" ref="M11">SUMPRODUCT($L$8:$L$20,EXP(-(($K$8:$K$20-K11)^2/(2*2^2)))/SUM(EXP(-(($K$8:$K$20-K11)^2/(2*2^2)))))</f>
        <v>369.20719394879319</v>
      </c>
      <c r="N11" s="30"/>
      <c r="Q11" s="38">
        <v>0.375</v>
      </c>
      <c r="R11" s="34">
        <v>9</v>
      </c>
      <c r="S11" s="9">
        <v>420</v>
      </c>
      <c r="T11" s="29">
        <f t="shared" si="1"/>
        <v>0.32465246735834974</v>
      </c>
      <c r="U11" s="29">
        <f t="shared" si="2"/>
        <v>136.35403629050688</v>
      </c>
      <c r="V11" s="29">
        <f t="shared" si="3"/>
        <v>0.60653065971263342</v>
      </c>
      <c r="W11" s="29">
        <f t="shared" si="4"/>
        <v>254.74287707930603</v>
      </c>
      <c r="X11" s="29">
        <f t="shared" si="5"/>
        <v>0.88249690258459546</v>
      </c>
      <c r="Y11" s="29">
        <f t="shared" si="6"/>
        <v>370.6486990855301</v>
      </c>
      <c r="Z11" s="29">
        <f t="shared" si="7"/>
        <v>1</v>
      </c>
      <c r="AA11" s="29">
        <f t="shared" si="8"/>
        <v>420</v>
      </c>
      <c r="AB11" s="29">
        <f t="shared" si="9"/>
        <v>0.88249690258459546</v>
      </c>
      <c r="AC11" s="29">
        <f t="shared" si="10"/>
        <v>370.6486990855301</v>
      </c>
      <c r="AE11" s="20"/>
      <c r="AF11" s="24"/>
      <c r="AG11" s="24"/>
      <c r="AH11" s="24"/>
      <c r="AI11" s="24"/>
      <c r="AJ11" s="24"/>
    </row>
    <row r="12" spans="1:36" x14ac:dyDescent="0.3">
      <c r="A12" s="32">
        <f t="shared" si="0"/>
        <v>1</v>
      </c>
      <c r="B12" s="33">
        <v>10</v>
      </c>
      <c r="C12" s="2">
        <v>380</v>
      </c>
      <c r="E12" s="38">
        <v>0.41666666666666669</v>
      </c>
      <c r="F12" s="34">
        <v>10</v>
      </c>
      <c r="G12" s="9" t="s">
        <v>77</v>
      </c>
      <c r="H12" s="14">
        <f>(C11+C12+C13)/3</f>
        <v>366.66666666666669</v>
      </c>
      <c r="J12" s="38">
        <v>0.41666666666666669</v>
      </c>
      <c r="K12" s="34">
        <v>10</v>
      </c>
      <c r="L12" s="9">
        <v>380</v>
      </c>
      <c r="M12" s="13" cm="1">
        <f t="array" ref="M12">SUMPRODUCT($L$8:$L$20,EXP(-(($K$8:$K$20-K12)^2/(2*2^2)))/SUM(EXP(-(($K$8:$K$20-K12)^2/(2*2^2)))))</f>
        <v>348.62222394626411</v>
      </c>
      <c r="N12" s="30"/>
      <c r="Q12" s="38">
        <v>0.41666666666666669</v>
      </c>
      <c r="R12" s="34">
        <v>10</v>
      </c>
      <c r="S12" s="9">
        <v>380</v>
      </c>
      <c r="T12" s="29">
        <f t="shared" si="1"/>
        <v>0.1353352832366127</v>
      </c>
      <c r="U12" s="29">
        <f t="shared" si="2"/>
        <v>51.427407629912828</v>
      </c>
      <c r="V12" s="29">
        <f t="shared" si="3"/>
        <v>0.32465246735834974</v>
      </c>
      <c r="W12" s="29">
        <f t="shared" si="4"/>
        <v>123.36793759617291</v>
      </c>
      <c r="X12" s="29">
        <f t="shared" si="5"/>
        <v>0.60653065971263342</v>
      </c>
      <c r="Y12" s="29">
        <f t="shared" si="6"/>
        <v>230.48165069080071</v>
      </c>
      <c r="Z12" s="29">
        <f t="shared" si="7"/>
        <v>0.88249690258459546</v>
      </c>
      <c r="AA12" s="29">
        <f t="shared" si="8"/>
        <v>335.34882298214626</v>
      </c>
      <c r="AB12" s="29">
        <f t="shared" si="9"/>
        <v>1</v>
      </c>
      <c r="AC12" s="29">
        <f t="shared" si="10"/>
        <v>380</v>
      </c>
      <c r="AE12" s="20"/>
      <c r="AF12" s="24"/>
      <c r="AG12" s="24"/>
      <c r="AH12" s="24"/>
      <c r="AI12" s="24"/>
      <c r="AJ12" s="24"/>
    </row>
    <row r="13" spans="1:36" x14ac:dyDescent="0.3">
      <c r="A13" s="32">
        <f t="shared" si="0"/>
        <v>1</v>
      </c>
      <c r="B13" s="33">
        <v>11</v>
      </c>
      <c r="C13" s="2">
        <v>300</v>
      </c>
      <c r="E13" s="38">
        <v>0.45833333333333331</v>
      </c>
      <c r="F13" s="34">
        <v>11</v>
      </c>
      <c r="G13" s="9" t="s">
        <v>78</v>
      </c>
      <c r="H13" s="14">
        <f>(C12+C13+C14)/3</f>
        <v>310</v>
      </c>
      <c r="J13" s="38">
        <v>0.45833333333333331</v>
      </c>
      <c r="K13" s="34">
        <v>11</v>
      </c>
      <c r="L13" s="9">
        <v>300</v>
      </c>
      <c r="M13" s="13" cm="1">
        <f t="array" ref="M13">SUMPRODUCT($L$8:$L$20,EXP(-(($K$8:$K$20-K13)^2/(2*2^2)))/SUM(EXP(-(($K$8:$K$20-K13)^2/(2*2^2)))))</f>
        <v>318.14188617728212</v>
      </c>
      <c r="N13" s="30"/>
      <c r="Q13" s="38">
        <v>0.45833333333333331</v>
      </c>
      <c r="R13" s="34">
        <v>11</v>
      </c>
      <c r="S13" s="9">
        <v>300</v>
      </c>
      <c r="T13" s="29">
        <f t="shared" si="1"/>
        <v>4.393693362340742E-2</v>
      </c>
      <c r="U13" s="29">
        <f t="shared" si="2"/>
        <v>13.181080087022226</v>
      </c>
      <c r="V13" s="29">
        <f t="shared" si="3"/>
        <v>0.1353352832366127</v>
      </c>
      <c r="W13" s="29">
        <f t="shared" si="4"/>
        <v>40.60058497098381</v>
      </c>
      <c r="X13" s="29">
        <f t="shared" si="5"/>
        <v>0.32465246735834974</v>
      </c>
      <c r="Y13" s="29">
        <f t="shared" si="6"/>
        <v>97.395740207504929</v>
      </c>
      <c r="Z13" s="29">
        <f t="shared" si="7"/>
        <v>0.60653065971263342</v>
      </c>
      <c r="AA13" s="29">
        <f t="shared" si="8"/>
        <v>181.95919791379004</v>
      </c>
      <c r="AB13" s="29">
        <f t="shared" si="9"/>
        <v>0.88249690258459546</v>
      </c>
      <c r="AC13" s="29">
        <f t="shared" si="10"/>
        <v>264.74907077537864</v>
      </c>
      <c r="AE13" s="20"/>
      <c r="AF13" s="24"/>
      <c r="AG13" s="24"/>
      <c r="AH13" s="24"/>
      <c r="AI13" s="24"/>
      <c r="AJ13" s="24"/>
    </row>
    <row r="14" spans="1:36" x14ac:dyDescent="0.3">
      <c r="B14" s="33">
        <v>12</v>
      </c>
      <c r="C14" s="2">
        <v>250</v>
      </c>
      <c r="E14" s="38">
        <v>0.5</v>
      </c>
      <c r="F14" s="34">
        <v>12</v>
      </c>
      <c r="G14" s="9" t="s">
        <v>79</v>
      </c>
      <c r="H14" s="14">
        <f>(C13+C14+C15)/3</f>
        <v>256.66666666666669</v>
      </c>
      <c r="J14" s="38">
        <v>0.5</v>
      </c>
      <c r="K14" s="34">
        <v>12</v>
      </c>
      <c r="L14" s="9">
        <v>250</v>
      </c>
      <c r="M14" s="13" cm="1">
        <f t="array" ref="M14">SUMPRODUCT($L$8:$L$20,EXP(-(($K$8:$K$20-K14)^2/(2*2^2)))/SUM(EXP(-(($K$8:$K$20-K14)^2/(2*2^2)))))</f>
        <v>291.16202640364514</v>
      </c>
      <c r="N14" s="30"/>
      <c r="Q14" s="38">
        <v>0.5</v>
      </c>
      <c r="R14" s="34">
        <v>12</v>
      </c>
      <c r="S14" s="9">
        <v>250</v>
      </c>
      <c r="T14" s="29">
        <f t="shared" si="1"/>
        <v>1.1108996538242306E-2</v>
      </c>
      <c r="U14" s="29">
        <f t="shared" si="2"/>
        <v>2.7772491345605763</v>
      </c>
      <c r="V14" s="29">
        <f t="shared" si="3"/>
        <v>4.393693362340742E-2</v>
      </c>
      <c r="W14" s="29">
        <f t="shared" si="4"/>
        <v>10.984233405851855</v>
      </c>
      <c r="X14" s="29">
        <f t="shared" si="5"/>
        <v>0.1353352832366127</v>
      </c>
      <c r="Y14" s="29">
        <f t="shared" si="6"/>
        <v>33.833820809153174</v>
      </c>
      <c r="Z14" s="29">
        <f t="shared" si="7"/>
        <v>0.32465246735834974</v>
      </c>
      <c r="AA14" s="29">
        <f t="shared" si="8"/>
        <v>81.163116839587431</v>
      </c>
      <c r="AB14" s="29">
        <f t="shared" si="9"/>
        <v>0.60653065971263342</v>
      </c>
      <c r="AC14" s="29">
        <f t="shared" si="10"/>
        <v>151.63266492815836</v>
      </c>
      <c r="AE14" s="20"/>
      <c r="AF14" s="24"/>
      <c r="AG14" s="24"/>
      <c r="AH14" s="24"/>
      <c r="AI14" s="24"/>
      <c r="AJ14" s="24"/>
    </row>
    <row r="15" spans="1:36" x14ac:dyDescent="0.3">
      <c r="B15" s="33">
        <v>13</v>
      </c>
      <c r="C15" s="2">
        <v>220</v>
      </c>
      <c r="E15" s="38">
        <v>0.54166666666666663</v>
      </c>
      <c r="F15" s="34">
        <v>13</v>
      </c>
      <c r="G15" s="9" t="s">
        <v>80</v>
      </c>
      <c r="H15" s="14">
        <f>(C14+C15+C16)/3</f>
        <v>223.33333333333334</v>
      </c>
      <c r="J15" s="38">
        <v>0.54166666666666663</v>
      </c>
      <c r="K15" s="34">
        <v>13</v>
      </c>
      <c r="L15" s="9">
        <v>220</v>
      </c>
      <c r="M15" s="13" cm="1">
        <f t="array" ref="M15">SUMPRODUCT($L$8:$L$20,EXP(-(($K$8:$K$20-K15)^2/(2*2^2)))/SUM(EXP(-(($K$8:$K$20-K15)^2/(2*2^2)))))</f>
        <v>281.25930873853201</v>
      </c>
      <c r="N15" s="30"/>
      <c r="Q15" s="38">
        <v>0.54166666666666663</v>
      </c>
      <c r="R15" s="34">
        <v>13</v>
      </c>
      <c r="S15" s="9">
        <v>220</v>
      </c>
      <c r="T15" s="29">
        <f t="shared" si="1"/>
        <v>2.1874911181828851E-3</v>
      </c>
      <c r="U15" s="29">
        <f t="shared" si="2"/>
        <v>0.48124804600023474</v>
      </c>
      <c r="V15" s="29">
        <f t="shared" si="3"/>
        <v>1.1108996538242306E-2</v>
      </c>
      <c r="W15" s="29">
        <f t="shared" si="4"/>
        <v>2.4439792384133074</v>
      </c>
      <c r="X15" s="29">
        <f t="shared" si="5"/>
        <v>4.393693362340742E-2</v>
      </c>
      <c r="Y15" s="29">
        <f t="shared" si="6"/>
        <v>9.6661253971496333</v>
      </c>
      <c r="Z15" s="29">
        <f t="shared" si="7"/>
        <v>0.1353352832366127</v>
      </c>
      <c r="AA15" s="29">
        <f t="shared" si="8"/>
        <v>29.773762312054796</v>
      </c>
      <c r="AB15" s="29">
        <f t="shared" si="9"/>
        <v>0.32465246735834974</v>
      </c>
      <c r="AC15" s="29">
        <f t="shared" si="10"/>
        <v>71.42354281883695</v>
      </c>
      <c r="AE15" s="20"/>
      <c r="AF15" s="24"/>
      <c r="AG15" s="24"/>
      <c r="AH15" s="24"/>
      <c r="AI15" s="24"/>
      <c r="AJ15" s="24"/>
    </row>
    <row r="16" spans="1:36" x14ac:dyDescent="0.3">
      <c r="B16" s="33">
        <v>14</v>
      </c>
      <c r="C16" s="2">
        <v>200</v>
      </c>
      <c r="E16" s="38">
        <v>0.58333333333333337</v>
      </c>
      <c r="F16" s="34">
        <v>14</v>
      </c>
      <c r="G16" s="9" t="s">
        <v>81</v>
      </c>
      <c r="H16" s="14">
        <f>(C15+C16+C17)/3</f>
        <v>233.33333333333334</v>
      </c>
      <c r="J16" s="38">
        <v>0.58333333333333337</v>
      </c>
      <c r="K16" s="34">
        <v>14</v>
      </c>
      <c r="L16" s="9">
        <v>200</v>
      </c>
      <c r="M16" s="13" cm="1">
        <f t="array" ref="M16">SUMPRODUCT($L$8:$L$20,EXP(-(($K$8:$K$20-K16)^2/(2*2^2)))/SUM(EXP(-(($K$8:$K$20-K16)^2/(2*2^2)))))</f>
        <v>296.41565604060395</v>
      </c>
      <c r="N16" s="30"/>
      <c r="Q16" s="38">
        <v>0.58333333333333337</v>
      </c>
      <c r="R16" s="34">
        <v>14</v>
      </c>
      <c r="S16" s="9">
        <v>200</v>
      </c>
      <c r="T16" s="29">
        <f t="shared" si="1"/>
        <v>3.3546262790251185E-4</v>
      </c>
      <c r="U16" s="29">
        <f t="shared" si="2"/>
        <v>6.7092525580502368E-2</v>
      </c>
      <c r="V16" s="29">
        <f t="shared" si="3"/>
        <v>2.1874911181828851E-3</v>
      </c>
      <c r="W16" s="29">
        <f t="shared" si="4"/>
        <v>0.43749822363657703</v>
      </c>
      <c r="X16" s="29">
        <f t="shared" si="5"/>
        <v>1.1108996538242306E-2</v>
      </c>
      <c r="Y16" s="29">
        <f t="shared" si="6"/>
        <v>2.2217993076484612</v>
      </c>
      <c r="Z16" s="29">
        <f t="shared" si="7"/>
        <v>4.393693362340742E-2</v>
      </c>
      <c r="AA16" s="29">
        <f t="shared" si="8"/>
        <v>8.7873867246814843</v>
      </c>
      <c r="AB16" s="29">
        <f t="shared" si="9"/>
        <v>0.1353352832366127</v>
      </c>
      <c r="AC16" s="29">
        <f t="shared" si="10"/>
        <v>27.067056647322541</v>
      </c>
      <c r="AE16" s="20"/>
      <c r="AF16" s="24"/>
      <c r="AG16" s="24"/>
      <c r="AH16" s="24"/>
      <c r="AI16" s="24"/>
      <c r="AJ16" s="24"/>
    </row>
    <row r="17" spans="2:36" x14ac:dyDescent="0.3">
      <c r="B17" s="33">
        <v>15</v>
      </c>
      <c r="C17" s="2">
        <v>280</v>
      </c>
      <c r="E17" s="38">
        <v>0.625</v>
      </c>
      <c r="F17" s="34">
        <v>15</v>
      </c>
      <c r="G17" s="9" t="s">
        <v>82</v>
      </c>
      <c r="H17" s="14">
        <f>(C16+C17+C18)/3</f>
        <v>293.33333333333331</v>
      </c>
      <c r="J17" s="38">
        <v>0.625</v>
      </c>
      <c r="K17" s="34">
        <v>15</v>
      </c>
      <c r="L17" s="9">
        <v>280</v>
      </c>
      <c r="M17" s="13" cm="1">
        <f t="array" ref="M17">SUMPRODUCT($L$8:$L$20,EXP(-(($K$8:$K$20-K17)^2/(2*2^2)))/SUM(EXP(-(($K$8:$K$20-K17)^2/(2*2^2)))))</f>
        <v>335.17861483985797</v>
      </c>
      <c r="Q17" s="38">
        <v>0.625</v>
      </c>
      <c r="R17" s="34">
        <v>15</v>
      </c>
      <c r="S17" s="9">
        <v>280</v>
      </c>
      <c r="T17" s="29">
        <f t="shared" si="1"/>
        <v>4.0065297392951069E-5</v>
      </c>
      <c r="U17" s="29">
        <f t="shared" si="2"/>
        <v>1.1218283270026299E-2</v>
      </c>
      <c r="V17" s="29">
        <f t="shared" si="3"/>
        <v>3.3546262790251185E-4</v>
      </c>
      <c r="W17" s="29">
        <f t="shared" si="4"/>
        <v>9.3929535812703316E-2</v>
      </c>
      <c r="X17" s="29">
        <f t="shared" si="5"/>
        <v>2.1874911181828851E-3</v>
      </c>
      <c r="Y17" s="29">
        <f t="shared" si="6"/>
        <v>0.61249751309120781</v>
      </c>
      <c r="Z17" s="29">
        <f t="shared" si="7"/>
        <v>1.1108996538242306E-2</v>
      </c>
      <c r="AA17" s="29">
        <f t="shared" si="8"/>
        <v>3.1105190307078456</v>
      </c>
      <c r="AB17" s="29">
        <f t="shared" si="9"/>
        <v>4.393693362340742E-2</v>
      </c>
      <c r="AC17" s="29">
        <f t="shared" si="10"/>
        <v>12.302341414554078</v>
      </c>
      <c r="AE17" s="20"/>
      <c r="AF17" s="24"/>
      <c r="AG17" s="24"/>
      <c r="AH17" s="24"/>
      <c r="AI17" s="24"/>
      <c r="AJ17" s="24"/>
    </row>
    <row r="18" spans="2:36" x14ac:dyDescent="0.3">
      <c r="B18" s="33">
        <v>16</v>
      </c>
      <c r="C18" s="2">
        <v>400</v>
      </c>
      <c r="E18" s="38">
        <v>0.66666666666666663</v>
      </c>
      <c r="F18" s="34">
        <v>16</v>
      </c>
      <c r="G18" s="9" t="s">
        <v>83</v>
      </c>
      <c r="H18" s="14">
        <f>(C17+C18+C19)/3</f>
        <v>410</v>
      </c>
      <c r="J18" s="38">
        <v>0.66666666666666663</v>
      </c>
      <c r="K18" s="34">
        <v>16</v>
      </c>
      <c r="L18" s="9">
        <v>400</v>
      </c>
      <c r="M18" s="13" cm="1">
        <f t="array" ref="M18">SUMPRODUCT($L$8:$L$20,EXP(-(($K$8:$K$20-K18)^2/(2*2^2)))/SUM(EXP(-(($K$8:$K$20-K18)^2/(2*2^2)))))</f>
        <v>387.36465579026088</v>
      </c>
      <c r="N18" s="30"/>
      <c r="Q18" s="38">
        <v>0.66666666666666663</v>
      </c>
      <c r="R18" s="34">
        <v>16</v>
      </c>
      <c r="S18" s="9">
        <v>400</v>
      </c>
      <c r="T18" s="29">
        <f t="shared" si="1"/>
        <v>3.7266531720786709E-6</v>
      </c>
      <c r="U18" s="29">
        <f t="shared" si="2"/>
        <v>1.4906612688314683E-3</v>
      </c>
      <c r="V18" s="29">
        <f t="shared" si="3"/>
        <v>4.0065297392951069E-5</v>
      </c>
      <c r="W18" s="29">
        <f t="shared" si="4"/>
        <v>1.6026118957180428E-2</v>
      </c>
      <c r="X18" s="29">
        <f t="shared" si="5"/>
        <v>3.3546262790251185E-4</v>
      </c>
      <c r="Y18" s="29">
        <f t="shared" si="6"/>
        <v>0.13418505116100474</v>
      </c>
      <c r="Z18" s="29">
        <f t="shared" si="7"/>
        <v>2.1874911181828851E-3</v>
      </c>
      <c r="AA18" s="29">
        <f t="shared" si="8"/>
        <v>0.87499644727315407</v>
      </c>
      <c r="AB18" s="29">
        <f t="shared" si="9"/>
        <v>1.1108996538242306E-2</v>
      </c>
      <c r="AC18" s="29">
        <f t="shared" si="10"/>
        <v>4.4435986152969225</v>
      </c>
      <c r="AE18" s="20"/>
      <c r="AF18" s="24"/>
      <c r="AG18" s="24"/>
      <c r="AH18" s="24"/>
      <c r="AI18" s="24"/>
      <c r="AJ18" s="24"/>
    </row>
    <row r="19" spans="2:36" x14ac:dyDescent="0.3">
      <c r="B19" s="33">
        <v>17</v>
      </c>
      <c r="C19" s="2">
        <v>550</v>
      </c>
      <c r="E19" s="38">
        <v>0.70833333333333337</v>
      </c>
      <c r="F19" s="34">
        <v>17</v>
      </c>
      <c r="G19" s="9" t="s">
        <v>84</v>
      </c>
      <c r="H19" s="14">
        <f>(C18+C19+C20)/3</f>
        <v>516.66666666666663</v>
      </c>
      <c r="J19" s="38">
        <v>0.70833333333333337</v>
      </c>
      <c r="K19" s="34">
        <v>17</v>
      </c>
      <c r="L19" s="9">
        <v>550</v>
      </c>
      <c r="M19" s="13" cm="1">
        <f t="array" ref="M19">SUMPRODUCT($L$8:$L$20,EXP(-(($K$8:$K$20-K19)^2/(2*2^2)))/SUM(EXP(-(($K$8:$K$20-K19)^2/(2*2^2)))))</f>
        <v>440.28930320756791</v>
      </c>
      <c r="N19" s="30"/>
      <c r="Q19" s="38">
        <v>0.70833333333333337</v>
      </c>
      <c r="R19" s="34">
        <v>17</v>
      </c>
      <c r="S19" s="9">
        <v>550</v>
      </c>
      <c r="T19" s="29">
        <f t="shared" si="1"/>
        <v>2.6995785033630141E-7</v>
      </c>
      <c r="U19" s="29">
        <f t="shared" si="2"/>
        <v>1.4847681768496578E-4</v>
      </c>
      <c r="V19" s="29">
        <f t="shared" si="3"/>
        <v>3.7266531720786709E-6</v>
      </c>
      <c r="W19" s="29">
        <f t="shared" si="4"/>
        <v>2.0496592446432689E-3</v>
      </c>
      <c r="X19" s="29">
        <f t="shared" si="5"/>
        <v>4.0065297392951069E-5</v>
      </c>
      <c r="Y19" s="29">
        <f t="shared" si="6"/>
        <v>2.2035913566123087E-2</v>
      </c>
      <c r="Z19" s="29">
        <f t="shared" si="7"/>
        <v>3.3546262790251185E-4</v>
      </c>
      <c r="AA19" s="29">
        <f t="shared" si="8"/>
        <v>0.18450444534638152</v>
      </c>
      <c r="AB19" s="29">
        <f t="shared" si="9"/>
        <v>2.1874911181828851E-3</v>
      </c>
      <c r="AC19" s="29">
        <f t="shared" si="10"/>
        <v>1.2031201150005868</v>
      </c>
      <c r="AE19" s="20"/>
      <c r="AF19" s="24"/>
      <c r="AG19" s="24"/>
      <c r="AH19" s="24"/>
      <c r="AI19" s="24"/>
      <c r="AJ19" s="24"/>
    </row>
    <row r="20" spans="2:36" x14ac:dyDescent="0.3">
      <c r="B20" s="33">
        <v>18</v>
      </c>
      <c r="C20" s="2">
        <v>600</v>
      </c>
      <c r="E20" s="38">
        <v>0.75</v>
      </c>
      <c r="F20" s="34">
        <v>18</v>
      </c>
      <c r="G20" s="9" t="s">
        <v>73</v>
      </c>
      <c r="H20" s="9" t="s">
        <v>52</v>
      </c>
      <c r="J20" s="38">
        <v>0.75</v>
      </c>
      <c r="K20" s="34">
        <v>18</v>
      </c>
      <c r="L20" s="9">
        <v>600</v>
      </c>
      <c r="M20" s="13" cm="1">
        <f t="array" ref="M20">SUMPRODUCT($L$8:$L$20,EXP(-(($K$8:$K$20-K20)^2/(2*2^2)))/SUM(EXP(-(($K$8:$K$20-K20)^2/(2*2^2)))))</f>
        <v>485.32810205079517</v>
      </c>
      <c r="N20" s="30"/>
      <c r="Q20" s="38">
        <v>0.75</v>
      </c>
      <c r="R20" s="34">
        <v>18</v>
      </c>
      <c r="S20" s="9">
        <v>600</v>
      </c>
      <c r="T20" s="29">
        <f t="shared" si="1"/>
        <v>1.5229979744712629E-8</v>
      </c>
      <c r="U20" s="29">
        <f t="shared" si="2"/>
        <v>9.137987846827578E-6</v>
      </c>
      <c r="V20" s="29">
        <f t="shared" si="3"/>
        <v>2.6995785033630141E-7</v>
      </c>
      <c r="W20" s="29">
        <f t="shared" si="4"/>
        <v>1.6197471020178085E-4</v>
      </c>
      <c r="X20" s="29">
        <f t="shared" si="5"/>
        <v>3.7266531720786709E-6</v>
      </c>
      <c r="Y20" s="29">
        <f t="shared" si="6"/>
        <v>2.2359919032472024E-3</v>
      </c>
      <c r="Z20" s="29">
        <f t="shared" si="7"/>
        <v>4.0065297392951069E-5</v>
      </c>
      <c r="AA20" s="29">
        <f t="shared" si="8"/>
        <v>2.403917843577064E-2</v>
      </c>
      <c r="AB20" s="29">
        <f t="shared" si="9"/>
        <v>3.3546262790251185E-4</v>
      </c>
      <c r="AC20" s="29">
        <f t="shared" si="10"/>
        <v>0.20127757674150712</v>
      </c>
      <c r="AE20" s="20"/>
      <c r="AF20" s="24"/>
      <c r="AG20" s="24"/>
      <c r="AH20" s="24"/>
      <c r="AI20" s="24"/>
      <c r="AJ20" s="24"/>
    </row>
    <row r="21" spans="2:36" x14ac:dyDescent="0.3">
      <c r="B21" s="3"/>
      <c r="K21" s="1">
        <v>6</v>
      </c>
      <c r="L21" s="1">
        <v>200</v>
      </c>
      <c r="M21" s="1" cm="1">
        <f t="array" ref="M21">SUMPRODUCT($L$8:$L$20, (O9*EXP(-(($K$8:$K$20-K21)^2/(2*2^2))))/SUM((O9*EXP(-(($K$8:$K$20-K21)^2/(2*2^2))))))</f>
        <v>338.06647627325015</v>
      </c>
      <c r="Q21" s="27" t="s">
        <v>67</v>
      </c>
      <c r="R21" s="27"/>
      <c r="S21" s="27"/>
      <c r="T21" s="37">
        <f>SUM(T8:T20)</f>
        <v>3.0066282739383219</v>
      </c>
      <c r="U21" s="29">
        <f>SUM(U8:U20)</f>
        <v>1016.4402260338528</v>
      </c>
      <c r="V21" s="37">
        <f t="shared" ref="V21:W21" si="11">SUM(V8:V20)</f>
        <v>3.8891251612929376</v>
      </c>
      <c r="W21" s="29">
        <f t="shared" si="11"/>
        <v>1400.4371096123061</v>
      </c>
      <c r="X21" s="37">
        <f t="shared" ref="X21" si="12">SUM(X8:X20)</f>
        <v>4.4956555510477196</v>
      </c>
      <c r="Y21" s="29">
        <f t="shared" ref="Y21" si="13">SUM(Y8:Y20)</f>
        <v>1675.1988378146439</v>
      </c>
      <c r="Z21" s="37">
        <f t="shared" ref="Z21" si="14">SUM(Z8:Z20)</f>
        <v>4.8203042917528975</v>
      </c>
      <c r="AA21" s="29">
        <f t="shared" ref="AA21" si="15">SUM(AA8:AA20)</f>
        <v>1779.6910215374123</v>
      </c>
      <c r="AB21" s="37">
        <f t="shared" ref="AB21" si="16">SUM(AB8:AB20)</f>
        <v>4.9555995096921173</v>
      </c>
      <c r="AC21" s="29">
        <f t="shared" ref="AC21" si="17">SUM(AC8:AC20)</f>
        <v>1727.6321220558812</v>
      </c>
      <c r="AE21" s="20"/>
      <c r="AF21" s="24"/>
      <c r="AG21" s="24"/>
      <c r="AH21" s="24"/>
      <c r="AI21" s="24"/>
      <c r="AJ21" s="24"/>
    </row>
    <row r="22" spans="2:36" x14ac:dyDescent="0.3">
      <c r="Q22" s="41" t="s">
        <v>61</v>
      </c>
      <c r="R22" s="42"/>
      <c r="S22" s="43"/>
      <c r="T22" s="36">
        <f>U21/T21</f>
        <v>338.06647627325015</v>
      </c>
      <c r="U22" s="36"/>
      <c r="V22" s="36">
        <f>W21/V21</f>
        <v>360.09052204088272</v>
      </c>
      <c r="W22" s="36"/>
      <c r="X22" s="36">
        <f>Y21/X21</f>
        <v>372.62615402646588</v>
      </c>
      <c r="Y22" s="36"/>
      <c r="Z22" s="36">
        <f>AA21/Z21</f>
        <v>369.20719394879319</v>
      </c>
      <c r="AA22" s="36"/>
      <c r="AB22" s="36">
        <f>AC21/AB21</f>
        <v>348.62222394626394</v>
      </c>
      <c r="AC22" s="36"/>
      <c r="AE22" s="24"/>
      <c r="AF22" s="24"/>
      <c r="AG22" s="24"/>
      <c r="AH22" s="24"/>
      <c r="AI22" s="24"/>
      <c r="AJ22" s="24"/>
    </row>
  </sheetData>
  <mergeCells count="13">
    <mergeCell ref="Q22:S22"/>
    <mergeCell ref="G6:H6"/>
    <mergeCell ref="Q21:S21"/>
    <mergeCell ref="V4:X4"/>
    <mergeCell ref="E5:H5"/>
    <mergeCell ref="E6:F6"/>
    <mergeCell ref="J5:M5"/>
    <mergeCell ref="J6:M6"/>
    <mergeCell ref="T22:U22"/>
    <mergeCell ref="V22:W22"/>
    <mergeCell ref="X22:Y22"/>
    <mergeCell ref="Z22:AA22"/>
    <mergeCell ref="AB22:AC2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91FE-AE24-461E-BE47-F59067CEB9BD}">
  <dimension ref="B2:W83"/>
  <sheetViews>
    <sheetView showGridLines="0" topLeftCell="H1" zoomScale="80" zoomScaleNormal="77" workbookViewId="0">
      <selection activeCell="V3" sqref="V3:W10"/>
    </sheetView>
  </sheetViews>
  <sheetFormatPr defaultRowHeight="14.4" x14ac:dyDescent="0.3"/>
  <cols>
    <col min="1" max="1" width="8.88671875" style="1"/>
    <col min="2" max="2" width="17.33203125" style="1" bestFit="1" customWidth="1"/>
    <col min="3" max="3" width="16" style="1" bestFit="1" customWidth="1"/>
    <col min="4" max="4" width="15.6640625" style="1" customWidth="1"/>
    <col min="5" max="5" width="13.6640625" style="1" customWidth="1"/>
    <col min="6" max="6" width="19.109375" style="1" customWidth="1"/>
    <col min="7" max="7" width="18.109375" style="1" customWidth="1"/>
    <col min="8" max="8" width="15.33203125" style="1" customWidth="1"/>
    <col min="9" max="11" width="10.109375" style="1" customWidth="1"/>
    <col min="12" max="12" width="13.88671875" style="1" customWidth="1"/>
    <col min="13" max="14" width="4.77734375" style="1" customWidth="1"/>
    <col min="15" max="15" width="12.33203125" style="1" customWidth="1"/>
    <col min="16" max="16" width="15.21875" style="1" customWidth="1"/>
    <col min="17" max="17" width="15.77734375" style="1" customWidth="1"/>
    <col min="18" max="18" width="19.44140625" style="1" bestFit="1" customWidth="1"/>
    <col min="19" max="19" width="14" style="1" customWidth="1"/>
    <col min="20" max="20" width="11.21875" style="1" customWidth="1"/>
    <col min="21" max="21" width="8.88671875" style="1"/>
    <col min="22" max="22" width="16.5546875" style="1" bestFit="1" customWidth="1"/>
    <col min="23" max="23" width="21.88671875" style="1" bestFit="1" customWidth="1"/>
    <col min="24" max="16384" width="8.88671875" style="1"/>
  </cols>
  <sheetData>
    <row r="2" spans="2:23" x14ac:dyDescent="0.3">
      <c r="Q2" s="55" t="s">
        <v>89</v>
      </c>
      <c r="R2" s="55"/>
      <c r="S2" s="55"/>
      <c r="T2" s="56"/>
    </row>
    <row r="3" spans="2:23" x14ac:dyDescent="0.3">
      <c r="B3" s="27" t="s">
        <v>13</v>
      </c>
      <c r="C3" s="27"/>
      <c r="D3" s="17"/>
      <c r="E3" s="17"/>
      <c r="G3" s="27" t="s">
        <v>85</v>
      </c>
      <c r="H3" s="27"/>
      <c r="I3" s="27"/>
      <c r="J3" s="27"/>
      <c r="K3" s="27"/>
      <c r="L3" s="27"/>
      <c r="P3" s="27" t="s">
        <v>90</v>
      </c>
      <c r="Q3" s="27"/>
      <c r="R3" s="27"/>
      <c r="S3" s="27"/>
      <c r="T3" s="27"/>
      <c r="V3" s="27" t="s">
        <v>112</v>
      </c>
      <c r="W3" s="27"/>
    </row>
    <row r="4" spans="2:23" s="2" customFormat="1" x14ac:dyDescent="0.3">
      <c r="B4" s="11" t="s">
        <v>33</v>
      </c>
      <c r="C4" s="11" t="s">
        <v>35</v>
      </c>
      <c r="D4" s="18"/>
      <c r="E4" s="18"/>
      <c r="G4" s="11" t="s">
        <v>34</v>
      </c>
      <c r="H4" s="11" t="s">
        <v>36</v>
      </c>
      <c r="I4" s="11" t="s">
        <v>37</v>
      </c>
      <c r="J4" s="11" t="s">
        <v>39</v>
      </c>
      <c r="K4" s="11" t="s">
        <v>38</v>
      </c>
      <c r="L4" s="11" t="s">
        <v>40</v>
      </c>
      <c r="M4" s="17"/>
      <c r="N4" s="17"/>
      <c r="O4" s="17"/>
      <c r="P4" s="11" t="s">
        <v>36</v>
      </c>
      <c r="Q4" s="11" t="s">
        <v>41</v>
      </c>
      <c r="R4" s="11" t="s">
        <v>43</v>
      </c>
      <c r="S4" s="11" t="s">
        <v>91</v>
      </c>
      <c r="T4" s="11" t="s">
        <v>44</v>
      </c>
      <c r="V4" s="11" t="s">
        <v>43</v>
      </c>
      <c r="W4" s="11" t="s">
        <v>92</v>
      </c>
    </row>
    <row r="5" spans="2:23" x14ac:dyDescent="0.3">
      <c r="B5" s="9">
        <v>5</v>
      </c>
      <c r="C5" s="9">
        <v>48</v>
      </c>
      <c r="D5" s="17"/>
      <c r="E5" s="17"/>
      <c r="G5" s="13">
        <f>LN(B5)</f>
        <v>1.6094379124341003</v>
      </c>
      <c r="H5" s="13">
        <f>LN(C5)</f>
        <v>3.8712010109078911</v>
      </c>
      <c r="I5" s="29">
        <f>G5-$G$13</f>
        <v>-1.0965418686683506</v>
      </c>
      <c r="J5" s="25">
        <f>I5^2</f>
        <v>1.2024040697426781</v>
      </c>
      <c r="K5" s="29">
        <f>H5-$H$13</f>
        <v>0.37764347303699219</v>
      </c>
      <c r="L5" s="25">
        <f>I5*K5</f>
        <v>-0.41410187961438927</v>
      </c>
      <c r="M5" s="19"/>
      <c r="N5" s="19"/>
      <c r="O5" s="19"/>
      <c r="P5" s="13">
        <v>3.8712010109078911</v>
      </c>
      <c r="Q5" s="12">
        <f>$K$18+($K$19*G5)</f>
        <v>3.9693778266186839</v>
      </c>
      <c r="R5" s="12">
        <f>H5-Q5</f>
        <v>-9.8176815710792731E-2</v>
      </c>
      <c r="S5" s="12">
        <f>R5^2</f>
        <v>9.6386871431109588E-3</v>
      </c>
      <c r="T5" s="12">
        <f>K5^2</f>
        <v>0.14261459272744145</v>
      </c>
      <c r="V5" s="12">
        <f>R5</f>
        <v>-9.8176815710792731E-2</v>
      </c>
      <c r="W5" s="12">
        <f>Q5</f>
        <v>3.9693778266186839</v>
      </c>
    </row>
    <row r="6" spans="2:23" x14ac:dyDescent="0.3">
      <c r="B6" s="9">
        <v>10</v>
      </c>
      <c r="C6" s="9">
        <v>42</v>
      </c>
      <c r="D6" s="17"/>
      <c r="E6" s="17"/>
      <c r="G6" s="13">
        <f t="shared" ref="G6:G10" si="0">LN(B6)</f>
        <v>2.3025850929940459</v>
      </c>
      <c r="H6" s="13">
        <f t="shared" ref="H6:H10" si="1">LN(C6)</f>
        <v>3.7376696182833684</v>
      </c>
      <c r="I6" s="29">
        <f>G6-$G$13</f>
        <v>-0.40339468810840495</v>
      </c>
      <c r="J6" s="25">
        <f t="shared" ref="J6:J10" si="2">I6^2</f>
        <v>0.1627272743940773</v>
      </c>
      <c r="K6" s="29">
        <f>H6-$H$13</f>
        <v>0.24411208041246946</v>
      </c>
      <c r="L6" s="25">
        <f t="shared" ref="L6:L10" si="3">I6*K6</f>
        <v>-9.8473516541481981E-2</v>
      </c>
      <c r="M6" s="19"/>
      <c r="N6" s="19"/>
      <c r="O6" s="19"/>
      <c r="P6" s="13">
        <v>3.7376696182833684</v>
      </c>
      <c r="Q6" s="12">
        <f t="shared" ref="Q6:Q10" si="4">$K$18+($K$19*G6)</f>
        <v>3.6686018133878582</v>
      </c>
      <c r="R6" s="12">
        <f t="shared" ref="R6:R10" si="5">H6-Q6</f>
        <v>6.9067804895510232E-2</v>
      </c>
      <c r="S6" s="12">
        <f t="shared" ref="S6:S10" si="6">R6^2</f>
        <v>4.770361673084267E-3</v>
      </c>
      <c r="T6" s="12">
        <f t="shared" ref="T6:T10" si="7">K6^2</f>
        <v>5.9590707803303951E-2</v>
      </c>
      <c r="V6" s="12">
        <f>R6</f>
        <v>6.9067804895510232E-2</v>
      </c>
      <c r="W6" s="12">
        <f>Q6</f>
        <v>3.6686018133878582</v>
      </c>
    </row>
    <row r="7" spans="2:23" x14ac:dyDescent="0.3">
      <c r="B7" s="9">
        <v>15</v>
      </c>
      <c r="C7" s="9">
        <v>37</v>
      </c>
      <c r="D7" s="17"/>
      <c r="E7" s="17"/>
      <c r="G7" s="13">
        <f t="shared" si="0"/>
        <v>2.7080502011022101</v>
      </c>
      <c r="H7" s="13">
        <f t="shared" si="1"/>
        <v>3.6109179126442243</v>
      </c>
      <c r="I7" s="29">
        <f>G7-$G$13</f>
        <v>2.0704199997592099E-3</v>
      </c>
      <c r="J7" s="25">
        <f>I7^2</f>
        <v>4.286638975402927E-6</v>
      </c>
      <c r="K7" s="29">
        <f>H7-$H$13</f>
        <v>0.11736037477332539</v>
      </c>
      <c r="L7" s="25">
        <f t="shared" si="3"/>
        <v>2.4298526710992915E-4</v>
      </c>
      <c r="M7" s="19"/>
      <c r="N7" s="19"/>
      <c r="O7" s="19"/>
      <c r="P7" s="13">
        <v>3.6109179126442243</v>
      </c>
      <c r="Q7" s="12">
        <f t="shared" si="4"/>
        <v>3.4926591245314147</v>
      </c>
      <c r="R7" s="12">
        <f t="shared" si="5"/>
        <v>0.11825878811280965</v>
      </c>
      <c r="S7" s="12">
        <f t="shared" si="6"/>
        <v>1.3985140965910411E-2</v>
      </c>
      <c r="T7" s="12">
        <f t="shared" si="7"/>
        <v>1.3773457566935392E-2</v>
      </c>
      <c r="V7" s="12">
        <f>R7</f>
        <v>0.11825878811280965</v>
      </c>
      <c r="W7" s="12">
        <f>Q7</f>
        <v>3.4926591245314147</v>
      </c>
    </row>
    <row r="8" spans="2:23" x14ac:dyDescent="0.3">
      <c r="B8" s="9">
        <v>20</v>
      </c>
      <c r="C8" s="9">
        <v>30</v>
      </c>
      <c r="D8" s="17"/>
      <c r="E8" s="17"/>
      <c r="G8" s="13">
        <f t="shared" si="0"/>
        <v>2.9957322735539909</v>
      </c>
      <c r="H8" s="13">
        <f t="shared" si="1"/>
        <v>3.4011973816621555</v>
      </c>
      <c r="I8" s="29">
        <f>G8-$G$13</f>
        <v>0.28975249245154</v>
      </c>
      <c r="J8" s="25">
        <f t="shared" si="2"/>
        <v>8.395650688187975E-2</v>
      </c>
      <c r="K8" s="29">
        <f>H8-$H$13</f>
        <v>-9.2360156208743494E-2</v>
      </c>
      <c r="L8" s="25">
        <f t="shared" si="3"/>
        <v>-2.6761585464697004E-2</v>
      </c>
      <c r="M8" s="19"/>
      <c r="N8" s="19"/>
      <c r="O8" s="19"/>
      <c r="P8" s="13">
        <v>3.4011973816621555</v>
      </c>
      <c r="Q8" s="12">
        <f t="shared" si="4"/>
        <v>3.3678258001570325</v>
      </c>
      <c r="R8" s="12">
        <f t="shared" si="5"/>
        <v>3.3371581505122982E-2</v>
      </c>
      <c r="S8" s="12">
        <f t="shared" si="6"/>
        <v>1.1136624521530664E-3</v>
      </c>
      <c r="T8" s="12">
        <f t="shared" si="7"/>
        <v>8.5303984549035001E-3</v>
      </c>
      <c r="V8" s="12">
        <f>R8</f>
        <v>3.3371581505122982E-2</v>
      </c>
      <c r="W8" s="12">
        <f>Q8</f>
        <v>3.3678258001570325</v>
      </c>
    </row>
    <row r="9" spans="2:23" x14ac:dyDescent="0.3">
      <c r="B9" s="9">
        <v>25</v>
      </c>
      <c r="C9" s="9">
        <v>27</v>
      </c>
      <c r="D9" s="17"/>
      <c r="E9" s="17"/>
      <c r="G9" s="13">
        <f t="shared" si="0"/>
        <v>3.2188758248682006</v>
      </c>
      <c r="H9" s="13">
        <f t="shared" si="1"/>
        <v>3.2958368660043291</v>
      </c>
      <c r="I9" s="29">
        <f>G9-$G$13</f>
        <v>0.51289604376574971</v>
      </c>
      <c r="J9" s="25">
        <f>I9^2</f>
        <v>0.26306235171055786</v>
      </c>
      <c r="K9" s="29">
        <f>H9-$H$13</f>
        <v>-0.19772067186656983</v>
      </c>
      <c r="L9" s="25">
        <f t="shared" si="3"/>
        <v>-0.10141015037106964</v>
      </c>
      <c r="M9" s="19"/>
      <c r="N9" s="19"/>
      <c r="O9" s="19"/>
      <c r="P9" s="13">
        <v>3.2958368660043291</v>
      </c>
      <c r="Q9" s="12">
        <f t="shared" si="4"/>
        <v>3.2709975512298168</v>
      </c>
      <c r="R9" s="12">
        <f t="shared" si="5"/>
        <v>2.4839314774512289E-2</v>
      </c>
      <c r="S9" s="12">
        <f t="shared" si="6"/>
        <v>6.1699155846730452E-4</v>
      </c>
      <c r="T9" s="12">
        <f t="shared" si="7"/>
        <v>3.9093464083367779E-2</v>
      </c>
      <c r="V9" s="12">
        <f>R9</f>
        <v>2.4839314774512289E-2</v>
      </c>
      <c r="W9" s="12">
        <f>Q9</f>
        <v>3.2709975512298168</v>
      </c>
    </row>
    <row r="10" spans="2:23" x14ac:dyDescent="0.3">
      <c r="B10" s="9">
        <v>30</v>
      </c>
      <c r="C10" s="9">
        <v>21</v>
      </c>
      <c r="D10" s="17"/>
      <c r="E10" s="17"/>
      <c r="G10" s="13">
        <f t="shared" si="0"/>
        <v>3.4011973816621555</v>
      </c>
      <c r="H10" s="13">
        <f t="shared" si="1"/>
        <v>3.044522437723423</v>
      </c>
      <c r="I10" s="29">
        <f>G10-$G$13</f>
        <v>0.69521760055970461</v>
      </c>
      <c r="J10" s="25">
        <f t="shared" si="2"/>
        <v>0.48332751212799296</v>
      </c>
      <c r="K10" s="29">
        <f>H10-$H$13</f>
        <v>-0.44903510014747594</v>
      </c>
      <c r="L10" s="25">
        <f t="shared" si="3"/>
        <v>-0.31217710489161488</v>
      </c>
      <c r="M10" s="19"/>
      <c r="N10" s="19"/>
      <c r="O10" s="19"/>
      <c r="P10" s="13">
        <v>3.044522437723423</v>
      </c>
      <c r="Q10" s="12">
        <f t="shared" si="4"/>
        <v>3.191883111300589</v>
      </c>
      <c r="R10" s="12">
        <f t="shared" si="5"/>
        <v>-0.14736067357716598</v>
      </c>
      <c r="S10" s="12">
        <f t="shared" si="6"/>
        <v>2.1715168117116063E-2</v>
      </c>
      <c r="T10" s="12">
        <f t="shared" si="7"/>
        <v>0.20163252116445374</v>
      </c>
      <c r="V10" s="12">
        <f>R10</f>
        <v>-0.14736067357716598</v>
      </c>
      <c r="W10" s="12">
        <f>Q10</f>
        <v>3.191883111300589</v>
      </c>
    </row>
    <row r="11" spans="2:23" x14ac:dyDescent="0.3">
      <c r="B11" s="17"/>
      <c r="C11" s="17"/>
      <c r="D11" s="17"/>
      <c r="E11" s="17"/>
      <c r="F11" s="11" t="s">
        <v>86</v>
      </c>
      <c r="G11" s="52">
        <f>SUM(G5:G10)</f>
        <v>16.235878686614704</v>
      </c>
      <c r="H11" s="53">
        <f>SUM(H5:H10)</f>
        <v>20.961345227225394</v>
      </c>
      <c r="I11" s="49"/>
      <c r="J11" s="54">
        <f>SUM(J5:J10)</f>
        <v>2.1954820014961616</v>
      </c>
      <c r="K11" s="50"/>
      <c r="L11" s="54">
        <f>SUM(L5:L10)</f>
        <v>-0.9526812516161427</v>
      </c>
      <c r="M11" s="19"/>
      <c r="N11" s="19"/>
      <c r="P11" s="27" t="s">
        <v>86</v>
      </c>
      <c r="Q11" s="27"/>
      <c r="R11" s="27"/>
      <c r="S11" s="57">
        <f>SUM(S5:S10)</f>
        <v>5.1840011909842068E-2</v>
      </c>
      <c r="T11" s="57">
        <f>SUM(T5:T10)</f>
        <v>0.46523514180040582</v>
      </c>
      <c r="V11" s="31"/>
      <c r="W11" s="31"/>
    </row>
    <row r="12" spans="2:23" x14ac:dyDescent="0.3">
      <c r="B12" s="2"/>
      <c r="C12" s="2"/>
      <c r="D12" s="2"/>
      <c r="E12" s="2"/>
      <c r="F12" s="11" t="s">
        <v>87</v>
      </c>
      <c r="G12" s="9" t="s">
        <v>93</v>
      </c>
      <c r="H12" s="9" t="s">
        <v>94</v>
      </c>
    </row>
    <row r="13" spans="2:23" x14ac:dyDescent="0.3">
      <c r="B13" s="2"/>
      <c r="C13" s="2"/>
      <c r="D13" s="2"/>
      <c r="E13" s="2"/>
      <c r="F13" s="11" t="s">
        <v>87</v>
      </c>
      <c r="G13" s="51">
        <f>AVERAGE(G5:G10)</f>
        <v>2.7059797811024509</v>
      </c>
      <c r="H13" s="51">
        <f>AVERAGE(H5:H10)</f>
        <v>3.493557537870899</v>
      </c>
      <c r="J13" s="11" t="s">
        <v>46</v>
      </c>
      <c r="K13" s="25">
        <f>L11/J11</f>
        <v>-0.43392806270646544</v>
      </c>
      <c r="Q13" s="8" t="s">
        <v>42</v>
      </c>
      <c r="R13" s="10" t="s">
        <v>95</v>
      </c>
      <c r="S13" s="10"/>
      <c r="T13" s="28"/>
    </row>
    <row r="14" spans="2:23" x14ac:dyDescent="0.3">
      <c r="B14" s="2"/>
      <c r="C14" s="2"/>
      <c r="D14" s="2"/>
      <c r="E14" s="2"/>
      <c r="F14" s="23"/>
      <c r="H14" s="22"/>
      <c r="Q14" s="8" t="s">
        <v>42</v>
      </c>
      <c r="R14" s="58">
        <f>1-(S11/T11)</f>
        <v>0.88857245024692832</v>
      </c>
      <c r="S14" s="59"/>
      <c r="T14" s="28"/>
    </row>
    <row r="15" spans="2:23" x14ac:dyDescent="0.3">
      <c r="B15" s="2"/>
      <c r="C15" s="2"/>
      <c r="D15" s="2"/>
      <c r="E15" s="2"/>
      <c r="F15" s="23"/>
      <c r="H15" s="22"/>
      <c r="S15" s="28"/>
      <c r="T15" s="28"/>
    </row>
    <row r="16" spans="2:23" x14ac:dyDescent="0.3">
      <c r="B16" s="2"/>
      <c r="C16" s="2"/>
      <c r="D16" s="2"/>
      <c r="E16" s="2"/>
      <c r="G16" s="22">
        <f>G11/COUNT(G5:G10)</f>
        <v>2.7059797811024509</v>
      </c>
      <c r="H16" s="1">
        <v>20.961345227225394</v>
      </c>
    </row>
    <row r="17" spans="2:17" x14ac:dyDescent="0.3">
      <c r="B17" s="2"/>
      <c r="C17" s="2"/>
      <c r="D17" s="2"/>
      <c r="E17" s="2"/>
      <c r="G17" s="22"/>
      <c r="J17" s="11" t="s">
        <v>45</v>
      </c>
      <c r="K17" s="25">
        <f>H13-(K13*G13)</f>
        <v>4.6677581020075509</v>
      </c>
      <c r="P17" s="21">
        <f>SUM(P5:P10)</f>
        <v>20.961345227225394</v>
      </c>
      <c r="Q17" s="53">
        <f>SUM(Q5:Q10)</f>
        <v>20.961345227225394</v>
      </c>
    </row>
    <row r="18" spans="2:17" x14ac:dyDescent="0.3">
      <c r="B18" s="9" t="s">
        <v>11</v>
      </c>
      <c r="C18" s="9" t="s">
        <v>7</v>
      </c>
      <c r="D18" s="17"/>
      <c r="E18" s="17"/>
      <c r="F18" s="2"/>
      <c r="G18" s="9" t="s">
        <v>15</v>
      </c>
      <c r="H18" s="9" t="s">
        <v>7</v>
      </c>
      <c r="J18" s="8" t="s">
        <v>45</v>
      </c>
      <c r="K18" s="25">
        <f>H13-(K19*G13)</f>
        <v>4.6677581020075509</v>
      </c>
      <c r="P18" s="11" t="s">
        <v>87</v>
      </c>
      <c r="Q18" s="9" t="s">
        <v>88</v>
      </c>
    </row>
    <row r="19" spans="2:17" x14ac:dyDescent="0.3">
      <c r="B19" s="15" t="s">
        <v>8</v>
      </c>
      <c r="C19" s="16">
        <v>2</v>
      </c>
      <c r="D19" s="19"/>
      <c r="E19" s="19"/>
      <c r="G19" s="15" t="s">
        <v>17</v>
      </c>
      <c r="H19" s="16">
        <v>1</v>
      </c>
      <c r="J19" s="8" t="s">
        <v>46</v>
      </c>
      <c r="K19" s="25">
        <f>L11/J11</f>
        <v>-0.43392806270646544</v>
      </c>
      <c r="P19" s="11" t="s">
        <v>87</v>
      </c>
      <c r="Q19" s="51">
        <f>AVERAGE(Q5:Q10)</f>
        <v>3.493557537870899</v>
      </c>
    </row>
    <row r="20" spans="2:17" x14ac:dyDescent="0.3">
      <c r="B20" s="15" t="s">
        <v>24</v>
      </c>
      <c r="C20" s="16">
        <v>1</v>
      </c>
      <c r="D20" s="19"/>
      <c r="E20" s="19"/>
      <c r="G20" s="15" t="s">
        <v>21</v>
      </c>
      <c r="H20" s="16">
        <v>1</v>
      </c>
    </row>
    <row r="21" spans="2:17" x14ac:dyDescent="0.3">
      <c r="B21" s="15" t="s">
        <v>25</v>
      </c>
      <c r="C21" s="16">
        <v>1</v>
      </c>
      <c r="D21" s="19"/>
      <c r="E21" s="19"/>
      <c r="G21" s="15" t="s">
        <v>22</v>
      </c>
      <c r="H21" s="16">
        <v>2</v>
      </c>
    </row>
    <row r="22" spans="2:17" x14ac:dyDescent="0.3">
      <c r="B22" s="15" t="s">
        <v>12</v>
      </c>
      <c r="C22" s="16">
        <v>1</v>
      </c>
      <c r="D22" s="19"/>
      <c r="E22" s="19"/>
      <c r="F22" s="30" t="s">
        <v>50</v>
      </c>
      <c r="G22" s="15" t="s">
        <v>23</v>
      </c>
      <c r="H22" s="16">
        <v>2</v>
      </c>
    </row>
    <row r="23" spans="2:17" x14ac:dyDescent="0.3">
      <c r="B23" s="15" t="s">
        <v>26</v>
      </c>
      <c r="C23" s="16">
        <v>1</v>
      </c>
      <c r="D23" s="19"/>
      <c r="E23" s="19"/>
    </row>
    <row r="24" spans="2:17" x14ac:dyDescent="0.3">
      <c r="G24" s="9" t="s">
        <v>16</v>
      </c>
      <c r="H24" s="9" t="s">
        <v>7</v>
      </c>
    </row>
    <row r="25" spans="2:17" x14ac:dyDescent="0.3">
      <c r="B25" s="9" t="s">
        <v>10</v>
      </c>
      <c r="C25" s="9" t="s">
        <v>7</v>
      </c>
      <c r="G25" s="15" t="s">
        <v>18</v>
      </c>
      <c r="H25" s="16">
        <v>1</v>
      </c>
    </row>
    <row r="26" spans="2:17" x14ac:dyDescent="0.3">
      <c r="B26" s="15" t="s">
        <v>9</v>
      </c>
      <c r="C26" s="16">
        <v>1</v>
      </c>
      <c r="G26" s="15" t="s">
        <v>31</v>
      </c>
      <c r="H26" s="16">
        <v>1</v>
      </c>
    </row>
    <row r="27" spans="2:17" x14ac:dyDescent="0.3">
      <c r="B27" s="15" t="s">
        <v>26</v>
      </c>
      <c r="C27" s="16">
        <v>2</v>
      </c>
      <c r="G27" s="15" t="s">
        <v>32</v>
      </c>
      <c r="H27" s="16">
        <v>1</v>
      </c>
    </row>
    <row r="28" spans="2:17" x14ac:dyDescent="0.3">
      <c r="B28" s="15" t="s">
        <v>27</v>
      </c>
      <c r="C28" s="16">
        <v>0</v>
      </c>
      <c r="G28" s="15" t="s">
        <v>19</v>
      </c>
      <c r="H28" s="16">
        <v>2</v>
      </c>
    </row>
    <row r="29" spans="2:17" x14ac:dyDescent="0.3">
      <c r="B29" s="15" t="s">
        <v>28</v>
      </c>
      <c r="C29" s="16">
        <v>1</v>
      </c>
      <c r="G29" s="15" t="s">
        <v>20</v>
      </c>
      <c r="H29" s="16">
        <v>1</v>
      </c>
    </row>
    <row r="30" spans="2:17" x14ac:dyDescent="0.3">
      <c r="B30" s="15" t="s">
        <v>29</v>
      </c>
      <c r="C30" s="16">
        <v>1</v>
      </c>
    </row>
    <row r="31" spans="2:17" x14ac:dyDescent="0.3">
      <c r="B31" s="15" t="s">
        <v>30</v>
      </c>
      <c r="C31" s="16">
        <v>1</v>
      </c>
    </row>
    <row r="51" spans="2:6" x14ac:dyDescent="0.3">
      <c r="B51" s="27" t="s">
        <v>97</v>
      </c>
      <c r="C51" s="27"/>
      <c r="D51" s="27"/>
      <c r="E51" s="27"/>
    </row>
    <row r="52" spans="2:6" x14ac:dyDescent="0.3">
      <c r="B52" s="10" t="s">
        <v>100</v>
      </c>
      <c r="C52" s="10"/>
      <c r="D52" s="16"/>
      <c r="E52" s="9">
        <v>6</v>
      </c>
    </row>
    <row r="53" spans="2:6" x14ac:dyDescent="0.3">
      <c r="B53" s="10" t="s">
        <v>99</v>
      </c>
      <c r="C53" s="10"/>
      <c r="D53" s="9" t="s">
        <v>98</v>
      </c>
      <c r="E53" s="9">
        <f>E52-2</f>
        <v>4</v>
      </c>
    </row>
    <row r="54" spans="2:6" s="5" customFormat="1" ht="35.4" customHeight="1" x14ac:dyDescent="0.3">
      <c r="B54" s="60" t="s">
        <v>96</v>
      </c>
      <c r="C54" s="10"/>
      <c r="D54" s="6" t="s">
        <v>102</v>
      </c>
      <c r="E54" s="65">
        <f>S11</f>
        <v>5.1840011909842068E-2</v>
      </c>
    </row>
    <row r="55" spans="2:6" s="5" customFormat="1" x14ac:dyDescent="0.3">
      <c r="B55" s="60" t="s">
        <v>47</v>
      </c>
      <c r="C55" s="60"/>
      <c r="D55" s="61" t="s">
        <v>101</v>
      </c>
      <c r="E55" s="66">
        <f xml:space="preserve"> (E54/E53)^0.5</f>
        <v>0.11384200884322324</v>
      </c>
      <c r="F55" s="1" t="s">
        <v>109</v>
      </c>
    </row>
    <row r="56" spans="2:6" s="5" customFormat="1" x14ac:dyDescent="0.3">
      <c r="B56" s="68"/>
      <c r="C56" s="69"/>
      <c r="D56" s="70"/>
      <c r="E56" s="71"/>
      <c r="F56" s="1"/>
    </row>
    <row r="57" spans="2:6" x14ac:dyDescent="0.3">
      <c r="B57" s="41" t="s">
        <v>103</v>
      </c>
      <c r="C57" s="42"/>
      <c r="D57" s="42"/>
      <c r="E57" s="43"/>
    </row>
    <row r="58" spans="2:6" x14ac:dyDescent="0.3">
      <c r="B58" s="62" t="s">
        <v>105</v>
      </c>
      <c r="C58" s="62"/>
      <c r="D58" s="9"/>
      <c r="E58" s="12">
        <f xml:space="preserve"> K19</f>
        <v>-0.43392806270646544</v>
      </c>
    </row>
    <row r="59" spans="2:6" x14ac:dyDescent="0.3">
      <c r="B59" s="10" t="s">
        <v>48</v>
      </c>
      <c r="C59" s="10"/>
      <c r="D59" s="9"/>
      <c r="E59" s="12">
        <f>J11^0.5</f>
        <v>1.4817158976997451</v>
      </c>
      <c r="F59" s="1" t="s">
        <v>106</v>
      </c>
    </row>
    <row r="60" spans="2:6" x14ac:dyDescent="0.3">
      <c r="B60" s="27" t="s">
        <v>104</v>
      </c>
      <c r="C60" s="27"/>
      <c r="D60" s="9"/>
      <c r="E60" s="12">
        <f>E55/E59</f>
        <v>7.6831198895790057E-2</v>
      </c>
    </row>
    <row r="61" spans="2:6" x14ac:dyDescent="0.3">
      <c r="B61" s="27" t="s">
        <v>49</v>
      </c>
      <c r="C61" s="27"/>
      <c r="D61" s="9"/>
      <c r="E61" s="12">
        <f>E58/E60</f>
        <v>-5.6478106412867968</v>
      </c>
    </row>
    <row r="62" spans="2:6" x14ac:dyDescent="0.3">
      <c r="B62" s="62" t="s">
        <v>110</v>
      </c>
      <c r="C62" s="62"/>
      <c r="D62" s="2" t="s">
        <v>107</v>
      </c>
      <c r="E62" s="63">
        <f>2 * _xlfn.T.DIST(-ABS(E61), 4, TRUE)</f>
        <v>4.8406901409699015E-3</v>
      </c>
    </row>
    <row r="63" spans="2:6" ht="28.8" x14ac:dyDescent="0.3">
      <c r="B63" s="27" t="s">
        <v>110</v>
      </c>
      <c r="C63" s="27"/>
      <c r="D63" s="7" t="s">
        <v>111</v>
      </c>
      <c r="E63" s="67">
        <f>1-0.995</f>
        <v>5.0000000000000044E-3</v>
      </c>
      <c r="F63" s="64" t="s">
        <v>108</v>
      </c>
    </row>
    <row r="64" spans="2:6" x14ac:dyDescent="0.3">
      <c r="F64" s="64">
        <f>1-0.995</f>
        <v>5.0000000000000044E-3</v>
      </c>
    </row>
    <row r="76" spans="2:6" x14ac:dyDescent="0.3">
      <c r="B76" s="27" t="s">
        <v>13</v>
      </c>
      <c r="C76" s="27"/>
      <c r="D76" s="27" t="s">
        <v>14</v>
      </c>
      <c r="E76" s="27"/>
      <c r="F76" s="27"/>
    </row>
    <row r="77" spans="2:6" x14ac:dyDescent="0.3">
      <c r="B77" s="11" t="s">
        <v>33</v>
      </c>
      <c r="C77" s="11" t="s">
        <v>35</v>
      </c>
      <c r="D77" s="9" t="s">
        <v>34</v>
      </c>
      <c r="E77" s="9"/>
      <c r="F77" s="9" t="s">
        <v>36</v>
      </c>
    </row>
    <row r="78" spans="2:6" x14ac:dyDescent="0.3">
      <c r="B78" s="9">
        <v>5</v>
      </c>
      <c r="C78" s="9">
        <v>48</v>
      </c>
      <c r="D78" s="13">
        <v>1.6094379124341003</v>
      </c>
      <c r="E78" s="13"/>
      <c r="F78" s="13">
        <v>3.8712010109078911</v>
      </c>
    </row>
    <row r="79" spans="2:6" x14ac:dyDescent="0.3">
      <c r="B79" s="9">
        <v>10</v>
      </c>
      <c r="C79" s="9">
        <v>42</v>
      </c>
      <c r="D79" s="13">
        <v>2.3025850929940459</v>
      </c>
      <c r="E79" s="13"/>
      <c r="F79" s="13">
        <v>3.7376696182833684</v>
      </c>
    </row>
    <row r="80" spans="2:6" x14ac:dyDescent="0.3">
      <c r="B80" s="9">
        <v>15</v>
      </c>
      <c r="C80" s="9">
        <v>37</v>
      </c>
      <c r="D80" s="13">
        <v>2.7080502011022101</v>
      </c>
      <c r="E80" s="13"/>
      <c r="F80" s="13">
        <v>3.6109179126442243</v>
      </c>
    </row>
    <row r="81" spans="2:6" x14ac:dyDescent="0.3">
      <c r="B81" s="9">
        <v>20</v>
      </c>
      <c r="C81" s="9">
        <v>30</v>
      </c>
      <c r="D81" s="13">
        <v>2.9957322735539909</v>
      </c>
      <c r="E81" s="13"/>
      <c r="F81" s="13">
        <v>3.4011973816621555</v>
      </c>
    </row>
    <row r="82" spans="2:6" x14ac:dyDescent="0.3">
      <c r="B82" s="9">
        <v>25</v>
      </c>
      <c r="C82" s="9">
        <v>27</v>
      </c>
      <c r="D82" s="13">
        <v>3.2188758248682006</v>
      </c>
      <c r="E82" s="13"/>
      <c r="F82" s="13">
        <v>3.2958368660043291</v>
      </c>
    </row>
    <row r="83" spans="2:6" x14ac:dyDescent="0.3">
      <c r="B83" s="9">
        <v>30</v>
      </c>
      <c r="C83" s="9">
        <v>21</v>
      </c>
      <c r="D83" s="13">
        <v>3.4011973816621555</v>
      </c>
      <c r="E83" s="13"/>
      <c r="F83" s="13">
        <v>3.044522437723423</v>
      </c>
    </row>
  </sheetData>
  <mergeCells count="22">
    <mergeCell ref="B63:C63"/>
    <mergeCell ref="B58:C58"/>
    <mergeCell ref="B59:C59"/>
    <mergeCell ref="B60:C60"/>
    <mergeCell ref="B61:C61"/>
    <mergeCell ref="B62:C62"/>
    <mergeCell ref="B57:E57"/>
    <mergeCell ref="R13:S13"/>
    <mergeCell ref="R14:S14"/>
    <mergeCell ref="B52:C52"/>
    <mergeCell ref="B53:C53"/>
    <mergeCell ref="B51:E51"/>
    <mergeCell ref="V3:W3"/>
    <mergeCell ref="B76:C76"/>
    <mergeCell ref="D76:F76"/>
    <mergeCell ref="G3:L3"/>
    <mergeCell ref="P3:T3"/>
    <mergeCell ref="P11:R11"/>
    <mergeCell ref="Q2:S2"/>
    <mergeCell ref="B3:C3"/>
    <mergeCell ref="B54:C54"/>
    <mergeCell ref="B55:C5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Qn. 2. Smoothing</vt:lpstr>
      <vt:lpstr>Qn. 4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 Lubega</dc:creator>
  <cp:lastModifiedBy>Mr. R Lubega</cp:lastModifiedBy>
  <dcterms:created xsi:type="dcterms:W3CDTF">2025-06-02T12:35:22Z</dcterms:created>
  <dcterms:modified xsi:type="dcterms:W3CDTF">2025-07-14T21:14:11Z</dcterms:modified>
</cp:coreProperties>
</file>