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Reconciliação" sheetId="2" r:id="rId5"/>
  </sheets>
  <definedNames/>
  <calcPr/>
</workbook>
</file>

<file path=xl/sharedStrings.xml><?xml version="1.0" encoding="utf-8"?>
<sst xmlns="http://schemas.openxmlformats.org/spreadsheetml/2006/main" count="910" uniqueCount="589">
  <si>
    <t>Nome</t>
  </si>
  <si>
    <t>Cidade</t>
  </si>
  <si>
    <t>UF</t>
  </si>
  <si>
    <t>Data de criação</t>
  </si>
  <si>
    <t>Autoria1</t>
  </si>
  <si>
    <t>Autoria2</t>
  </si>
  <si>
    <t>Autoria3</t>
  </si>
  <si>
    <t>Link da fonte</t>
  </si>
  <si>
    <t>Altura</t>
  </si>
  <si>
    <t>Largura</t>
  </si>
  <si>
    <t>Área (m²)</t>
  </si>
  <si>
    <t>Peso (T)</t>
  </si>
  <si>
    <t>Material1</t>
  </si>
  <si>
    <t>Material2</t>
  </si>
  <si>
    <t>Tipo1</t>
  </si>
  <si>
    <t>Tipo2</t>
  </si>
  <si>
    <t>Tipo3</t>
  </si>
  <si>
    <t>Latitude</t>
  </si>
  <si>
    <t>Longitude</t>
  </si>
  <si>
    <t>Memorial às Vítimas da COVID19 no Brasil  Senado Federal</t>
  </si>
  <si>
    <t>Brasília</t>
  </si>
  <si>
    <t>DF</t>
  </si>
  <si>
    <t>Vanessa Bhering</t>
  </si>
  <si>
    <t>André Luiz Castro</t>
  </si>
  <si>
    <t>https://www12.senado.leg.br/noticias/materias/2022/02/15/senadoinauguramemorialemhomenagemavitimasdacovid19nobrasil</t>
  </si>
  <si>
    <t>Mármore</t>
  </si>
  <si>
    <t>Escultura</t>
  </si>
  <si>
    <t>"O Legado da Coragem"</t>
  </si>
  <si>
    <t>Zakeu Vitor</t>
  </si>
  <si>
    <t>https://ambr.org.br/olegadodacoragem/?</t>
  </si>
  <si>
    <t>Bosque da Esperança  Crato</t>
  </si>
  <si>
    <t>Crato</t>
  </si>
  <si>
    <t>CE</t>
  </si>
  <si>
    <t>https://crato.ce.gov.br/informa.php?id=1202</t>
  </si>
  <si>
    <t>Plantio de Mudas</t>
  </si>
  <si>
    <t>Placa</t>
  </si>
  <si>
    <t>Capela Paranista</t>
  </si>
  <si>
    <t>Curitiba</t>
  </si>
  <si>
    <t>PR</t>
  </si>
  <si>
    <t>João Turin</t>
  </si>
  <si>
    <t>https://www.curitiba.pr.gov.br/noticias/comjoaoturinemdestaqueprefeituraentreganestasextafeiraomemorialparanista/58945</t>
  </si>
  <si>
    <t>Cruz da Compaixão</t>
  </si>
  <si>
    <t>Farroupilha</t>
  </si>
  <si>
    <t>RS</t>
  </si>
  <si>
    <t>Cristtiano Fabris</t>
  </si>
  <si>
    <t>https://caravaggio.org.br/noticias/concluidoomonumentocruzdacompaixao</t>
  </si>
  <si>
    <t>8m</t>
  </si>
  <si>
    <t>Concreto</t>
  </si>
  <si>
    <t>Em memória pela advocacia vítima da COVID19</t>
  </si>
  <si>
    <t>Maceió</t>
  </si>
  <si>
    <t>AL</t>
  </si>
  <si>
    <t>https://www.oabal.org.br/2021/08/nodiadaadvocaciaoabalhomenageiaadvogadoseadvogadasvitimasdacovid19/</t>
  </si>
  <si>
    <t>Homenagem do CREMEGO aos médicos que tombaram no combate à COVID19</t>
  </si>
  <si>
    <t>Goiânia</t>
  </si>
  <si>
    <t>GO</t>
  </si>
  <si>
    <t>https://www.jornalopcao.com.br/ultimasnoticias/diadomediconalinhadefrentecontraocoronavirus20profissionaisperderamavidaemgoias290215/</t>
  </si>
  <si>
    <t>Imensuráveis  Memorial das vítimas da Covid19 em Mato Grosso</t>
  </si>
  <si>
    <t>Cuiabá</t>
  </si>
  <si>
    <t>MT</t>
  </si>
  <si>
    <t>https://g1.globo.com/mt/matogrosso/noticia/2020/11/06/museudeartesacrareunefotosedadosdasvitimasdacovid19emmtparamemorialinumeraveis.ghtml</t>
  </si>
  <si>
    <t>Painel de Fotografias</t>
  </si>
  <si>
    <t>Jardim Memorial  Hospital das Clínicas de Marília</t>
  </si>
  <si>
    <t>Marília</t>
  </si>
  <si>
    <t>SP</t>
  </si>
  <si>
    <t>https://mariliadobem.com.br/jardimmemorialhomenageiavitimasdacovid19nohcfamema/</t>
  </si>
  <si>
    <t>Largo da Saúde</t>
  </si>
  <si>
    <t>Fernando Canalli</t>
  </si>
  <si>
    <t>Guilherme Klock</t>
  </si>
  <si>
    <t>https://www.curitiba.pr.gov.br/noticias/largodasaudehomenageiavitimaseprofissionaisdocombateacovid19/59570</t>
  </si>
  <si>
    <t>7m</t>
  </si>
  <si>
    <t>25m</t>
  </si>
  <si>
    <t>Mural</t>
  </si>
  <si>
    <t>Memoráveis Imensuráveis  Memorial dedicado às vítimas da covid19 em Varginha</t>
  </si>
  <si>
    <t>Varginha</t>
  </si>
  <si>
    <t>MG</t>
  </si>
  <si>
    <t>https://www.varginhaonline.com.br/192966/prefeiturainauguramemorialemhomenagemasvitimasdacovid19emvarginha.html</t>
  </si>
  <si>
    <t>Memorial à Nossa Senhora Aparecida pelas vítimas da Covid19</t>
  </si>
  <si>
    <t>Poá</t>
  </si>
  <si>
    <t>Gesildo Torres</t>
  </si>
  <si>
    <t>https://jornallogica.com.br/2022/05/30/igrejadepoaganhamemorialemhomenagemasvitimasdacovid19/</t>
  </si>
  <si>
    <t>5m</t>
  </si>
  <si>
    <t>Ferro</t>
  </si>
  <si>
    <t>Cimento</t>
  </si>
  <si>
    <t>-23.510869</t>
  </si>
  <si>
    <t>-46.36584</t>
  </si>
  <si>
    <t>Memorial Anjos</t>
  </si>
  <si>
    <t>Recife</t>
  </si>
  <si>
    <t>PE</t>
  </si>
  <si>
    <t>Alexandre Almeida</t>
  </si>
  <si>
    <t>https://www.uninassau.edu.br/noticias/recifeganhamonumentoemhomenagemvitimasdecovid19</t>
  </si>
  <si>
    <t>1,4m</t>
  </si>
  <si>
    <t>Aço Inoxidável</t>
  </si>
  <si>
    <t>Memorial aos mortos por Covid19 na Maré</t>
  </si>
  <si>
    <t>Rio de Janeiro</t>
  </si>
  <si>
    <t>RJ</t>
  </si>
  <si>
    <t>https://extra.globo.com/noticias/rio/covid19pandemiavaipassarmasmuralvaicontinuardizfamiliardevitimahomenageadaemmemorialinauguradonocomplexodamare25277404.html</t>
  </si>
  <si>
    <t>2m</t>
  </si>
  <si>
    <t>10m</t>
  </si>
  <si>
    <t>Azulejos</t>
  </si>
  <si>
    <t>Memorial às vítimas da Covid19  Hospital CASSEMS Campo Grande (MS)</t>
  </si>
  <si>
    <t>Campo Grande</t>
  </si>
  <si>
    <t>MS</t>
  </si>
  <si>
    <t>https://www.acritica.net/editorias/coronavirus/emseuaniversariode5anoshospitalcassemscampograndeinaugura/555656/</t>
  </si>
  <si>
    <t>Memorial às Vítimas da COVID19 (Bragança Paulista)</t>
  </si>
  <si>
    <t>Bragança Paulista</t>
  </si>
  <si>
    <t>Manoel Lima</t>
  </si>
  <si>
    <t>https://fm102.com.br/bragancapaulistainauguramemorialemhomenagemasvitimasdacovid19/</t>
  </si>
  <si>
    <t>4m</t>
  </si>
  <si>
    <t>2.65m</t>
  </si>
  <si>
    <t>Fibra de Vidro</t>
  </si>
  <si>
    <t>Memorial às Vítimas da COVID19 (Igreja Matriz de Manacapuru)</t>
  </si>
  <si>
    <t>Manacapuru</t>
  </si>
  <si>
    <t>AM</t>
  </si>
  <si>
    <t>https://web.archive.org/web/20220319184154/https://www.manacapuru.am.gov.br/memorialvitimascovid.php</t>
  </si>
  <si>
    <t>Granito</t>
  </si>
  <si>
    <t>Memorial Cidade de Deus contra a COVID</t>
  </si>
  <si>
    <t>Mateus Paz</t>
  </si>
  <si>
    <t>Nélio Fernandes</t>
  </si>
  <si>
    <t>https://www.facebook.com/coletivocddcontracovid/posts/pfbid02rZ16zbrcUrZBg8fs62KbcEp3a4ozpxcegbRgkTibNso94j62xzZanUx3m9bPvE9el?__cft__[0]=AZW9VpGIhbw9JFupJXJC5YimHzBAtPIA7Ow2k_n7EdOjYndCtgbfxB8CXJOzRun0Se6rcDtBQCMErU7Yf0iu63MR3CGyEsnOsmC77R0NNywBIj1PteSWhYpOyhD9og5nQ&amp;__tn__=%2CO%2CPR</t>
  </si>
  <si>
    <t>Madeira</t>
  </si>
  <si>
    <t>Memorial da Advocacia de Santa Catarina</t>
  </si>
  <si>
    <t>Florianópolis</t>
  </si>
  <si>
    <t>SC</t>
  </si>
  <si>
    <t>https://www.oabsc.org.br/noticias/jardimmemorialadvocacianaoabschomenageiaadvogadoscatarinensesvitimascovid19/19256</t>
  </si>
  <si>
    <t>Memorial da Despedida</t>
  </si>
  <si>
    <t>Amarildo Francisco</t>
  </si>
  <si>
    <t>https://www.facebook.com/watch/?v=812733269580957</t>
  </si>
  <si>
    <t>Memorial da Gratidão</t>
  </si>
  <si>
    <t>Porto Alegre</t>
  </si>
  <si>
    <t>Paulo Favalli</t>
  </si>
  <si>
    <t>https://www.amrigs.org.br/noticias/6152</t>
  </si>
  <si>
    <t>2,65m</t>
  </si>
  <si>
    <t>7,5m</t>
  </si>
  <si>
    <t>Plasticina</t>
  </si>
  <si>
    <t>Bronze</t>
  </si>
  <si>
    <t>Memorial da luta contra a Covid19 Enfermeira Denise Gomes</t>
  </si>
  <si>
    <t>Maricá</t>
  </si>
  <si>
    <t>Fábio Alexandre</t>
  </si>
  <si>
    <t>https://www.marica.rj.gov.br/noticia/memorialasvitimasdacovid19einauguradoemmarica/</t>
  </si>
  <si>
    <t xml:space="preserve">Memorial da Saudade em Juazeiro </t>
  </si>
  <si>
    <t>Petrolina</t>
  </si>
  <si>
    <t>http://acaopopular.net/jornal/petrolinaejuazeirocomemoramdiamundialdomeioambientecomplantiodemudasehomenagens/</t>
  </si>
  <si>
    <t>Memorial dedicado aos servidores públicos vítimas da COVID19</t>
  </si>
  <si>
    <t>Campo Largo</t>
  </si>
  <si>
    <t>https://grandecuritiba.info/campolargo/2021/10/29/diadoservidorpublicoemcampolargoemarcadoporemocaoeagradecimentos</t>
  </si>
  <si>
    <t>Memorial do Renascimento</t>
  </si>
  <si>
    <t>Ribeirão Pires</t>
  </si>
  <si>
    <t>https://www.reporterdiario.com.br/noticia/3099660/obrasdememorialasvitimasdacoviddividemopinioesemrpires/</t>
  </si>
  <si>
    <t>Praça</t>
  </si>
  <si>
    <t>-23.712738</t>
  </si>
  <si>
    <t>-46.41313</t>
  </si>
  <si>
    <t>Memorial do SINTUSP em homenagem aos mortos por COVID19</t>
  </si>
  <si>
    <t>Ribeirão Preto</t>
  </si>
  <si>
    <t>https://www.sintusp.org.br/2022/08/22/sintuspribeiraoinauguramemorialemhomenagemaosmortosporcovid/</t>
  </si>
  <si>
    <t>-21.164918</t>
  </si>
  <si>
    <t>-47.862319</t>
  </si>
  <si>
    <t>Memorial em Boa Vista  Bosque dos Papagaios</t>
  </si>
  <si>
    <t>Boa Vista</t>
  </si>
  <si>
    <t>RR</t>
  </si>
  <si>
    <t>https://boavista.rr.gov.br/noticias/2021/6/meioambienteprefeiturahomenageiavitimasdacovid19emmemorialnobosquedospapagaios?f=2548833421480690989</t>
  </si>
  <si>
    <t>Memorial em homenagem aos médicos falecidos pela Covid19</t>
  </si>
  <si>
    <t>São Paulo</t>
  </si>
  <si>
    <t>https://portalmedicinaesaude.com/memorialdoconselhoregionaldemedicinadoestadodesaopaulohomenageiamedicosfalecidospelacovid19/</t>
  </si>
  <si>
    <t>Memorial em homenagem às vítimas da Covid  Olímpia (SP)</t>
  </si>
  <si>
    <t>Olímpia</t>
  </si>
  <si>
    <t>Leonardo Gimenez</t>
  </si>
  <si>
    <t>Romildo Cardozo</t>
  </si>
  <si>
    <t>https://www.olimpia.sp.gov.br/portal/noticias/0/3/4948/olimpiaconstroioprimeiromemorialemhomenagemasvitimasdacoviddonoroestepaulista</t>
  </si>
  <si>
    <t>3m</t>
  </si>
  <si>
    <t>Aço</t>
  </si>
  <si>
    <t>Fibra de vidro</t>
  </si>
  <si>
    <t>Memorial em Homenagem às Vítimas da Covid  Vila Velha (ES)</t>
  </si>
  <si>
    <t>Vila Velha</t>
  </si>
  <si>
    <t>ES</t>
  </si>
  <si>
    <t>Hippolito Alves</t>
  </si>
  <si>
    <t>https://www.agoraes.com.br/noticia/26900/feearteseunememesculturafeitaporartistacapixabaparahomenagearvitimasdacovid19</t>
  </si>
  <si>
    <t>Petróleo</t>
  </si>
  <si>
    <t>Memorial em homenagem às vítimas da COVID19  Cabreúva (SP)</t>
  </si>
  <si>
    <t>Cabreúva</t>
  </si>
  <si>
    <t>https://www.cabreuva.sp.gov.br/noticias+home/novo+cartao+postal+da+cidade+cabreuva+ganha+parque+para+esporte+e+lazer.aspx</t>
  </si>
  <si>
    <t>Memorial em homenagem às vítimas da COVID19  Itatiba (SP)</t>
  </si>
  <si>
    <t>Itatiba</t>
  </si>
  <si>
    <t>https://www.crnitatiba.com.br/plantiodearvoresemonumentohomenageiam325vitimasdecovid19emitatiba</t>
  </si>
  <si>
    <t>-20.335445</t>
  </si>
  <si>
    <t>-40.283944</t>
  </si>
  <si>
    <t>Memorial em homenagem às vítimas da COVID19  Mamanguape (PB)</t>
  </si>
  <si>
    <t>Mamanguape</t>
  </si>
  <si>
    <t>PB</t>
  </si>
  <si>
    <t>https://www.mamanguape.pb.gov.br/atoecumenicomarcaainauguracaodocemiterioparquedasaudadenobairrodoareial/</t>
  </si>
  <si>
    <t>Memorial em homenagem às vítimas da COVID19  Paranaguá (PR)</t>
  </si>
  <si>
    <t>Paranaguá</t>
  </si>
  <si>
    <t>https://www.paranagua.pr.gov.br/noticias/noticia1580.html</t>
  </si>
  <si>
    <t>Memorial em homenagem às vítimas da COVID19  Pérola (PR)</t>
  </si>
  <si>
    <t>Pérola</t>
  </si>
  <si>
    <t>http://www.perola.pr.gov.br//index.php?sessao=b0546033689fb0&amp;id=1121439&amp;id_secretaria=1832</t>
  </si>
  <si>
    <t>Pedra</t>
  </si>
  <si>
    <t>-23.80362119493893</t>
  </si>
  <si>
    <t>-53.68754961275789</t>
  </si>
  <si>
    <t>Memorial em homenagem às vítimas da COVID19  Petrópolis (RJ)</t>
  </si>
  <si>
    <t>Petrópolis</t>
  </si>
  <si>
    <t>Rodrigo CB</t>
  </si>
  <si>
    <t>Paulo Lima</t>
  </si>
  <si>
    <t>https://soupetropolis.com/2021/11/25/petropolisganhamemorialemhomenagemasvitimasdacovid19/</t>
  </si>
  <si>
    <t>Memorial em homenagem às vítimas da COVID19  Pouso Redondo (SC)</t>
  </si>
  <si>
    <t>Pouso Redondo</t>
  </si>
  <si>
    <t>Sergio Canale</t>
  </si>
  <si>
    <t>https://www.pousoredondo.sc.gov.br/noticias/ver/2021/12/memorialemhomenagemasvitimasdacovid19einaugurado</t>
  </si>
  <si>
    <t>Plantio de mudas</t>
  </si>
  <si>
    <t>Memorial em Homenagem às Vítimas da Covid19  Rio Branco (AC)</t>
  </si>
  <si>
    <t>Rio Branco</t>
  </si>
  <si>
    <t>AC</t>
  </si>
  <si>
    <t>https://agencia.ac.gov.br/memorialasvitimasdacovid19einauguradopelogovernodoacre/</t>
  </si>
  <si>
    <t>Memorial em Homenagem às Vítimas da Covid19  Serra Talhada (PE)</t>
  </si>
  <si>
    <t>Serra Talhada</t>
  </si>
  <si>
    <t>https://www.portalcabrobonews.com.br/noticia/prefeituradeserratalhadainauguramemorialemhomenagemasvitimasdacovid19</t>
  </si>
  <si>
    <t>Memorial em homenagem às vítimas da COVID19  Venâncio Aires (RS)</t>
  </si>
  <si>
    <t>Venâncio Aires</t>
  </si>
  <si>
    <t>https://www.portalarauto.com.br/Pages/207707/memorialasvitimasdacovid19einauguradonocentrodevenancio</t>
  </si>
  <si>
    <t>Memorial AVARC</t>
  </si>
  <si>
    <t>Celeste Leite dos Santos</t>
  </si>
  <si>
    <t>Fátima Ranaldo</t>
  </si>
  <si>
    <t>Pedro Caribe</t>
  </si>
  <si>
    <t>https://ciclovivo.com.br/inovacao/inspiracao/saopaulomemorialhomenagemcovid19/</t>
  </si>
  <si>
    <t>Memorial Gratidão</t>
  </si>
  <si>
    <t>Vitória</t>
  </si>
  <si>
    <t>Zota Coelho</t>
  </si>
  <si>
    <t>https://portalcontexto.com.br/vitorianoespiritosantoganhamonumentoemhomenagemaosprofissionaisdasaudequeperderamavidanapandemia/</t>
  </si>
  <si>
    <t>Memorial InFinito</t>
  </si>
  <si>
    <t>Crisa Santos</t>
  </si>
  <si>
    <t>https://extra.globo.com/noticias/rio/vitimasdacovid19noriosaohomenageadascommonumentomemorialemcemiterionocaju24648046.html</t>
  </si>
  <si>
    <t>39m</t>
  </si>
  <si>
    <t>Memorial Mãos do Universo</t>
  </si>
  <si>
    <t>Hildebrando de Lima</t>
  </si>
  <si>
    <t>https://blogs.oglobo.globo.com/ancelmo/post/jardimdasaudadefaztunelcom70milfloresrepresentandovitimasdacovidnorio.html</t>
  </si>
  <si>
    <t>Memorial para honrar as vítimas da COVID19 (Barueri)</t>
  </si>
  <si>
    <t>Barueri</t>
  </si>
  <si>
    <t>Marisa Alonso</t>
  </si>
  <si>
    <t>https://portal.barueri.sp.gov.br/Noticia/21052021pracadomemorialhomenageiavitimasdacovid19</t>
  </si>
  <si>
    <t>Memorial Reencontro</t>
  </si>
  <si>
    <t>Priscila Bodin</t>
  </si>
  <si>
    <t>https://www.vaticannews.va/pt/igreja/news/202011/diadefinadosarquidioceseriodejaneiromemorialoracao.html</t>
  </si>
  <si>
    <t>Memorial Saúde  Três de Maio (RS)</t>
  </si>
  <si>
    <t>Três de Maio</t>
  </si>
  <si>
    <t>https://www.pmtresdemaio.com.br/site/Noticias/saude/64842municipioinauguramemorialsaude#prettyPhoto</t>
  </si>
  <si>
    <t>Memorial Silvia Regina Fernandes Davides</t>
  </si>
  <si>
    <t>Bariri</t>
  </si>
  <si>
    <t>Jonas Afonso</t>
  </si>
  <si>
    <t>https://jornalcandeia.com.br/cidade/memorialhomenageiavitimasdacovidembariri/</t>
  </si>
  <si>
    <t>Memorial Vítimas da Covid19  Guaratuba (PR)</t>
  </si>
  <si>
    <t>Guaratuba</t>
  </si>
  <si>
    <t>Birgitte Tümmler</t>
  </si>
  <si>
    <t>http://portal.guaratuba.pr.gov.br/noticia/2183/titulo/guaratubainauguramemorialemhomenagemasvatimasdacovid19</t>
  </si>
  <si>
    <t>Memorial vivo às vítimas da COVID19</t>
  </si>
  <si>
    <t>Salvador</t>
  </si>
  <si>
    <t>BA</t>
  </si>
  <si>
    <t>https://www.cese.org.br/diversasexpressoesdefesereunemparahomenagearvitimasdacovideesperancarportemposmelhores/</t>
  </si>
  <si>
    <t>Monumento "Memorial"</t>
  </si>
  <si>
    <t>Campinas</t>
  </si>
  <si>
    <t>Santos Lopes</t>
  </si>
  <si>
    <t>https://portalcbncampinas.com.br/2021/10/trescemiteriosdecampinasteraomemorialemhomenagemasvitimasdacovid19/</t>
  </si>
  <si>
    <t>Monumento e Memorial Virtual em homenagem às vítimas de COVID19 do Complexo Prudenciana</t>
  </si>
  <si>
    <t>Assis</t>
  </si>
  <si>
    <t>Marcos Paulo Ferreira Gomes</t>
  </si>
  <si>
    <t>Pedro Isac Arevalos Alves</t>
  </si>
  <si>
    <t>Daiana Vaz Vieira</t>
  </si>
  <si>
    <t>https://www.assis.sp.gov.br/noticia/3601/escolajoseaugustoribeiroinauguramonumentoememorialvirtualemhomenagemasvitimasdecovid19docomplexoprudenciana</t>
  </si>
  <si>
    <t>Monumento em Homenagem aos Profissionais da Saúde (Piumhi/MG)</t>
  </si>
  <si>
    <t>Piumhi</t>
  </si>
  <si>
    <t>Welington Melo</t>
  </si>
  <si>
    <t>https://prefeiturapiumhi.mg.gov.br/monumentoemhomenagemaosprofissionaisdasaudeeinauguradoeemocionapresentes/</t>
  </si>
  <si>
    <t>3,5m</t>
  </si>
  <si>
    <t>Cápsula do tempo</t>
  </si>
  <si>
    <t>Monumento Memorial da Romaria do Pai Eterno 2022</t>
  </si>
  <si>
    <t>Trindade</t>
  </si>
  <si>
    <t>Silvio Morais</t>
  </si>
  <si>
    <t>https://www.paieterno.com.br/2022/06/23/piradomonumentomemorialdaromariadodivinopaieternoseraacesanoamanhecerdestasextafeira24/</t>
  </si>
  <si>
    <t>Chapas metálicas</t>
  </si>
  <si>
    <t>Monumento Vítimas da COVID19  São Lourenço do Oeste (SC)</t>
  </si>
  <si>
    <t>São Lourenço do Oeste</t>
  </si>
  <si>
    <t>https://web.archive.org/web/20220815141047/https://www.estacao104.com.br/pracadabandeiratemmemorialemonumentoemhomenagemasvitimasdacovid19/</t>
  </si>
  <si>
    <t>Navegar é preciso, viver não é preciso</t>
  </si>
  <si>
    <t>Manaus</t>
  </si>
  <si>
    <t>Sérgio Santos</t>
  </si>
  <si>
    <t>https://portalunico.com/noaniversariode70anostceamerguemonumentoemhomenagemasvitimasdacovideprofissionaisdesaude/</t>
  </si>
  <si>
    <t>Itaúba</t>
  </si>
  <si>
    <t>Maçaranduba</t>
  </si>
  <si>
    <t>Painel "Gratidão"  Curitiba</t>
  </si>
  <si>
    <t>https://revistacontemporartes.com.br/2021/07/05/gratidaocgbvidaurbanainaugurapaineldeazulejosemhomenagemaprofissionaisdalinhadefrenteemcuritiba/</t>
  </si>
  <si>
    <t>2,1m</t>
  </si>
  <si>
    <t>Pedra Fundamental Memorial da Vida</t>
  </si>
  <si>
    <t>Porto Nacional</t>
  </si>
  <si>
    <t>TO</t>
  </si>
  <si>
    <t>https://ww2.uft.edu.br/index.php/ultimasnoticias/29513ufteprefeituraprestamhomenagemasvitimasdacovid19</t>
  </si>
  <si>
    <t>Placa no SIMERS  Sindicato Médico do Rio Grande do Sul</t>
  </si>
  <si>
    <t>http://diariogaucho.clicrbs.com.br/rs/diaadia/noticia/2021/03/placahomenageiamedicosquemorreramdecovid19norsparaquenaosejamesquecidos15688204.html</t>
  </si>
  <si>
    <t>Acrílico</t>
  </si>
  <si>
    <t>Prefeito de Diamantino inaugura memorial em homenagem às vítimas da covid19</t>
  </si>
  <si>
    <t>Diamantino</t>
  </si>
  <si>
    <t>https://www.abroncapopular.com.br/politica/prefeitodediamantinoinauguramemorialemhomenagemasvitimasdacovid19/20296</t>
  </si>
  <si>
    <t>Réquiem para os Tombados pela Covid19 na América Latina</t>
  </si>
  <si>
    <t>Maria Bonomi</t>
  </si>
  <si>
    <t>https://memorial.org.br/evento/requiemparaostombadospelacovid19naamericalatinademariabonomi/</t>
  </si>
  <si>
    <t>6m</t>
  </si>
  <si>
    <t>Vela no Cemitério Vaticano</t>
  </si>
  <si>
    <t>São José</t>
  </si>
  <si>
    <t>https://topsociety.blog.br/posts/3380/velagigantesetransformaemummemorialasvitimasdecovid19emsantacatarina#:~:text=O%20Grupo%20Vaticano%2C%20do%20segmento,de%20S%C3%A3o%20Jos%C3%A9%2C%20Santa%20Catarina.</t>
  </si>
  <si>
    <t>18m</t>
  </si>
  <si>
    <t>Memorial em homenagem às vítimas da COVID19  Cerqueira César (SP)</t>
  </si>
  <si>
    <t>Cerqueira César</t>
  </si>
  <si>
    <t>https://www.cerqueiracesar.sp.gov.br/noticia/1417/prefeiturainauguraomemorialemhomenagemasvitimasdacovid/</t>
  </si>
  <si>
    <t>O silêncio do tempo</t>
  </si>
  <si>
    <t>Cristina Oliveira</t>
  </si>
  <si>
    <t>https://noticias.ufsc.br/2022/08/sintufscinauguramonumentomemorialasvitimasdacovid19/</t>
  </si>
  <si>
    <t>-27.601087</t>
  </si>
  <si>
    <t>-48.520818</t>
  </si>
  <si>
    <t>Memorial da Luta contra a Covid19 na Rocinha</t>
  </si>
  <si>
    <t>https://falaroca.com/prefeituramemorialcovid19rocinha/</t>
  </si>
  <si>
    <t>PVC</t>
  </si>
  <si>
    <t>-22.98959</t>
  </si>
  <si>
    <t>-43.25235</t>
  </si>
  <si>
    <t>Juazeiro</t>
  </si>
  <si>
    <t>-9.40597</t>
  </si>
  <si>
    <t>-40.49362</t>
  </si>
  <si>
    <t>Memorial em memória às vítimas da COVID19</t>
  </si>
  <si>
    <t>https://www1.folha.uol.com.br/equilibrioesaude/2022/10/memorialemhomenagemasvitimasdacovideinauguradonaavenidapaulistavejafotos.shtml</t>
  </si>
  <si>
    <t>20m</t>
  </si>
  <si>
    <t>-23.563039140466213</t>
  </si>
  <si>
    <t>-46.65491353613743</t>
  </si>
  <si>
    <t>label</t>
  </si>
  <si>
    <t>qid</t>
  </si>
  <si>
    <t>na</t>
  </si>
  <si>
    <t>na2</t>
  </si>
  <si>
    <t>na3</t>
  </si>
  <si>
    <t>Q2844893</t>
  </si>
  <si>
    <t>cidade</t>
  </si>
  <si>
    <t>conceito de cidade, segundo a lei portuguesa</t>
  </si>
  <si>
    <t>Q2844</t>
  </si>
  <si>
    <t>capital do Brasil</t>
  </si>
  <si>
    <t>Q1004897</t>
  </si>
  <si>
    <t>município brasileiro do estado do Ceará</t>
  </si>
  <si>
    <t>Q4361</t>
  </si>
  <si>
    <t>capital do estado do Paraná, sul do Brasil</t>
  </si>
  <si>
    <t>Q535531</t>
  </si>
  <si>
    <t>município brasileiro no estado do Rio Grande do Sul</t>
  </si>
  <si>
    <t>Q168888</t>
  </si>
  <si>
    <t>município brasileiro e capital do Estado brasileiro de Alagoas</t>
  </si>
  <si>
    <t>Q83189</t>
  </si>
  <si>
    <t>município brasileiro e a capital do estado brasileiro de Goiás</t>
  </si>
  <si>
    <t>Q170762</t>
  </si>
  <si>
    <t>município brasileiro e a capital do estado brasileiro de Mato Grosso</t>
  </si>
  <si>
    <t>Q737660</t>
  </si>
  <si>
    <t>município do estado de São Paulo, no Brasil</t>
  </si>
  <si>
    <t>Q983524</t>
  </si>
  <si>
    <t>município brasileiro localizado do estado de Minas Gerais</t>
  </si>
  <si>
    <t>Q377601</t>
  </si>
  <si>
    <t>município brasileiro do estado de São Paulo</t>
  </si>
  <si>
    <t>Q48344</t>
  </si>
  <si>
    <t>município brasileiro e a capital do estado brasileiro de Pernambuco</t>
  </si>
  <si>
    <t>Q8678</t>
  </si>
  <si>
    <t>capital do estado brasileiro do Rio de Janeiro</t>
  </si>
  <si>
    <t>Q168929</t>
  </si>
  <si>
    <t>município brasileiro e a capital do estado brasileiro do Mato Grosso do Sul</t>
  </si>
  <si>
    <t>Q897232</t>
  </si>
  <si>
    <t>Q983526</t>
  </si>
  <si>
    <t>município brasileiro no estado do Amazonas</t>
  </si>
  <si>
    <t>Q132997</t>
  </si>
  <si>
    <t>capital do estado brasileiro de Santa Catarina</t>
  </si>
  <si>
    <t>Q40269</t>
  </si>
  <si>
    <t>município brasileiro e a capital do estado brasileiro do Rio Grande do Sul</t>
  </si>
  <si>
    <t>Q847037</t>
  </si>
  <si>
    <t>município brasileiro do estado do Rio de Janeiro</t>
  </si>
  <si>
    <t>Q842143</t>
  </si>
  <si>
    <t>município brasileiro do estado brasileiro de Pernambuco</t>
  </si>
  <si>
    <t>Q1026376</t>
  </si>
  <si>
    <t>município brasileiro no estado do Paraná</t>
  </si>
  <si>
    <t>Q927935</t>
  </si>
  <si>
    <t>Q188892</t>
  </si>
  <si>
    <t>município brasileiro no interior do estado de São Paulo, Região Sudeste do país</t>
  </si>
  <si>
    <t>Q181056</t>
  </si>
  <si>
    <t>município brasileiro, capital do estado brasileiro de Roraima</t>
  </si>
  <si>
    <t>Q174</t>
  </si>
  <si>
    <t>maior cidade do Brasil e capital do estado de São Paulo</t>
  </si>
  <si>
    <t>Q636096</t>
  </si>
  <si>
    <t>Q334197</t>
  </si>
  <si>
    <t>município brasileiro no Espírito Santo</t>
  </si>
  <si>
    <t>Q1760058</t>
  </si>
  <si>
    <t>município do estado brasileiro de São Paulo</t>
  </si>
  <si>
    <t>Q773065</t>
  </si>
  <si>
    <t>Q1008338</t>
  </si>
  <si>
    <t>município brasileiro do estado da Paraíba</t>
  </si>
  <si>
    <t>Q503852</t>
  </si>
  <si>
    <t>Q1781000</t>
  </si>
  <si>
    <t>município brasileiro do estado do Paraná</t>
  </si>
  <si>
    <t>Q189043</t>
  </si>
  <si>
    <t>cidade do estado do Rio de Janeiro, Brasil</t>
  </si>
  <si>
    <t>Q1796818</t>
  </si>
  <si>
    <t>município brasileiro do estado de Santa Catarina</t>
  </si>
  <si>
    <t>Q171612</t>
  </si>
  <si>
    <t>município brasileiro e a capital do estado brasileiro do Acre</t>
  </si>
  <si>
    <t>Q2000133</t>
  </si>
  <si>
    <t>município do Estado de Pernambuco, Brasil</t>
  </si>
  <si>
    <t>Q983517</t>
  </si>
  <si>
    <t>Q168376</t>
  </si>
  <si>
    <t>Vitoria</t>
  </si>
  <si>
    <t>capital do estado brasileiro do Espírito Santo</t>
  </si>
  <si>
    <t>Q461773</t>
  </si>
  <si>
    <t>Município brasileiro do estado de São Paulo</t>
  </si>
  <si>
    <t>Q1786482</t>
  </si>
  <si>
    <t>município brasileiro do estado do Rio Grande do Sul</t>
  </si>
  <si>
    <t>Q1759107</t>
  </si>
  <si>
    <t>Q1779983</t>
  </si>
  <si>
    <t>Q36947</t>
  </si>
  <si>
    <t>município brasileiro e a capital do estado brasileiro da Bahia</t>
  </si>
  <si>
    <t>Q171617</t>
  </si>
  <si>
    <t>Q742227</t>
  </si>
  <si>
    <t>município brasileiro</t>
  </si>
  <si>
    <t>Q1755744</t>
  </si>
  <si>
    <t>município brasileiro do estado de Minas Gerais</t>
  </si>
  <si>
    <t>Q985583</t>
  </si>
  <si>
    <t>município brasileiro do estado de Goiás</t>
  </si>
  <si>
    <t>Q1759029</t>
  </si>
  <si>
    <t>município brasileiro no estado de Santa Catarina</t>
  </si>
  <si>
    <t>Q40236</t>
  </si>
  <si>
    <t>município brasileiro, capital do estado brasileiro do Amazonas</t>
  </si>
  <si>
    <t>Q1784315</t>
  </si>
  <si>
    <t>Município brasileiro no estado do Tocantins</t>
  </si>
  <si>
    <t>Q1259020</t>
  </si>
  <si>
    <t>município brasileiro no estado de Mato Grosso</t>
  </si>
  <si>
    <t>Q173849</t>
  </si>
  <si>
    <t>São José, Santa Catarina</t>
  </si>
  <si>
    <t>município brasileiro em Santa Catarina</t>
  </si>
  <si>
    <t>Q1750093</t>
  </si>
  <si>
    <t>Q753044</t>
  </si>
  <si>
    <t>município do Estado da Bahia, Brasil</t>
  </si>
  <si>
    <t/>
  </si>
  <si>
    <t>Q501758</t>
  </si>
  <si>
    <t>University of Florida</t>
  </si>
  <si>
    <t>Q119158</t>
  </si>
  <si>
    <t>Federal District</t>
  </si>
  <si>
    <t>unidade federativa do Brasil</t>
  </si>
  <si>
    <t>Q40123</t>
  </si>
  <si>
    <t>Ceará</t>
  </si>
  <si>
    <t>Q15499</t>
  </si>
  <si>
    <t>Paraná</t>
  </si>
  <si>
    <t>Q40030</t>
  </si>
  <si>
    <t>Rio Grande do Sul</t>
  </si>
  <si>
    <t>Q40885</t>
  </si>
  <si>
    <t>Alagoas</t>
  </si>
  <si>
    <t>Q41587</t>
  </si>
  <si>
    <t>Goiás</t>
  </si>
  <si>
    <t>Q42824</t>
  </si>
  <si>
    <t>Mato Grosso</t>
  </si>
  <si>
    <t>Q175</t>
  </si>
  <si>
    <t>Q39109</t>
  </si>
  <si>
    <t>Minas Gerais</t>
  </si>
  <si>
    <t>Q40942</t>
  </si>
  <si>
    <t>Pernambuco</t>
  </si>
  <si>
    <t>Q41428</t>
  </si>
  <si>
    <t>Q43319</t>
  </si>
  <si>
    <t>Mato Grosso do Sul</t>
  </si>
  <si>
    <t>Q40040</t>
  </si>
  <si>
    <t>Amazonas</t>
  </si>
  <si>
    <t>Q41115</t>
  </si>
  <si>
    <t>Santa Catarina</t>
  </si>
  <si>
    <t>Q42508</t>
  </si>
  <si>
    <t>Roraima</t>
  </si>
  <si>
    <t>Q43233</t>
  </si>
  <si>
    <t>Espírito Santo</t>
  </si>
  <si>
    <t>Q40780</t>
  </si>
  <si>
    <t>Acre</t>
  </si>
  <si>
    <t>Q40430</t>
  </si>
  <si>
    <t>Bahia</t>
  </si>
  <si>
    <t>Q43695</t>
  </si>
  <si>
    <t>Tocantins</t>
  </si>
  <si>
    <t>Q115474910</t>
  </si>
  <si>
    <t>Q115474923</t>
  </si>
  <si>
    <t>Q10312278</t>
  </si>
  <si>
    <t>Q115474931</t>
  </si>
  <si>
    <t>arquiteto e artista sacro</t>
  </si>
  <si>
    <t>Q115474934</t>
  </si>
  <si>
    <t>arquiteto e planejador urbano brasileiro</t>
  </si>
  <si>
    <t>Q115474946</t>
  </si>
  <si>
    <t>padre brasileiro</t>
  </si>
  <si>
    <t>Q115474959</t>
  </si>
  <si>
    <t>Artista plástico brasileiro</t>
  </si>
  <si>
    <t>Q115474968</t>
  </si>
  <si>
    <t>Q115474991</t>
  </si>
  <si>
    <t>Q115474997</t>
  </si>
  <si>
    <t>Q115475003</t>
  </si>
  <si>
    <t>cirurgião plástico e escultor brasileiro</t>
  </si>
  <si>
    <t>Q115475008</t>
  </si>
  <si>
    <t>Q115475015</t>
  </si>
  <si>
    <t>arquiteto e urbanista brasileiro</t>
  </si>
  <si>
    <t>Q115475085</t>
  </si>
  <si>
    <t>Escultor brasileiro</t>
  </si>
  <si>
    <t>Q115475095</t>
  </si>
  <si>
    <t>grafiteiro e ilustrador brasileiro</t>
  </si>
  <si>
    <t>Q115474942</t>
  </si>
  <si>
    <t>Sérgio Canale</t>
  </si>
  <si>
    <t>escultor brasileiro</t>
  </si>
  <si>
    <t>Q115475105</t>
  </si>
  <si>
    <t>promotora brasileira</t>
  </si>
  <si>
    <t>Q115475111</t>
  </si>
  <si>
    <t>Q115475117</t>
  </si>
  <si>
    <t>arquiteta brasileira</t>
  </si>
  <si>
    <t>Q115475138</t>
  </si>
  <si>
    <t>Q115475170</t>
  </si>
  <si>
    <t>Q115475204</t>
  </si>
  <si>
    <t>designer brasileira</t>
  </si>
  <si>
    <t>Q115475208</t>
  </si>
  <si>
    <t>arquiteto brasileiro</t>
  </si>
  <si>
    <t>Q115475214</t>
  </si>
  <si>
    <t>Artista plástica dinamarquesa/brasileira</t>
  </si>
  <si>
    <t>Q55743762</t>
  </si>
  <si>
    <t>Q115475220</t>
  </si>
  <si>
    <t>brasileiro</t>
  </si>
  <si>
    <t>Q115475233</t>
  </si>
  <si>
    <t>Q115475240</t>
  </si>
  <si>
    <t>Q115475253</t>
  </si>
  <si>
    <t>Q10325755</t>
  </si>
  <si>
    <t>Escultora brasileira</t>
  </si>
  <si>
    <t>Q115475256</t>
  </si>
  <si>
    <t>Artista plástica brasileira</t>
  </si>
  <si>
    <t>Q115475276</t>
  </si>
  <si>
    <t>André Luiz de Souza Castro</t>
  </si>
  <si>
    <t>Q115475279</t>
  </si>
  <si>
    <t>Q115475281</t>
  </si>
  <si>
    <t>Q115475284</t>
  </si>
  <si>
    <t>Q115475289</t>
  </si>
  <si>
    <t>publicitário brasileiro</t>
  </si>
  <si>
    <t>Q115475299</t>
  </si>
  <si>
    <t>Fátima Cristina Ranaldo Caldeira</t>
  </si>
  <si>
    <t>oficial de cartório brasileira</t>
  </si>
  <si>
    <t>Q115475307</t>
  </si>
  <si>
    <t>Q115475311</t>
  </si>
  <si>
    <t>Q115475312</t>
  </si>
  <si>
    <t>professora brasileira</t>
  </si>
  <si>
    <t>Q40861</t>
  </si>
  <si>
    <t>mármore</t>
  </si>
  <si>
    <t>rocha metamórfica não foliada, comumente usada para escultura e como material de construção</t>
  </si>
  <si>
    <t>Q22657</t>
  </si>
  <si>
    <t>concreto</t>
  </si>
  <si>
    <t>Q677</t>
  </si>
  <si>
    <t>ferro</t>
  </si>
  <si>
    <t>elemento químico com número atômico 26</t>
  </si>
  <si>
    <t>Q172587</t>
  </si>
  <si>
    <t>aço inoxidável</t>
  </si>
  <si>
    <t>liga de aço resistente à corrosão</t>
  </si>
  <si>
    <t>Q28679020</t>
  </si>
  <si>
    <t>Q5861</t>
  </si>
  <si>
    <t>Q41177</t>
  </si>
  <si>
    <t>granito</t>
  </si>
  <si>
    <t>tipo comum de rocha ígnea intrusiva félsica</t>
  </si>
  <si>
    <t>Q287</t>
  </si>
  <si>
    <t>madeira</t>
  </si>
  <si>
    <t>tecido duro, fibroso encontrado em muitas árvores</t>
  </si>
  <si>
    <t>Q840688</t>
  </si>
  <si>
    <t>Q11427</t>
  </si>
  <si>
    <t>aço</t>
  </si>
  <si>
    <t>liga feita da combinação de ferro e outros elementos</t>
  </si>
  <si>
    <t>Q22656</t>
  </si>
  <si>
    <t>Q22731</t>
  </si>
  <si>
    <t>pedra</t>
  </si>
  <si>
    <t>rocha ou material semelhante a rocha artificial</t>
  </si>
  <si>
    <t>Q34095</t>
  </si>
  <si>
    <t>bronze</t>
  </si>
  <si>
    <t>liga metálica</t>
  </si>
  <si>
    <t>Q211367</t>
  </si>
  <si>
    <t>chapa de metal</t>
  </si>
  <si>
    <t>metal transformado por um processo industrial em pedaços finos e planos</t>
  </si>
  <si>
    <t>Q146123</t>
  </si>
  <si>
    <t>Q146368</t>
  </si>
  <si>
    <t>Policloreto de vinila</t>
  </si>
  <si>
    <t>composto químico</t>
  </si>
  <si>
    <t>Q45190</t>
  </si>
  <si>
    <t>Q10980448</t>
  </si>
  <si>
    <t>Q860861</t>
  </si>
  <si>
    <t>escultura</t>
  </si>
  <si>
    <t>obra de arte tridimensional</t>
  </si>
  <si>
    <t>Q3536096</t>
  </si>
  <si>
    <t>Q4364339</t>
  </si>
  <si>
    <t>placa</t>
  </si>
  <si>
    <t>trabalho fino e plano colocado em uma superfície para decoração ou para ter uma inscrição</t>
  </si>
  <si>
    <t>Q219423</t>
  </si>
  <si>
    <t>Q174782</t>
  </si>
  <si>
    <t>praça</t>
  </si>
  <si>
    <t>espaço aberto urbano</t>
  </si>
  <si>
    <t>Q29643002</t>
  </si>
  <si>
    <t>Q348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</si>
</sst>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Calibri"/>
    </font>
    <font>
      <b/>
      <color theme="1"/>
      <name val="Calibri"/>
    </font>
    <font>
      <b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color theme="1"/>
      <name val="Calibri"/>
    </font>
    <font>
      <u/>
      <sz val="10.0"/>
      <color rgb="FF0000FF"/>
      <name val="Calibri"/>
    </font>
    <font>
      <color theme="1"/>
      <name val="Arial"/>
    </font>
    <font>
      <sz val="10.0"/>
      <color rgb="FF050505"/>
      <name val="Calibri"/>
    </font>
    <font>
      <sz val="10.0"/>
      <color rgb="FF333333"/>
      <name val="Calibri"/>
    </font>
    <font>
      <u/>
      <sz val="10.0"/>
      <color rgb="FF0000FF"/>
      <name val="Calibri"/>
    </font>
    <font>
      <color rgb="FF72777D"/>
      <name val="&quot;Linux Libertine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wrapText="1"/>
    </xf>
    <xf borderId="0" fillId="2" fontId="6" numFmtId="0" xfId="0" applyAlignment="1" applyFill="1" applyFont="1">
      <alignment horizontal="left" shrinkToFit="0" wrapText="1"/>
    </xf>
    <xf borderId="0" fillId="2" fontId="6" numFmtId="0" xfId="0" applyAlignment="1" applyFont="1">
      <alignment horizontal="left"/>
    </xf>
    <xf borderId="0" fillId="0" fontId="7" numFmtId="0" xfId="0" applyAlignment="1" applyFont="1">
      <alignment horizontal="left" shrinkToFit="0" wrapText="0"/>
    </xf>
    <xf borderId="0" fillId="0" fontId="8" numFmtId="0" xfId="0" applyFont="1"/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horizontal="left"/>
    </xf>
    <xf borderId="0" fillId="3" fontId="6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left" shrinkToFit="0" wrapText="1"/>
    </xf>
    <xf borderId="0" fillId="3" fontId="6" numFmtId="0" xfId="0" applyAlignment="1" applyFont="1">
      <alignment horizontal="left" shrinkToFit="0" wrapText="1"/>
    </xf>
    <xf borderId="0" fillId="3" fontId="6" numFmtId="0" xfId="0" applyAlignment="1" applyFont="1">
      <alignment horizontal="left"/>
    </xf>
    <xf borderId="0" fillId="3" fontId="9" numFmtId="0" xfId="0" applyAlignment="1" applyFont="1">
      <alignment horizontal="left" readingOrder="0" shrinkToFit="0" wrapText="0"/>
    </xf>
    <xf borderId="0" fillId="3" fontId="8" numFmtId="0" xfId="0" applyFont="1"/>
    <xf borderId="0" fillId="3" fontId="5" numFmtId="0" xfId="0" applyAlignment="1" applyFont="1">
      <alignment readingOrder="0"/>
    </xf>
    <xf borderId="0" fillId="3" fontId="10" numFmtId="0" xfId="0" applyFont="1"/>
    <xf borderId="0" fillId="0" fontId="5" numFmtId="49" xfId="0" applyAlignment="1" applyFont="1" applyNumberFormat="1">
      <alignment horizontal="right" readingOrder="0" vertical="bottom"/>
    </xf>
    <xf borderId="0" fillId="0" fontId="6" numFmtId="0" xfId="0" applyAlignment="1" applyFont="1">
      <alignment horizontal="left" readingOrder="0" shrinkToFit="0" vertical="bottom" wrapText="0"/>
    </xf>
    <xf borderId="0" fillId="2" fontId="11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/>
    </xf>
    <xf borderId="0" fillId="2" fontId="6" numFmtId="49" xfId="0" applyAlignment="1" applyFont="1" applyNumberFormat="1">
      <alignment horizontal="right" readingOrder="0"/>
    </xf>
    <xf borderId="0" fillId="0" fontId="5" numFmtId="3" xfId="0" applyAlignment="1" applyFont="1" applyNumberFormat="1">
      <alignment horizontal="left"/>
    </xf>
    <xf borderId="0" fillId="0" fontId="5" numFmtId="0" xfId="0" applyFont="1"/>
    <xf borderId="0" fillId="2" fontId="12" numFmtId="0" xfId="0" applyAlignment="1" applyFont="1">
      <alignment horizontal="left"/>
    </xf>
    <xf borderId="0" fillId="3" fontId="13" numFmtId="0" xfId="0" applyAlignment="1" applyFont="1">
      <alignment horizontal="left" shrinkToFit="0" wrapText="0"/>
    </xf>
    <xf borderId="0" fillId="0" fontId="8" numFmtId="49" xfId="0" applyAlignment="1" applyFont="1" applyNumberFormat="1">
      <alignment readingOrder="0" vertical="bottom"/>
    </xf>
    <xf borderId="0" fillId="0" fontId="5" numFmtId="0" xfId="0" applyAlignment="1" applyFont="1">
      <alignment horizontal="left" shrinkToFit="0" wrapText="0"/>
    </xf>
    <xf borderId="0" fillId="0" fontId="5" numFmtId="16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rtalarauto.com.br/Pages/207707/memorial-as-vitimas-da-covid-19-e-inaugurado-no-centro-de-venancio" TargetMode="External"/><Relationship Id="rId42" Type="http://schemas.openxmlformats.org/officeDocument/2006/relationships/hyperlink" Target="https://portalcontexto.com.br/vitoria-no-espirito-santo-ganha-monumento-em-homenagemaos-profissionais-da-saude-que-perderam-a-vida-na-pandemia/" TargetMode="External"/><Relationship Id="rId41" Type="http://schemas.openxmlformats.org/officeDocument/2006/relationships/hyperlink" Target="https://ciclovivo.com.br/inovacao/inspiracao/sao-paulo-memorial-homenagem-covid-19/" TargetMode="External"/><Relationship Id="rId44" Type="http://schemas.openxmlformats.org/officeDocument/2006/relationships/hyperlink" Target="https://blogs.oglobo.globo.com/ancelmo/post/jardim-da-saudade-faz-tunel-com-70-mil-flores-representando-vitimas-da-covid-no-rio.html" TargetMode="External"/><Relationship Id="rId43" Type="http://schemas.openxmlformats.org/officeDocument/2006/relationships/hyperlink" Target="https://extra.globo.com/noticias/rio/vitimas-da-covid-19-no-rio-sao-homenageadas-com-monumento-memorial-em-cemiterio-no-caju-24648046.html" TargetMode="External"/><Relationship Id="rId46" Type="http://schemas.openxmlformats.org/officeDocument/2006/relationships/hyperlink" Target="https://www.vaticannews.va/pt/igreja/news/2020-11/dia-de-finados-arquidiocese-rio-de-janeiro-memorial-oracao.html" TargetMode="External"/><Relationship Id="rId45" Type="http://schemas.openxmlformats.org/officeDocument/2006/relationships/hyperlink" Target="https://portal.barueri.sp.gov.br/Noticia/21052021-praca-do-memorial-homenageia-vitimas-da-covid-19" TargetMode="External"/><Relationship Id="rId1" Type="http://schemas.openxmlformats.org/officeDocument/2006/relationships/hyperlink" Target="https://www12.senado.leg.br/noticias/materias/2022/02/15/senado-inaugura-memorial-em-homenagem-a-vitimas-da-covid-19-no-brasil" TargetMode="External"/><Relationship Id="rId2" Type="http://schemas.openxmlformats.org/officeDocument/2006/relationships/hyperlink" Target="https://ambr.org.br/o-legado-da-coragem/?" TargetMode="External"/><Relationship Id="rId3" Type="http://schemas.openxmlformats.org/officeDocument/2006/relationships/hyperlink" Target="https://crato.ce.gov.br/informa.php?id=1202" TargetMode="External"/><Relationship Id="rId4" Type="http://schemas.openxmlformats.org/officeDocument/2006/relationships/hyperlink" Target="https://www.curitiba.pr.gov.br/noticias/com-joao-turin-em-destaque-prefeitura-entrega-nesta-sexta-feira-o-memorial-paranista/58945" TargetMode="External"/><Relationship Id="rId9" Type="http://schemas.openxmlformats.org/officeDocument/2006/relationships/hyperlink" Target="https://mariliadobem.com.br/jardim-memorial-homenageia-vitimas-da-covid-19-no-hc-famema/" TargetMode="External"/><Relationship Id="rId48" Type="http://schemas.openxmlformats.org/officeDocument/2006/relationships/hyperlink" Target="https://jornalcandeia.com.br/cidade/memorial-homenageia-vitimas-da-covid-em-bariri/" TargetMode="External"/><Relationship Id="rId47" Type="http://schemas.openxmlformats.org/officeDocument/2006/relationships/hyperlink" Target="https://www.pmtresdemaio.com.br/site/Noticias/saude/64842-municipio-inaugura-memorial-saude" TargetMode="External"/><Relationship Id="rId49" Type="http://schemas.openxmlformats.org/officeDocument/2006/relationships/hyperlink" Target="http://portal.guaratuba.pr.gov.br/noticia/2183/titulo/guaratuba-inaugura-memorial-em-homenagem-as-vatimas-da-covid-19" TargetMode="External"/><Relationship Id="rId5" Type="http://schemas.openxmlformats.org/officeDocument/2006/relationships/hyperlink" Target="https://caravaggio.org.br/noticias/concluido-o-monumento-cruz-da-compaixao" TargetMode="External"/><Relationship Id="rId6" Type="http://schemas.openxmlformats.org/officeDocument/2006/relationships/hyperlink" Target="https://www.oab-al.org.br/2021/08/no-dia-da-advocacia-oab-al-homenageia-advogados-e-advogadas-vitimas-da-covid-19/" TargetMode="External"/><Relationship Id="rId7" Type="http://schemas.openxmlformats.org/officeDocument/2006/relationships/hyperlink" Target="https://www.jornalopcao.com.br/ultimas-noticias/dia-do-medico-na-linha-de-frente-contra-o-coronavirus-20-profissionais-perderam-a-vida-em-goias-290215/" TargetMode="External"/><Relationship Id="rId8" Type="http://schemas.openxmlformats.org/officeDocument/2006/relationships/hyperlink" Target="https://g1.globo.com/mt/mato-grosso/noticia/2020/11/06/museu-de-arte-sacra-reune-fotos-e-dados-das-vitimas-da-covid-19-em-mt-para-memorial-inumeraveis.ghtml" TargetMode="External"/><Relationship Id="rId31" Type="http://schemas.openxmlformats.org/officeDocument/2006/relationships/hyperlink" Target="https://www.cabreuva.sp.gov.br/noticias+home/novo+cartao+postal+da+cidade+cabreuva+ganha+parque+para+esporte+e+lazer.aspx" TargetMode="External"/><Relationship Id="rId30" Type="http://schemas.openxmlformats.org/officeDocument/2006/relationships/hyperlink" Target="https://www.agoraes.com.br/noticia/26900/fe-e-arte-se-unem-em-escultura-feita-por-artista-capixaba-para-homenagear-vitimas-da-covid-19" TargetMode="External"/><Relationship Id="rId33" Type="http://schemas.openxmlformats.org/officeDocument/2006/relationships/hyperlink" Target="https://www.mamanguape.pb.gov.br/ato-ecumenico-marca-a-inauguracao-do-cemiterio-parque-da-saudade-no-bairro-do-areial/" TargetMode="External"/><Relationship Id="rId32" Type="http://schemas.openxmlformats.org/officeDocument/2006/relationships/hyperlink" Target="https://www.crnitatiba.com.br/plantio-de-arvores-e-monumento-homenageiam-325-vitimas-de-covid-19-em-itatiba" TargetMode="External"/><Relationship Id="rId35" Type="http://schemas.openxmlformats.org/officeDocument/2006/relationships/hyperlink" Target="http://www.perola.pr.gov.br//index.php?sessao=b0546033689fb0&amp;id=1121439&amp;id_secretaria=1832" TargetMode="External"/><Relationship Id="rId34" Type="http://schemas.openxmlformats.org/officeDocument/2006/relationships/hyperlink" Target="https://www.paranagua.pr.gov.br/noticias/noticia1580.html" TargetMode="External"/><Relationship Id="rId37" Type="http://schemas.openxmlformats.org/officeDocument/2006/relationships/hyperlink" Target="https://www.pousoredondo.sc.gov.br/noticias/ver/2021/12/memorial-em-homenagem-as-vitimas-da-covid-19-e-inaugurado" TargetMode="External"/><Relationship Id="rId36" Type="http://schemas.openxmlformats.org/officeDocument/2006/relationships/hyperlink" Target="https://soupetropolis.com/2021/11/25/petropolis-ganha-memorial-em-homenagem-as-vitimas-da-covid-19/" TargetMode="External"/><Relationship Id="rId39" Type="http://schemas.openxmlformats.org/officeDocument/2006/relationships/hyperlink" Target="https://www.portalcabrobonews.com.br/noticia/prefeitura-de-serra-talhada-inaugura-memorial-em-homenagem-as-vitimas-da-covid-19" TargetMode="External"/><Relationship Id="rId38" Type="http://schemas.openxmlformats.org/officeDocument/2006/relationships/hyperlink" Target="https://agencia.ac.gov.br/memorial-as-vitimas-da-covid-19-e-inaugurado-pelo-governo-do-acre/" TargetMode="External"/><Relationship Id="rId62" Type="http://schemas.openxmlformats.org/officeDocument/2006/relationships/hyperlink" Target="https://topsociety.blog.br/posts/3380/vela-gigante-se-transforma-em-um-memorial-as-vitimas-de-covid-19em-santa-catarina" TargetMode="External"/><Relationship Id="rId61" Type="http://schemas.openxmlformats.org/officeDocument/2006/relationships/hyperlink" Target="https://memorial.org.br/evento/requiem-para-os-tombados-pela-covid-19-na-america-latina-de-maria-bonomi/" TargetMode="External"/><Relationship Id="rId20" Type="http://schemas.openxmlformats.org/officeDocument/2006/relationships/hyperlink" Target="https://www.facebook.com/watch/?v=812733269580957" TargetMode="External"/><Relationship Id="rId64" Type="http://schemas.openxmlformats.org/officeDocument/2006/relationships/hyperlink" Target="https://noticias.ufsc.br/2022/08/sintufsc-inaugura-monumento-memorial-as-vitimas-da-covid-19/" TargetMode="External"/><Relationship Id="rId63" Type="http://schemas.openxmlformats.org/officeDocument/2006/relationships/hyperlink" Target="https://www.cerqueiracesar.sp.gov.br/noticia/1417/prefeitura-inaugura-o-memorial-em-homenagem-as-vitimas-da-covid-/" TargetMode="External"/><Relationship Id="rId22" Type="http://schemas.openxmlformats.org/officeDocument/2006/relationships/hyperlink" Target="https://www.marica.rj.gov.br/noticia/memorial-as-vitimas-da-covid-19-e-inaugurado-em-marica/" TargetMode="External"/><Relationship Id="rId66" Type="http://schemas.openxmlformats.org/officeDocument/2006/relationships/hyperlink" Target="http://acaopopular.net/jornal/petrolina-e-juazeiro-comemoram-dia-mundial-do-meio-ambiente-com-plantio-de-mudas-e-homenagens/" TargetMode="External"/><Relationship Id="rId21" Type="http://schemas.openxmlformats.org/officeDocument/2006/relationships/hyperlink" Target="https://www.amrigs.org.br/noticias/6152" TargetMode="External"/><Relationship Id="rId65" Type="http://schemas.openxmlformats.org/officeDocument/2006/relationships/hyperlink" Target="https://falaroca.com/prefeitura-memorial-covid19-rocinha/" TargetMode="External"/><Relationship Id="rId24" Type="http://schemas.openxmlformats.org/officeDocument/2006/relationships/hyperlink" Target="https://grandecuritiba.info/campo-largo/2021/10/29/dia-do-servidor-publico-em-campo-largo-e-marcado-por-emocao-e-agradecimentos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://acaopopular.net/jornal/petrolina-e-juazeiro-comemoram-dia-mundial-do-meio-ambiente-com-plantio-de-mudas-e-homenagens/" TargetMode="External"/><Relationship Id="rId67" Type="http://schemas.openxmlformats.org/officeDocument/2006/relationships/hyperlink" Target="https://www1.folha.uol.com.br/equilibrioesaude/2022/10/memorial-em-homenagem-as-vitimas-da-covid-e-inaugurado-na-avenida-paulista-veja-fotos.shtml" TargetMode="External"/><Relationship Id="rId60" Type="http://schemas.openxmlformats.org/officeDocument/2006/relationships/hyperlink" Target="https://www.abroncapopular.com.br/politica/prefeito-de-diamantino-inaugura-memorial-em-homenagem-as-vitimas-da-covid-19/20296" TargetMode="External"/><Relationship Id="rId26" Type="http://schemas.openxmlformats.org/officeDocument/2006/relationships/hyperlink" Target="https://www.sintusp.org.br/2022/08/22/sintusp-ribeirao-inaugura-memorial-em-homenagem-aos-mortos-por-covid/" TargetMode="External"/><Relationship Id="rId25" Type="http://schemas.openxmlformats.org/officeDocument/2006/relationships/hyperlink" Target="https://www.reporterdiario.com.br/noticia/3099660/obras-de-memorial-as-vitimas-da-covid-dividem-opinioes-em-r-pires/" TargetMode="External"/><Relationship Id="rId28" Type="http://schemas.openxmlformats.org/officeDocument/2006/relationships/hyperlink" Target="https://portalmedicinaesaude.com/memorial-do-conselho-regional-de-medicina-do-estado-de-sao-paulo-homenageia-medicos-falecidos-pela-covid-19/" TargetMode="External"/><Relationship Id="rId27" Type="http://schemas.openxmlformats.org/officeDocument/2006/relationships/hyperlink" Target="https://boavista.rr.gov.br/noticias/2021/6/meio-ambiente-prefeitura-homenageia-vitimas-da-covid-19-em-memorial-no-bosque-dos-papagaios?f=2548833421480690989" TargetMode="External"/><Relationship Id="rId29" Type="http://schemas.openxmlformats.org/officeDocument/2006/relationships/hyperlink" Target="https://www.olimpia.sp.gov.br/portal/noticias/0/3/4948/olimpia-constroi-o-primeiro-memorial-em-homenagem-as-vitimas-da-covid-do-noroeste-paulista" TargetMode="External"/><Relationship Id="rId51" Type="http://schemas.openxmlformats.org/officeDocument/2006/relationships/hyperlink" Target="https://portalcbncampinas.com.br/2021/10/tres-cemiterios-de-campinas-terao-memorial-em-homenagem-as-vitimas-da-covid-19/" TargetMode="External"/><Relationship Id="rId50" Type="http://schemas.openxmlformats.org/officeDocument/2006/relationships/hyperlink" Target="https://www.cese.org.br/diversas-expressoes-de-fe-se-reunem-para-homenagear-vitimas-da-covid-e-esperancar-por-tempos-melhores/" TargetMode="External"/><Relationship Id="rId53" Type="http://schemas.openxmlformats.org/officeDocument/2006/relationships/hyperlink" Target="https://prefeiturapiumhi.mg.gov.br/monumento-em-homenagem-aos-profissionais-da-saude-e-inaugurado-e-emociona-presentes/" TargetMode="External"/><Relationship Id="rId52" Type="http://schemas.openxmlformats.org/officeDocument/2006/relationships/hyperlink" Target="https://www.assis.sp.gov.br/noticia/3601/escola-jose-augusto-ribeiro-inaugura-monumento-e-memorial-virtual-em-homenagem-as-vitimas-de-covid-19-do-complexo-prudenciana" TargetMode="External"/><Relationship Id="rId11" Type="http://schemas.openxmlformats.org/officeDocument/2006/relationships/hyperlink" Target="https://www.varginhaonline.com.br/192966/prefeitura-inaugura-memorial-em-homenagem-as-vitimas-da-covid19-em-varginha.html" TargetMode="External"/><Relationship Id="rId55" Type="http://schemas.openxmlformats.org/officeDocument/2006/relationships/hyperlink" Target="https://web.archive.org/web/20220815141047/https://www.estacao104.com.br/praca-da-bandeira-tem-memorial-e-monumento-em-homenagem-as-vitimas-da-covid-19/" TargetMode="External"/><Relationship Id="rId10" Type="http://schemas.openxmlformats.org/officeDocument/2006/relationships/hyperlink" Target="https://www.curitiba.pr.gov.br/noticias/largo-da-saude-homenageia-vitimas-e-profissionais-do-combate-a-covid-19/59570" TargetMode="External"/><Relationship Id="rId54" Type="http://schemas.openxmlformats.org/officeDocument/2006/relationships/hyperlink" Target="https://www.paieterno.com.br/2022/06/23/pira-do-monumento-memorial-da-romaria-do-divino-pai-eterno-sera-acesa-no-amanhecer-desta-sexta-feira-24/" TargetMode="External"/><Relationship Id="rId13" Type="http://schemas.openxmlformats.org/officeDocument/2006/relationships/hyperlink" Target="https://www.uninassau.edu.br/noticias/recife-ganha-monumento-em-homenagem-vitimas-de-covid-19" TargetMode="External"/><Relationship Id="rId57" Type="http://schemas.openxmlformats.org/officeDocument/2006/relationships/hyperlink" Target="https://revistacontemporartes.com.br/2021/07/05/gratidao-cgb-vida-urbana-inaugura-painel-de-azulejos-em-homenagem-a-profissionais-da-linha-de-frente-em-curitiba/" TargetMode="External"/><Relationship Id="rId12" Type="http://schemas.openxmlformats.org/officeDocument/2006/relationships/hyperlink" Target="https://jornallogica.com.br/2022/05/30/igreja-de-poa-ganha-memorial-em-homenagem-as-vitimas-da-covid-19/" TargetMode="External"/><Relationship Id="rId56" Type="http://schemas.openxmlformats.org/officeDocument/2006/relationships/hyperlink" Target="https://portalunico.com/no-aniversario-de-70-anos-tce-am-ergue-monumento-em-homenagem-as-vitimas-da-covid-e-profissionais-de-saude/" TargetMode="External"/><Relationship Id="rId15" Type="http://schemas.openxmlformats.org/officeDocument/2006/relationships/hyperlink" Target="https://www.acritica.net/editorias/coronavirus/em-seu-aniversario-de-5-anos-hospital-cassems-campo-grande-inaugura/555656/" TargetMode="External"/><Relationship Id="rId59" Type="http://schemas.openxmlformats.org/officeDocument/2006/relationships/hyperlink" Target="http://diariogaucho.clicrbs.com.br/rs/dia-a-dia/noticia/2021/03/placa-homenageia-medicos-que-morreram-de-covid-19-no-rs-para-que-nao-sejam-esquecidos-15688204.html" TargetMode="External"/><Relationship Id="rId14" Type="http://schemas.openxmlformats.org/officeDocument/2006/relationships/hyperlink" Target="https://extra.globo.com/noticias/rio/covid-19-pandemia-vai-passar-mas-mural-vai-continuar-diz-familiar-de-vitima-homenageada-em-memorial-inaugurado-no-complexo-da-mare-25277404.html" TargetMode="External"/><Relationship Id="rId58" Type="http://schemas.openxmlformats.org/officeDocument/2006/relationships/hyperlink" Target="https://ww2.uft.edu.br/index.php/ultimas-noticias/29513-uft-e-prefeitura-prestam-homenagem-as-vitimas-da-covid-19" TargetMode="External"/><Relationship Id="rId17" Type="http://schemas.openxmlformats.org/officeDocument/2006/relationships/hyperlink" Target="https://web.archive.org/web/20220319184154/https://www.manacapuru.am.gov.br/memorial-vitimas-covid.php" TargetMode="External"/><Relationship Id="rId16" Type="http://schemas.openxmlformats.org/officeDocument/2006/relationships/hyperlink" Target="https://fm102.com.br/braganca-paulista-inaugura-memorial-em-homenagem-as-vitimas-da-covid-19/" TargetMode="External"/><Relationship Id="rId19" Type="http://schemas.openxmlformats.org/officeDocument/2006/relationships/hyperlink" Target="https://www.oab-sc.org.br/noticias/jardim-memorial-advocacia-na-oabsc-homenageia-advogados-catarinenses-vitimas-covid-19/19256" TargetMode="External"/><Relationship Id="rId18" Type="http://schemas.openxmlformats.org/officeDocument/2006/relationships/hyperlink" Target="https://www.facebook.com/coletivocddcontracovid/posts/pfbid02rZ16zbrcUrZBg8fs62KbcEp3a4ozpxcegbRgkTibNso94j62xzZanUx3m9bPvE9el?__cft__%5B0%5D=AZW9VpGIhbw9JFupJXJC5YimHzBAtPIA7Ow2k_n7EdOjYndCtgbfxB8CXJOzRun0-Se6rcDtBQCMErU7Yf0iu63MR3CGyEsnOsmC-77R0NNywBIj1PteSWhYpOyhD9og5nQ&amp;__tn__=%2CO%2CP-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43.75"/>
    <col customWidth="1" min="3" max="6" width="12.6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3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6" t="s">
        <v>16</v>
      </c>
      <c r="S1" s="7" t="s">
        <v>17</v>
      </c>
      <c r="T1" s="8" t="s">
        <v>18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5.75" customHeight="1">
      <c r="A2" s="10">
        <v>1.0</v>
      </c>
      <c r="B2" s="11" t="s">
        <v>19</v>
      </c>
      <c r="C2" s="11" t="s">
        <v>20</v>
      </c>
      <c r="D2" s="11" t="s">
        <v>21</v>
      </c>
      <c r="E2" s="10">
        <v>2.0220215E7</v>
      </c>
      <c r="F2" s="12" t="s">
        <v>22</v>
      </c>
      <c r="G2" s="13" t="s">
        <v>23</v>
      </c>
      <c r="H2" s="14"/>
      <c r="I2" s="15" t="s">
        <v>24</v>
      </c>
      <c r="J2" s="10"/>
      <c r="K2" s="10"/>
      <c r="L2" s="10"/>
      <c r="M2" s="10"/>
      <c r="N2" s="10" t="s">
        <v>25</v>
      </c>
      <c r="O2" s="10"/>
      <c r="P2" s="12" t="s">
        <v>26</v>
      </c>
      <c r="Q2" s="10"/>
      <c r="R2" s="16"/>
      <c r="S2" s="17">
        <v>-15.797735</v>
      </c>
      <c r="T2" s="17">
        <v>-47.865042</v>
      </c>
    </row>
    <row r="3" ht="15.75" customHeight="1">
      <c r="A3" s="10">
        <v>2.0</v>
      </c>
      <c r="B3" s="11" t="s">
        <v>27</v>
      </c>
      <c r="C3" s="11" t="s">
        <v>20</v>
      </c>
      <c r="D3" s="11" t="s">
        <v>21</v>
      </c>
      <c r="E3" s="10">
        <v>2.0210319E7</v>
      </c>
      <c r="F3" s="12" t="s">
        <v>28</v>
      </c>
      <c r="G3" s="12"/>
      <c r="H3" s="10"/>
      <c r="I3" s="15" t="s">
        <v>29</v>
      </c>
      <c r="J3" s="10"/>
      <c r="K3" s="10"/>
      <c r="L3" s="10"/>
      <c r="M3" s="10"/>
      <c r="N3" s="10"/>
      <c r="O3" s="10"/>
      <c r="P3" s="12" t="s">
        <v>26</v>
      </c>
      <c r="Q3" s="10"/>
      <c r="R3" s="16"/>
      <c r="S3" s="17">
        <v>-15.810846</v>
      </c>
      <c r="T3" s="17">
        <v>-47.852755</v>
      </c>
    </row>
    <row r="4" ht="15.75" customHeight="1">
      <c r="A4" s="10">
        <v>3.0</v>
      </c>
      <c r="B4" s="11" t="s">
        <v>30</v>
      </c>
      <c r="C4" s="11" t="s">
        <v>31</v>
      </c>
      <c r="D4" s="11" t="s">
        <v>32</v>
      </c>
      <c r="E4" s="10">
        <v>2.0210621E7</v>
      </c>
      <c r="F4" s="12"/>
      <c r="G4" s="12"/>
      <c r="H4" s="10"/>
      <c r="I4" s="15" t="s">
        <v>33</v>
      </c>
      <c r="J4" s="10"/>
      <c r="K4" s="10"/>
      <c r="L4" s="10"/>
      <c r="M4" s="10"/>
      <c r="N4" s="10"/>
      <c r="O4" s="10"/>
      <c r="P4" s="12" t="s">
        <v>34</v>
      </c>
      <c r="Q4" s="10" t="s">
        <v>35</v>
      </c>
      <c r="R4" s="16"/>
      <c r="S4" s="17">
        <v>-7.240573</v>
      </c>
      <c r="T4" s="17">
        <v>-39.383576</v>
      </c>
    </row>
    <row r="5" ht="15.75" customHeight="1">
      <c r="A5" s="10">
        <v>4.0</v>
      </c>
      <c r="B5" s="11" t="s">
        <v>36</v>
      </c>
      <c r="C5" s="11" t="s">
        <v>37</v>
      </c>
      <c r="D5" s="11" t="s">
        <v>38</v>
      </c>
      <c r="E5" s="10">
        <v>2.0210514E7</v>
      </c>
      <c r="F5" s="12" t="s">
        <v>39</v>
      </c>
      <c r="G5" s="12"/>
      <c r="H5" s="10"/>
      <c r="I5" s="15" t="s">
        <v>40</v>
      </c>
      <c r="J5" s="10"/>
      <c r="K5" s="10"/>
      <c r="L5" s="10"/>
      <c r="M5" s="10"/>
      <c r="N5" s="10"/>
      <c r="O5" s="10"/>
      <c r="P5" s="12" t="s">
        <v>26</v>
      </c>
      <c r="Q5" s="10"/>
      <c r="R5" s="16"/>
      <c r="S5" s="17">
        <v>-25.387442</v>
      </c>
      <c r="T5" s="17">
        <v>-49.267251</v>
      </c>
    </row>
    <row r="6" ht="15.75" customHeight="1">
      <c r="A6" s="10">
        <v>5.0</v>
      </c>
      <c r="B6" s="11" t="s">
        <v>41</v>
      </c>
      <c r="C6" s="11" t="s">
        <v>42</v>
      </c>
      <c r="D6" s="11" t="s">
        <v>43</v>
      </c>
      <c r="E6" s="10">
        <v>2.022013E7</v>
      </c>
      <c r="F6" s="12" t="s">
        <v>44</v>
      </c>
      <c r="G6" s="12"/>
      <c r="H6" s="10"/>
      <c r="I6" s="15" t="s">
        <v>45</v>
      </c>
      <c r="J6" s="10" t="s">
        <v>46</v>
      </c>
      <c r="K6" s="10"/>
      <c r="L6" s="10"/>
      <c r="M6" s="10"/>
      <c r="N6" s="10" t="s">
        <v>47</v>
      </c>
      <c r="O6" s="10"/>
      <c r="P6" s="12" t="s">
        <v>26</v>
      </c>
      <c r="Q6" s="10"/>
      <c r="R6" s="16"/>
      <c r="S6" s="17">
        <v>-29.173199</v>
      </c>
      <c r="T6" s="17">
        <v>-51.34766</v>
      </c>
    </row>
    <row r="7" ht="15.75" customHeight="1">
      <c r="A7" s="10">
        <v>6.0</v>
      </c>
      <c r="B7" s="11" t="s">
        <v>48</v>
      </c>
      <c r="C7" s="11" t="s">
        <v>49</v>
      </c>
      <c r="D7" s="11" t="s">
        <v>50</v>
      </c>
      <c r="E7" s="10">
        <v>2.0210811E7</v>
      </c>
      <c r="F7" s="12"/>
      <c r="G7" s="12"/>
      <c r="H7" s="10"/>
      <c r="I7" s="15" t="s">
        <v>51</v>
      </c>
      <c r="J7" s="10"/>
      <c r="K7" s="10"/>
      <c r="L7" s="10"/>
      <c r="M7" s="10"/>
      <c r="N7" s="10"/>
      <c r="O7" s="10"/>
      <c r="P7" s="12" t="s">
        <v>35</v>
      </c>
      <c r="Q7" s="10"/>
      <c r="R7" s="16"/>
      <c r="S7" s="17">
        <v>-9.618373</v>
      </c>
      <c r="T7" s="17">
        <v>-35.692027</v>
      </c>
    </row>
    <row r="8" ht="15.75" customHeight="1">
      <c r="A8" s="10">
        <v>7.0</v>
      </c>
      <c r="B8" s="11" t="s">
        <v>52</v>
      </c>
      <c r="C8" s="11" t="s">
        <v>53</v>
      </c>
      <c r="D8" s="11" t="s">
        <v>54</v>
      </c>
      <c r="E8" s="10">
        <v>2.0201018E7</v>
      </c>
      <c r="F8" s="12"/>
      <c r="G8" s="12"/>
      <c r="H8" s="10"/>
      <c r="I8" s="15" t="s">
        <v>55</v>
      </c>
      <c r="J8" s="10"/>
      <c r="K8" s="10"/>
      <c r="L8" s="10"/>
      <c r="M8" s="10"/>
      <c r="N8" s="10" t="s">
        <v>25</v>
      </c>
      <c r="O8" s="10"/>
      <c r="P8" s="12" t="s">
        <v>35</v>
      </c>
      <c r="Q8" s="10"/>
      <c r="R8" s="16"/>
      <c r="S8" s="17">
        <v>-16.689639</v>
      </c>
      <c r="T8" s="17">
        <v>-49.278681</v>
      </c>
    </row>
    <row r="9" ht="15.75" customHeight="1">
      <c r="A9" s="10">
        <v>8.0</v>
      </c>
      <c r="B9" s="11" t="s">
        <v>56</v>
      </c>
      <c r="C9" s="11" t="s">
        <v>57</v>
      </c>
      <c r="D9" s="11" t="s">
        <v>58</v>
      </c>
      <c r="E9" s="10">
        <v>2.0201203E7</v>
      </c>
      <c r="F9" s="12"/>
      <c r="G9" s="12"/>
      <c r="H9" s="10"/>
      <c r="I9" s="15" t="s">
        <v>59</v>
      </c>
      <c r="J9" s="10"/>
      <c r="K9" s="10"/>
      <c r="L9" s="10"/>
      <c r="M9" s="10"/>
      <c r="N9" s="10"/>
      <c r="O9" s="10"/>
      <c r="P9" s="12" t="s">
        <v>26</v>
      </c>
      <c r="Q9" s="10" t="s">
        <v>60</v>
      </c>
      <c r="R9" s="16"/>
      <c r="S9" s="17">
        <v>-15.602262</v>
      </c>
      <c r="T9" s="17">
        <v>-56.096486</v>
      </c>
    </row>
    <row r="10" ht="15.75" customHeight="1">
      <c r="A10" s="10">
        <v>9.0</v>
      </c>
      <c r="B10" s="11" t="s">
        <v>61</v>
      </c>
      <c r="C10" s="11" t="s">
        <v>62</v>
      </c>
      <c r="D10" s="11" t="s">
        <v>63</v>
      </c>
      <c r="E10" s="10">
        <v>2.0220319E7</v>
      </c>
      <c r="F10" s="12"/>
      <c r="G10" s="12"/>
      <c r="H10" s="10"/>
      <c r="I10" s="15" t="s">
        <v>64</v>
      </c>
      <c r="J10" s="10"/>
      <c r="K10" s="10"/>
      <c r="L10" s="10"/>
      <c r="M10" s="10"/>
      <c r="N10" s="10"/>
      <c r="O10" s="10"/>
      <c r="P10" s="12" t="s">
        <v>34</v>
      </c>
      <c r="Q10" s="10"/>
      <c r="R10" s="16"/>
      <c r="S10" s="18">
        <v>-22.227065</v>
      </c>
      <c r="T10" s="18">
        <v>-49.935965</v>
      </c>
    </row>
    <row r="11" ht="15.75" customHeight="1">
      <c r="A11" s="19">
        <v>10.0</v>
      </c>
      <c r="B11" s="20" t="s">
        <v>65</v>
      </c>
      <c r="C11" s="20" t="s">
        <v>37</v>
      </c>
      <c r="D11" s="20" t="s">
        <v>38</v>
      </c>
      <c r="E11" s="19">
        <v>2.021063E7</v>
      </c>
      <c r="F11" s="21" t="s">
        <v>66</v>
      </c>
      <c r="G11" s="22" t="s">
        <v>67</v>
      </c>
      <c r="H11" s="23"/>
      <c r="I11" s="24" t="s">
        <v>68</v>
      </c>
      <c r="J11" s="19" t="s">
        <v>69</v>
      </c>
      <c r="K11" s="19" t="s">
        <v>70</v>
      </c>
      <c r="L11" s="19"/>
      <c r="M11" s="19"/>
      <c r="N11" s="19"/>
      <c r="O11" s="19"/>
      <c r="P11" s="21" t="s">
        <v>71</v>
      </c>
      <c r="Q11" s="19"/>
      <c r="R11" s="25"/>
      <c r="S11" s="26">
        <v>-25.431435</v>
      </c>
      <c r="T11" s="26">
        <v>-49.278343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</row>
    <row r="12" ht="15.75" customHeight="1">
      <c r="A12" s="10">
        <v>11.0</v>
      </c>
      <c r="B12" s="11" t="s">
        <v>72</v>
      </c>
      <c r="C12" s="11" t="s">
        <v>73</v>
      </c>
      <c r="D12" s="11" t="s">
        <v>74</v>
      </c>
      <c r="E12" s="10">
        <v>2.021093E7</v>
      </c>
      <c r="F12" s="12"/>
      <c r="G12" s="12"/>
      <c r="H12" s="10"/>
      <c r="I12" s="15" t="s">
        <v>75</v>
      </c>
      <c r="J12" s="10"/>
      <c r="K12" s="10"/>
      <c r="L12" s="10"/>
      <c r="M12" s="10"/>
      <c r="N12" s="10"/>
      <c r="O12" s="10"/>
      <c r="P12" s="12" t="s">
        <v>35</v>
      </c>
      <c r="Q12" s="10"/>
      <c r="R12" s="16"/>
      <c r="S12" s="18">
        <v>-21.575711</v>
      </c>
      <c r="T12" s="18">
        <v>-45.412596</v>
      </c>
    </row>
    <row r="13" ht="15.75" customHeight="1">
      <c r="A13" s="10">
        <v>12.0</v>
      </c>
      <c r="B13" s="11" t="s">
        <v>76</v>
      </c>
      <c r="C13" s="11" t="s">
        <v>77</v>
      </c>
      <c r="D13" s="11" t="s">
        <v>63</v>
      </c>
      <c r="E13" s="10">
        <v>2.0220529E7</v>
      </c>
      <c r="F13" s="12" t="s">
        <v>78</v>
      </c>
      <c r="G13" s="12"/>
      <c r="H13" s="10"/>
      <c r="I13" s="15" t="s">
        <v>79</v>
      </c>
      <c r="J13" s="10" t="s">
        <v>80</v>
      </c>
      <c r="K13" s="10"/>
      <c r="L13" s="10"/>
      <c r="M13" s="10"/>
      <c r="N13" s="10" t="s">
        <v>81</v>
      </c>
      <c r="O13" s="10" t="s">
        <v>82</v>
      </c>
      <c r="P13" s="12" t="s">
        <v>26</v>
      </c>
      <c r="Q13" s="10"/>
      <c r="R13" s="16"/>
      <c r="S13" s="28" t="s">
        <v>83</v>
      </c>
      <c r="T13" s="28" t="s">
        <v>84</v>
      </c>
    </row>
    <row r="14" ht="15.75" customHeight="1">
      <c r="A14" s="10">
        <v>13.0</v>
      </c>
      <c r="B14" s="11" t="s">
        <v>85</v>
      </c>
      <c r="C14" s="11" t="s">
        <v>86</v>
      </c>
      <c r="D14" s="11" t="s">
        <v>87</v>
      </c>
      <c r="E14" s="10">
        <v>2.0201223E7</v>
      </c>
      <c r="F14" s="12" t="s">
        <v>88</v>
      </c>
      <c r="G14" s="12"/>
      <c r="H14" s="10"/>
      <c r="I14" s="15" t="s">
        <v>89</v>
      </c>
      <c r="J14" s="10" t="s">
        <v>90</v>
      </c>
      <c r="K14" s="10"/>
      <c r="L14" s="10"/>
      <c r="M14" s="10"/>
      <c r="N14" s="10" t="s">
        <v>91</v>
      </c>
      <c r="O14" s="10"/>
      <c r="P14" s="12" t="s">
        <v>26</v>
      </c>
      <c r="Q14" s="10"/>
      <c r="R14" s="16"/>
      <c r="S14" s="18">
        <v>-8.054322</v>
      </c>
      <c r="T14" s="18">
        <v>-34.901783</v>
      </c>
    </row>
    <row r="15" ht="15.75" customHeight="1">
      <c r="A15" s="10">
        <v>14.0</v>
      </c>
      <c r="B15" s="11" t="s">
        <v>92</v>
      </c>
      <c r="C15" s="11" t="s">
        <v>93</v>
      </c>
      <c r="D15" s="11" t="s">
        <v>94</v>
      </c>
      <c r="E15" s="10">
        <v>2.0211115E7</v>
      </c>
      <c r="F15" s="12"/>
      <c r="G15" s="12"/>
      <c r="H15" s="10"/>
      <c r="I15" s="15" t="s">
        <v>95</v>
      </c>
      <c r="J15" s="10" t="s">
        <v>96</v>
      </c>
      <c r="K15" s="10" t="s">
        <v>97</v>
      </c>
      <c r="L15" s="10"/>
      <c r="M15" s="10"/>
      <c r="N15" s="10" t="s">
        <v>98</v>
      </c>
      <c r="O15" s="10"/>
      <c r="P15" s="12" t="s">
        <v>71</v>
      </c>
      <c r="Q15" s="10"/>
      <c r="R15" s="16"/>
      <c r="S15" s="18">
        <v>-22.853794</v>
      </c>
      <c r="T15" s="18">
        <v>-43.24634</v>
      </c>
    </row>
    <row r="16" ht="15.75" customHeight="1">
      <c r="A16" s="10">
        <v>15.0</v>
      </c>
      <c r="B16" s="11" t="s">
        <v>99</v>
      </c>
      <c r="C16" s="11" t="s">
        <v>100</v>
      </c>
      <c r="D16" s="11" t="s">
        <v>101</v>
      </c>
      <c r="E16" s="10">
        <v>2.0211007E7</v>
      </c>
      <c r="F16" s="12"/>
      <c r="G16" s="12"/>
      <c r="H16" s="10"/>
      <c r="I16" s="15" t="s">
        <v>102</v>
      </c>
      <c r="J16" s="10"/>
      <c r="K16" s="10"/>
      <c r="L16" s="10"/>
      <c r="M16" s="10"/>
      <c r="N16" s="10"/>
      <c r="O16" s="10"/>
      <c r="P16" s="12" t="s">
        <v>35</v>
      </c>
      <c r="Q16" s="10"/>
      <c r="R16" s="16"/>
      <c r="S16" s="18">
        <v>-20.447612</v>
      </c>
      <c r="T16" s="18">
        <v>-54.570347</v>
      </c>
    </row>
    <row r="17" ht="15.75" customHeight="1">
      <c r="A17" s="10">
        <v>16.0</v>
      </c>
      <c r="B17" s="11" t="s">
        <v>103</v>
      </c>
      <c r="C17" s="11" t="s">
        <v>104</v>
      </c>
      <c r="D17" s="11" t="s">
        <v>63</v>
      </c>
      <c r="E17" s="10">
        <v>2.0210205E7</v>
      </c>
      <c r="F17" s="12" t="s">
        <v>105</v>
      </c>
      <c r="G17" s="12"/>
      <c r="H17" s="10"/>
      <c r="I17" s="15" t="s">
        <v>106</v>
      </c>
      <c r="J17" s="10" t="s">
        <v>107</v>
      </c>
      <c r="K17" s="10" t="s">
        <v>108</v>
      </c>
      <c r="L17" s="10"/>
      <c r="M17" s="10"/>
      <c r="N17" s="10" t="s">
        <v>109</v>
      </c>
      <c r="O17" s="10" t="s">
        <v>47</v>
      </c>
      <c r="P17" s="12" t="s">
        <v>26</v>
      </c>
      <c r="Q17" s="10"/>
      <c r="R17" s="16"/>
      <c r="S17" s="18">
        <v>-22.948257</v>
      </c>
      <c r="T17" s="18">
        <v>-46.542045</v>
      </c>
    </row>
    <row r="18" ht="15.75" customHeight="1">
      <c r="A18" s="10">
        <v>17.0</v>
      </c>
      <c r="B18" s="11" t="s">
        <v>110</v>
      </c>
      <c r="C18" s="29" t="s">
        <v>111</v>
      </c>
      <c r="D18" s="11" t="s">
        <v>112</v>
      </c>
      <c r="E18" s="10">
        <v>2.0210402E7</v>
      </c>
      <c r="F18" s="12"/>
      <c r="G18" s="12"/>
      <c r="H18" s="10"/>
      <c r="I18" s="15" t="s">
        <v>113</v>
      </c>
      <c r="J18" s="10"/>
      <c r="K18" s="10"/>
      <c r="L18" s="10"/>
      <c r="M18" s="10"/>
      <c r="N18" s="10" t="s">
        <v>114</v>
      </c>
      <c r="O18" s="10"/>
      <c r="P18" s="12" t="s">
        <v>35</v>
      </c>
      <c r="Q18" s="10"/>
      <c r="R18" s="16"/>
      <c r="S18" s="18">
        <v>-3.30038</v>
      </c>
      <c r="T18" s="18">
        <v>-60.621378</v>
      </c>
    </row>
    <row r="19" ht="15.75" customHeight="1">
      <c r="A19" s="10">
        <v>18.0</v>
      </c>
      <c r="B19" s="11" t="s">
        <v>115</v>
      </c>
      <c r="C19" s="11" t="s">
        <v>93</v>
      </c>
      <c r="D19" s="11" t="s">
        <v>94</v>
      </c>
      <c r="E19" s="10">
        <v>2.0210418E7</v>
      </c>
      <c r="F19" s="30" t="s">
        <v>116</v>
      </c>
      <c r="G19" s="12" t="s">
        <v>117</v>
      </c>
      <c r="H19" s="10"/>
      <c r="I19" s="15" t="s">
        <v>118</v>
      </c>
      <c r="J19" s="10"/>
      <c r="K19" s="10"/>
      <c r="L19" s="10"/>
      <c r="M19" s="10"/>
      <c r="N19" s="10" t="s">
        <v>119</v>
      </c>
      <c r="O19" s="10" t="s">
        <v>81</v>
      </c>
      <c r="P19" s="12" t="s">
        <v>26</v>
      </c>
      <c r="Q19" s="10"/>
      <c r="R19" s="16"/>
      <c r="S19" s="18">
        <v>-22.947318</v>
      </c>
      <c r="T19" s="18">
        <v>-43.360428</v>
      </c>
    </row>
    <row r="20" ht="15.75" customHeight="1">
      <c r="A20" s="10">
        <v>19.0</v>
      </c>
      <c r="B20" s="11" t="s">
        <v>120</v>
      </c>
      <c r="C20" s="11" t="s">
        <v>121</v>
      </c>
      <c r="D20" s="11" t="s">
        <v>122</v>
      </c>
      <c r="E20" s="10">
        <v>2.0210916E7</v>
      </c>
      <c r="F20" s="12"/>
      <c r="G20" s="12"/>
      <c r="H20" s="10"/>
      <c r="I20" s="15" t="s">
        <v>123</v>
      </c>
      <c r="J20" s="10"/>
      <c r="K20" s="10"/>
      <c r="L20" s="10"/>
      <c r="M20" s="10"/>
      <c r="N20" s="10"/>
      <c r="O20" s="10"/>
      <c r="P20" s="12" t="s">
        <v>35</v>
      </c>
      <c r="Q20" s="10" t="s">
        <v>34</v>
      </c>
      <c r="R20" s="16"/>
      <c r="S20" s="18">
        <v>-27.573412</v>
      </c>
      <c r="T20" s="18">
        <v>-48.530455</v>
      </c>
    </row>
    <row r="21" ht="15.75" customHeight="1">
      <c r="A21" s="10">
        <v>20.0</v>
      </c>
      <c r="B21" s="11" t="s">
        <v>124</v>
      </c>
      <c r="C21" s="11" t="s">
        <v>53</v>
      </c>
      <c r="D21" s="11" t="s">
        <v>54</v>
      </c>
      <c r="E21" s="10">
        <v>2.020103E7</v>
      </c>
      <c r="F21" s="12" t="s">
        <v>125</v>
      </c>
      <c r="G21" s="12"/>
      <c r="H21" s="10"/>
      <c r="I21" s="15" t="s">
        <v>126</v>
      </c>
      <c r="J21" s="10"/>
      <c r="K21" s="10"/>
      <c r="L21" s="10"/>
      <c r="M21" s="10"/>
      <c r="N21" s="10"/>
      <c r="O21" s="10"/>
      <c r="P21" s="12" t="s">
        <v>26</v>
      </c>
      <c r="Q21" s="10"/>
      <c r="R21" s="16"/>
      <c r="S21" s="18">
        <v>-16.735612</v>
      </c>
      <c r="T21" s="18">
        <v>-49.161522</v>
      </c>
    </row>
    <row r="22" ht="15.75" customHeight="1">
      <c r="A22" s="10">
        <v>21.0</v>
      </c>
      <c r="B22" s="11" t="s">
        <v>127</v>
      </c>
      <c r="C22" s="11" t="s">
        <v>128</v>
      </c>
      <c r="D22" s="11" t="s">
        <v>43</v>
      </c>
      <c r="E22" s="10">
        <v>2.0211216E7</v>
      </c>
      <c r="F22" s="12" t="s">
        <v>129</v>
      </c>
      <c r="G22" s="12"/>
      <c r="H22" s="10"/>
      <c r="I22" s="15" t="s">
        <v>130</v>
      </c>
      <c r="J22" s="10" t="s">
        <v>131</v>
      </c>
      <c r="K22" s="10" t="s">
        <v>132</v>
      </c>
      <c r="L22" s="10"/>
      <c r="M22" s="10"/>
      <c r="N22" s="31" t="s">
        <v>133</v>
      </c>
      <c r="O22" s="10" t="s">
        <v>134</v>
      </c>
      <c r="P22" s="12" t="s">
        <v>26</v>
      </c>
      <c r="Q22" s="10"/>
      <c r="R22" s="16"/>
      <c r="S22" s="18">
        <v>-30.058065</v>
      </c>
      <c r="T22" s="18">
        <v>-51.185686</v>
      </c>
    </row>
    <row r="23" ht="15.75" customHeight="1">
      <c r="A23" s="10">
        <v>22.0</v>
      </c>
      <c r="B23" s="11" t="s">
        <v>135</v>
      </c>
      <c r="C23" s="11" t="s">
        <v>136</v>
      </c>
      <c r="D23" s="11" t="s">
        <v>94</v>
      </c>
      <c r="E23" s="10">
        <v>2.0210312E7</v>
      </c>
      <c r="F23" s="12" t="s">
        <v>137</v>
      </c>
      <c r="G23" s="12"/>
      <c r="H23" s="10"/>
      <c r="I23" s="15" t="s">
        <v>138</v>
      </c>
      <c r="J23" s="10"/>
      <c r="K23" s="10"/>
      <c r="L23" s="10"/>
      <c r="M23" s="10"/>
      <c r="N23" s="10"/>
      <c r="O23" s="10"/>
      <c r="P23" s="12" t="s">
        <v>26</v>
      </c>
      <c r="Q23" s="10" t="s">
        <v>35</v>
      </c>
      <c r="R23" s="16"/>
      <c r="S23" s="18">
        <v>-22.927725</v>
      </c>
      <c r="T23" s="18">
        <v>-42.869081</v>
      </c>
    </row>
    <row r="24" ht="15.75" customHeight="1">
      <c r="A24" s="10">
        <v>23.0</v>
      </c>
      <c r="B24" s="11" t="s">
        <v>139</v>
      </c>
      <c r="C24" s="11" t="s">
        <v>140</v>
      </c>
      <c r="D24" s="11" t="s">
        <v>87</v>
      </c>
      <c r="E24" s="10">
        <v>2.0210605E7</v>
      </c>
      <c r="F24" s="12"/>
      <c r="G24" s="12"/>
      <c r="H24" s="10"/>
      <c r="I24" s="15" t="s">
        <v>141</v>
      </c>
      <c r="J24" s="10"/>
      <c r="K24" s="10"/>
      <c r="L24" s="10"/>
      <c r="M24" s="10"/>
      <c r="N24" s="10"/>
      <c r="O24" s="10"/>
      <c r="P24" s="12" t="s">
        <v>34</v>
      </c>
      <c r="Q24" s="10" t="s">
        <v>35</v>
      </c>
      <c r="R24" s="16"/>
      <c r="S24" s="18">
        <v>-9.412315</v>
      </c>
      <c r="T24" s="18">
        <v>-40.495691</v>
      </c>
    </row>
    <row r="25" ht="15.75" customHeight="1">
      <c r="A25" s="10">
        <v>24.0</v>
      </c>
      <c r="B25" s="11" t="s">
        <v>142</v>
      </c>
      <c r="C25" s="11" t="s">
        <v>143</v>
      </c>
      <c r="D25" s="11" t="s">
        <v>38</v>
      </c>
      <c r="E25" s="10">
        <v>2.0211028E7</v>
      </c>
      <c r="F25" s="12"/>
      <c r="G25" s="12"/>
      <c r="H25" s="10"/>
      <c r="I25" s="15" t="s">
        <v>144</v>
      </c>
      <c r="J25" s="10"/>
      <c r="K25" s="10"/>
      <c r="L25" s="10"/>
      <c r="M25" s="10"/>
      <c r="N25" s="10"/>
      <c r="O25" s="10"/>
      <c r="P25" s="12" t="s">
        <v>26</v>
      </c>
      <c r="Q25" s="10" t="s">
        <v>35</v>
      </c>
      <c r="R25" s="16"/>
      <c r="S25" s="18">
        <v>-25.455144</v>
      </c>
      <c r="T25" s="18">
        <v>-49.518039</v>
      </c>
    </row>
    <row r="26" ht="15.75" customHeight="1">
      <c r="A26" s="10">
        <v>25.0</v>
      </c>
      <c r="B26" s="11" t="s">
        <v>145</v>
      </c>
      <c r="C26" s="11" t="s">
        <v>146</v>
      </c>
      <c r="D26" s="11" t="s">
        <v>63</v>
      </c>
      <c r="E26" s="10">
        <v>2.0210609E7</v>
      </c>
      <c r="F26" s="12"/>
      <c r="G26" s="12"/>
      <c r="H26" s="10"/>
      <c r="I26" s="15" t="s">
        <v>147</v>
      </c>
      <c r="J26" s="10"/>
      <c r="K26" s="10"/>
      <c r="L26" s="10"/>
      <c r="M26" s="10"/>
      <c r="N26" s="10"/>
      <c r="O26" s="10"/>
      <c r="P26" s="12" t="s">
        <v>148</v>
      </c>
      <c r="Q26" s="10"/>
      <c r="R26" s="16"/>
      <c r="S26" s="28" t="s">
        <v>149</v>
      </c>
      <c r="T26" s="28" t="s">
        <v>150</v>
      </c>
    </row>
    <row r="27" ht="15.75" customHeight="1">
      <c r="A27" s="10">
        <v>26.0</v>
      </c>
      <c r="B27" s="11" t="s">
        <v>151</v>
      </c>
      <c r="C27" s="11" t="s">
        <v>152</v>
      </c>
      <c r="D27" s="11" t="s">
        <v>63</v>
      </c>
      <c r="E27" s="10">
        <v>2.0220822E7</v>
      </c>
      <c r="F27" s="12"/>
      <c r="G27" s="12"/>
      <c r="H27" s="10"/>
      <c r="I27" s="15" t="s">
        <v>153</v>
      </c>
      <c r="J27" s="10"/>
      <c r="K27" s="10"/>
      <c r="L27" s="10"/>
      <c r="M27" s="10"/>
      <c r="N27" s="10"/>
      <c r="O27" s="10"/>
      <c r="P27" s="12" t="s">
        <v>26</v>
      </c>
      <c r="Q27" s="10" t="s">
        <v>35</v>
      </c>
      <c r="R27" s="16"/>
      <c r="S27" s="28" t="s">
        <v>154</v>
      </c>
      <c r="T27" s="28" t="s">
        <v>155</v>
      </c>
    </row>
    <row r="28" ht="15.75" customHeight="1">
      <c r="A28" s="10">
        <v>27.0</v>
      </c>
      <c r="B28" s="11" t="s">
        <v>156</v>
      </c>
      <c r="C28" s="11" t="s">
        <v>157</v>
      </c>
      <c r="D28" s="11" t="s">
        <v>158</v>
      </c>
      <c r="E28" s="10">
        <v>2.0210611E7</v>
      </c>
      <c r="F28" s="12"/>
      <c r="G28" s="12"/>
      <c r="H28" s="10"/>
      <c r="I28" s="15" t="s">
        <v>159</v>
      </c>
      <c r="J28" s="10"/>
      <c r="K28" s="10"/>
      <c r="L28" s="10"/>
      <c r="M28" s="10"/>
      <c r="N28" s="10"/>
      <c r="O28" s="10"/>
      <c r="P28" s="12" t="s">
        <v>34</v>
      </c>
      <c r="Q28" s="10"/>
      <c r="R28" s="16"/>
      <c r="S28" s="18">
        <v>2.859206</v>
      </c>
      <c r="T28" s="18">
        <v>-60.657663</v>
      </c>
    </row>
    <row r="29" ht="15.75" customHeight="1">
      <c r="A29" s="10">
        <v>28.0</v>
      </c>
      <c r="B29" s="11" t="s">
        <v>160</v>
      </c>
      <c r="C29" s="11" t="s">
        <v>161</v>
      </c>
      <c r="D29" s="11" t="s">
        <v>63</v>
      </c>
      <c r="E29" s="10">
        <v>2.0211027E7</v>
      </c>
      <c r="F29" s="12"/>
      <c r="G29" s="12"/>
      <c r="H29" s="10"/>
      <c r="I29" s="15" t="s">
        <v>162</v>
      </c>
      <c r="J29" s="10"/>
      <c r="K29" s="10"/>
      <c r="L29" s="10"/>
      <c r="M29" s="10"/>
      <c r="N29" s="10"/>
      <c r="O29" s="10"/>
      <c r="P29" s="12" t="s">
        <v>26</v>
      </c>
      <c r="Q29" s="10" t="s">
        <v>35</v>
      </c>
      <c r="R29" s="16"/>
      <c r="S29" s="18">
        <v>-23.556109</v>
      </c>
      <c r="T29" s="18">
        <v>-46.656757</v>
      </c>
    </row>
    <row r="30" ht="15.75" customHeight="1">
      <c r="A30" s="10">
        <v>29.0</v>
      </c>
      <c r="B30" s="11" t="s">
        <v>163</v>
      </c>
      <c r="C30" s="11" t="s">
        <v>164</v>
      </c>
      <c r="D30" s="11" t="s">
        <v>63</v>
      </c>
      <c r="E30" s="10">
        <v>2.0210403E7</v>
      </c>
      <c r="F30" s="12" t="s">
        <v>165</v>
      </c>
      <c r="G30" s="12" t="s">
        <v>166</v>
      </c>
      <c r="H30" s="10"/>
      <c r="I30" s="15" t="s">
        <v>167</v>
      </c>
      <c r="J30" s="10" t="s">
        <v>168</v>
      </c>
      <c r="K30" s="10"/>
      <c r="L30" s="10"/>
      <c r="M30" s="10"/>
      <c r="N30" s="10" t="s">
        <v>169</v>
      </c>
      <c r="O30" s="10" t="s">
        <v>170</v>
      </c>
      <c r="P30" s="12" t="s">
        <v>26</v>
      </c>
      <c r="Q30" s="10" t="s">
        <v>35</v>
      </c>
      <c r="R30" s="16" t="s">
        <v>148</v>
      </c>
      <c r="S30" s="18">
        <v>-20.747526</v>
      </c>
      <c r="T30" s="18">
        <v>-48.914845</v>
      </c>
    </row>
    <row r="31" ht="15.75" customHeight="1">
      <c r="A31" s="10">
        <v>30.0</v>
      </c>
      <c r="B31" s="11" t="s">
        <v>171</v>
      </c>
      <c r="C31" s="11" t="s">
        <v>172</v>
      </c>
      <c r="D31" s="11" t="s">
        <v>173</v>
      </c>
      <c r="E31" s="10">
        <v>2.022013E7</v>
      </c>
      <c r="F31" s="12" t="s">
        <v>174</v>
      </c>
      <c r="G31" s="12"/>
      <c r="H31" s="10"/>
      <c r="I31" s="15" t="s">
        <v>175</v>
      </c>
      <c r="J31" s="10"/>
      <c r="K31" s="10"/>
      <c r="L31" s="10"/>
      <c r="M31" s="10"/>
      <c r="N31" s="10" t="s">
        <v>176</v>
      </c>
      <c r="O31" s="10" t="s">
        <v>25</v>
      </c>
      <c r="P31" s="12" t="s">
        <v>26</v>
      </c>
      <c r="Q31" s="10"/>
      <c r="R31" s="16"/>
      <c r="S31" s="18">
        <v>-20.335445</v>
      </c>
      <c r="T31" s="18">
        <v>-40.283944</v>
      </c>
    </row>
    <row r="32" ht="15.75" customHeight="1">
      <c r="A32" s="10">
        <v>31.0</v>
      </c>
      <c r="B32" s="11" t="s">
        <v>177</v>
      </c>
      <c r="C32" s="11" t="s">
        <v>178</v>
      </c>
      <c r="D32" s="11" t="s">
        <v>63</v>
      </c>
      <c r="E32" s="10">
        <v>2.0211218E7</v>
      </c>
      <c r="F32" s="12"/>
      <c r="G32" s="12"/>
      <c r="H32" s="10"/>
      <c r="I32" s="15" t="s">
        <v>179</v>
      </c>
      <c r="J32" s="10"/>
      <c r="K32" s="10"/>
      <c r="L32" s="10"/>
      <c r="M32" s="10"/>
      <c r="N32" s="10"/>
      <c r="O32" s="10"/>
      <c r="P32" s="12" t="s">
        <v>34</v>
      </c>
      <c r="Q32" s="10" t="s">
        <v>35</v>
      </c>
      <c r="R32" s="16"/>
      <c r="S32" s="18">
        <v>-23.266985</v>
      </c>
      <c r="T32" s="18">
        <v>-47.052705</v>
      </c>
    </row>
    <row r="33" ht="15.75" customHeight="1">
      <c r="A33" s="10">
        <v>32.0</v>
      </c>
      <c r="B33" s="11" t="s">
        <v>180</v>
      </c>
      <c r="C33" s="11" t="s">
        <v>181</v>
      </c>
      <c r="D33" s="11" t="s">
        <v>63</v>
      </c>
      <c r="E33" s="10">
        <v>2.0211203E7</v>
      </c>
      <c r="F33" s="12"/>
      <c r="G33" s="12"/>
      <c r="H33" s="10"/>
      <c r="I33" s="15" t="s">
        <v>182</v>
      </c>
      <c r="J33" s="10"/>
      <c r="K33" s="10"/>
      <c r="L33" s="10"/>
      <c r="M33" s="10"/>
      <c r="N33" s="10"/>
      <c r="O33" s="10"/>
      <c r="P33" s="12" t="s">
        <v>26</v>
      </c>
      <c r="Q33" s="10" t="s">
        <v>34</v>
      </c>
      <c r="R33" s="16"/>
      <c r="S33" s="28" t="s">
        <v>183</v>
      </c>
      <c r="T33" s="28" t="s">
        <v>184</v>
      </c>
    </row>
    <row r="34" ht="15.75" customHeight="1">
      <c r="A34" s="10">
        <v>33.0</v>
      </c>
      <c r="B34" s="11" t="s">
        <v>185</v>
      </c>
      <c r="C34" s="11" t="s">
        <v>186</v>
      </c>
      <c r="D34" s="11" t="s">
        <v>187</v>
      </c>
      <c r="E34" s="10">
        <v>2.0210729E7</v>
      </c>
      <c r="F34" s="12"/>
      <c r="G34" s="12"/>
      <c r="H34" s="10"/>
      <c r="I34" s="15" t="s">
        <v>188</v>
      </c>
      <c r="J34" s="10"/>
      <c r="K34" s="10"/>
      <c r="L34" s="10"/>
      <c r="M34" s="10"/>
      <c r="N34" s="10"/>
      <c r="O34" s="10"/>
      <c r="P34" s="12" t="s">
        <v>35</v>
      </c>
      <c r="Q34" s="10"/>
      <c r="R34" s="16"/>
      <c r="S34" s="18">
        <v>-6.835036</v>
      </c>
      <c r="T34" s="18">
        <v>-35.138354</v>
      </c>
    </row>
    <row r="35" ht="15.75" customHeight="1">
      <c r="A35" s="10">
        <v>34.0</v>
      </c>
      <c r="B35" s="11" t="s">
        <v>189</v>
      </c>
      <c r="C35" s="11" t="s">
        <v>190</v>
      </c>
      <c r="D35" s="11" t="s">
        <v>38</v>
      </c>
      <c r="E35" s="10">
        <v>2.0220726E7</v>
      </c>
      <c r="F35" s="12"/>
      <c r="G35" s="12"/>
      <c r="H35" s="10"/>
      <c r="I35" s="15" t="s">
        <v>191</v>
      </c>
      <c r="J35" s="10"/>
      <c r="K35" s="10"/>
      <c r="L35" s="10"/>
      <c r="M35" s="10"/>
      <c r="N35" s="10"/>
      <c r="O35" s="10"/>
      <c r="P35" s="12" t="s">
        <v>26</v>
      </c>
      <c r="Q35" s="10" t="s">
        <v>35</v>
      </c>
      <c r="R35" s="16"/>
      <c r="S35" s="18">
        <v>-25.534598</v>
      </c>
      <c r="T35" s="18">
        <v>-48.526139</v>
      </c>
    </row>
    <row r="36" ht="15.75" customHeight="1">
      <c r="A36" s="10">
        <v>35.0</v>
      </c>
      <c r="B36" s="11" t="s">
        <v>192</v>
      </c>
      <c r="C36" s="11" t="s">
        <v>193</v>
      </c>
      <c r="D36" s="11" t="s">
        <v>38</v>
      </c>
      <c r="E36" s="10">
        <v>2.0210914E7</v>
      </c>
      <c r="F36" s="12"/>
      <c r="G36" s="12"/>
      <c r="H36" s="10"/>
      <c r="I36" s="15" t="s">
        <v>194</v>
      </c>
      <c r="J36" s="10"/>
      <c r="K36" s="10"/>
      <c r="L36" s="10"/>
      <c r="M36" s="10"/>
      <c r="N36" s="10" t="s">
        <v>195</v>
      </c>
      <c r="O36" s="10"/>
      <c r="P36" s="12" t="s">
        <v>26</v>
      </c>
      <c r="Q36" s="10"/>
      <c r="R36" s="16"/>
      <c r="S36" s="32" t="s">
        <v>196</v>
      </c>
      <c r="T36" s="32" t="s">
        <v>197</v>
      </c>
    </row>
    <row r="37" ht="15.75" customHeight="1">
      <c r="A37" s="10">
        <v>36.0</v>
      </c>
      <c r="B37" s="11" t="s">
        <v>198</v>
      </c>
      <c r="C37" s="11" t="s">
        <v>199</v>
      </c>
      <c r="D37" s="11" t="s">
        <v>94</v>
      </c>
      <c r="E37" s="10">
        <v>2.0211125E7</v>
      </c>
      <c r="F37" s="12" t="s">
        <v>200</v>
      </c>
      <c r="G37" s="12" t="s">
        <v>201</v>
      </c>
      <c r="H37" s="10"/>
      <c r="I37" s="15" t="s">
        <v>202</v>
      </c>
      <c r="J37" s="10"/>
      <c r="K37" s="10"/>
      <c r="L37" s="10"/>
      <c r="M37" s="10"/>
      <c r="N37" s="10"/>
      <c r="O37" s="10"/>
      <c r="P37" s="12" t="s">
        <v>71</v>
      </c>
      <c r="Q37" s="10"/>
      <c r="R37" s="16"/>
      <c r="S37" s="18">
        <v>-22.453949</v>
      </c>
      <c r="T37" s="18">
        <v>-43.143488</v>
      </c>
    </row>
    <row r="38" ht="15.75" customHeight="1">
      <c r="A38" s="10">
        <v>37.0</v>
      </c>
      <c r="B38" s="11" t="s">
        <v>203</v>
      </c>
      <c r="C38" s="11" t="s">
        <v>204</v>
      </c>
      <c r="D38" s="11" t="s">
        <v>122</v>
      </c>
      <c r="E38" s="10">
        <v>2.0211216E7</v>
      </c>
      <c r="F38" s="12" t="s">
        <v>205</v>
      </c>
      <c r="G38" s="12"/>
      <c r="H38" s="10"/>
      <c r="I38" s="15" t="s">
        <v>206</v>
      </c>
      <c r="J38" s="10"/>
      <c r="K38" s="10"/>
      <c r="L38" s="10"/>
      <c r="M38" s="10"/>
      <c r="N38" s="10" t="s">
        <v>81</v>
      </c>
      <c r="O38" s="10"/>
      <c r="P38" s="12" t="s">
        <v>26</v>
      </c>
      <c r="Q38" s="10" t="s">
        <v>35</v>
      </c>
      <c r="R38" s="16" t="s">
        <v>207</v>
      </c>
      <c r="S38" s="18">
        <v>-27.272311</v>
      </c>
      <c r="T38" s="18">
        <v>-49.929648</v>
      </c>
    </row>
    <row r="39" ht="15.75" customHeight="1">
      <c r="A39" s="10">
        <v>38.0</v>
      </c>
      <c r="B39" s="11" t="s">
        <v>208</v>
      </c>
      <c r="C39" s="11" t="s">
        <v>209</v>
      </c>
      <c r="D39" s="11" t="s">
        <v>210</v>
      </c>
      <c r="E39" s="10">
        <v>2.0220111E7</v>
      </c>
      <c r="F39" s="12"/>
      <c r="G39" s="12"/>
      <c r="H39" s="10"/>
      <c r="I39" s="15" t="s">
        <v>211</v>
      </c>
      <c r="J39" s="10"/>
      <c r="K39" s="10"/>
      <c r="L39" s="10"/>
      <c r="M39" s="10"/>
      <c r="N39" s="10"/>
      <c r="O39" s="10"/>
      <c r="P39" s="12" t="s">
        <v>26</v>
      </c>
      <c r="Q39" s="10" t="s">
        <v>35</v>
      </c>
      <c r="R39" s="16"/>
      <c r="S39" s="18">
        <v>-9.961781</v>
      </c>
      <c r="T39" s="18">
        <v>-67.857592</v>
      </c>
    </row>
    <row r="40" ht="15.75" customHeight="1">
      <c r="A40" s="10">
        <v>39.0</v>
      </c>
      <c r="B40" s="11" t="s">
        <v>212</v>
      </c>
      <c r="C40" s="11" t="s">
        <v>213</v>
      </c>
      <c r="D40" s="11" t="s">
        <v>87</v>
      </c>
      <c r="E40" s="10">
        <v>2.022081E7</v>
      </c>
      <c r="F40" s="12"/>
      <c r="G40" s="12"/>
      <c r="H40" s="10"/>
      <c r="I40" s="15" t="s">
        <v>214</v>
      </c>
      <c r="J40" s="33"/>
      <c r="K40" s="10"/>
      <c r="L40" s="10">
        <v>1400.0</v>
      </c>
      <c r="M40" s="10"/>
      <c r="N40" s="10"/>
      <c r="O40" s="10"/>
      <c r="P40" s="10" t="s">
        <v>148</v>
      </c>
      <c r="Q40" s="10" t="s">
        <v>207</v>
      </c>
      <c r="R40" s="16"/>
      <c r="S40" s="18">
        <v>-7.984911</v>
      </c>
      <c r="T40" s="18">
        <v>-38.298136</v>
      </c>
    </row>
    <row r="41" ht="15.75" customHeight="1">
      <c r="A41" s="10">
        <v>40.0</v>
      </c>
      <c r="B41" s="11" t="s">
        <v>215</v>
      </c>
      <c r="C41" s="11" t="s">
        <v>216</v>
      </c>
      <c r="D41" s="11" t="s">
        <v>43</v>
      </c>
      <c r="E41" s="10">
        <v>2.0220425E7</v>
      </c>
      <c r="F41" s="12"/>
      <c r="G41" s="12"/>
      <c r="H41" s="10"/>
      <c r="I41" s="15" t="s">
        <v>217</v>
      </c>
      <c r="J41" s="10"/>
      <c r="K41" s="10"/>
      <c r="L41" s="10"/>
      <c r="M41" s="10"/>
      <c r="N41" s="10"/>
      <c r="O41" s="10"/>
      <c r="P41" s="12" t="s">
        <v>35</v>
      </c>
      <c r="Q41" s="10" t="s">
        <v>207</v>
      </c>
      <c r="R41" s="16"/>
      <c r="S41" s="18">
        <v>-29.606479</v>
      </c>
      <c r="T41" s="18">
        <v>-52.191769</v>
      </c>
    </row>
    <row r="42" ht="15.75" customHeight="1">
      <c r="A42" s="10">
        <v>41.0</v>
      </c>
      <c r="B42" s="11" t="s">
        <v>218</v>
      </c>
      <c r="C42" s="11" t="s">
        <v>161</v>
      </c>
      <c r="D42" s="11" t="s">
        <v>63</v>
      </c>
      <c r="E42" s="10">
        <v>2.0210125E7</v>
      </c>
      <c r="F42" s="12" t="s">
        <v>219</v>
      </c>
      <c r="G42" s="12" t="s">
        <v>220</v>
      </c>
      <c r="H42" s="10" t="s">
        <v>221</v>
      </c>
      <c r="I42" s="15" t="s">
        <v>222</v>
      </c>
      <c r="J42" s="10"/>
      <c r="K42" s="10"/>
      <c r="L42" s="10"/>
      <c r="M42" s="10"/>
      <c r="N42" s="10"/>
      <c r="O42" s="10"/>
      <c r="P42" s="12" t="s">
        <v>26</v>
      </c>
      <c r="Q42" s="10" t="s">
        <v>34</v>
      </c>
      <c r="R42" s="34"/>
      <c r="S42" s="18">
        <v>-23.583202</v>
      </c>
      <c r="T42" s="18">
        <v>-46.477125</v>
      </c>
    </row>
    <row r="43" ht="15.75" customHeight="1">
      <c r="A43" s="10">
        <v>42.0</v>
      </c>
      <c r="B43" s="11" t="s">
        <v>223</v>
      </c>
      <c r="C43" s="11" t="s">
        <v>224</v>
      </c>
      <c r="D43" s="11" t="s">
        <v>173</v>
      </c>
      <c r="E43" s="10">
        <v>2.0211219E7</v>
      </c>
      <c r="F43" s="35" t="s">
        <v>225</v>
      </c>
      <c r="G43" s="12"/>
      <c r="H43" s="10"/>
      <c r="I43" s="15" t="s">
        <v>226</v>
      </c>
      <c r="J43" s="10" t="s">
        <v>69</v>
      </c>
      <c r="K43" s="10"/>
      <c r="L43" s="10"/>
      <c r="M43" s="10"/>
      <c r="N43" s="10" t="s">
        <v>47</v>
      </c>
      <c r="O43" s="10"/>
      <c r="P43" s="12" t="s">
        <v>26</v>
      </c>
      <c r="Q43" s="10" t="s">
        <v>35</v>
      </c>
      <c r="R43" s="34"/>
      <c r="S43" s="18">
        <v>-20.283058</v>
      </c>
      <c r="T43" s="18">
        <v>-40.289366</v>
      </c>
    </row>
    <row r="44" ht="15.75" customHeight="1">
      <c r="A44" s="10">
        <v>43.0</v>
      </c>
      <c r="B44" s="11" t="s">
        <v>227</v>
      </c>
      <c r="C44" s="11" t="s">
        <v>93</v>
      </c>
      <c r="D44" s="11" t="s">
        <v>94</v>
      </c>
      <c r="E44" s="10">
        <v>2.020092E7</v>
      </c>
      <c r="F44" s="12" t="s">
        <v>228</v>
      </c>
      <c r="G44" s="12"/>
      <c r="H44" s="10"/>
      <c r="I44" s="15" t="s">
        <v>229</v>
      </c>
      <c r="J44" s="10" t="s">
        <v>230</v>
      </c>
      <c r="K44" s="10"/>
      <c r="L44" s="10"/>
      <c r="M44" s="10">
        <v>3.0</v>
      </c>
      <c r="N44" s="10" t="s">
        <v>169</v>
      </c>
      <c r="O44" s="10"/>
      <c r="P44" s="12" t="s">
        <v>26</v>
      </c>
      <c r="Q44" s="10"/>
      <c r="R44" s="16"/>
      <c r="S44" s="18">
        <v>-22.886752</v>
      </c>
      <c r="T44" s="18">
        <v>-43.220708</v>
      </c>
    </row>
    <row r="45" ht="15.75" customHeight="1">
      <c r="A45" s="10">
        <v>44.0</v>
      </c>
      <c r="B45" s="11" t="s">
        <v>231</v>
      </c>
      <c r="C45" s="11" t="s">
        <v>93</v>
      </c>
      <c r="D45" s="11" t="s">
        <v>94</v>
      </c>
      <c r="E45" s="10">
        <v>2.021103E7</v>
      </c>
      <c r="F45" s="12" t="s">
        <v>232</v>
      </c>
      <c r="G45" s="12"/>
      <c r="H45" s="10"/>
      <c r="I45" s="15" t="s">
        <v>233</v>
      </c>
      <c r="J45" s="10"/>
      <c r="K45" s="10"/>
      <c r="L45" s="10"/>
      <c r="M45" s="10"/>
      <c r="N45" s="10"/>
      <c r="O45" s="10"/>
      <c r="P45" s="12" t="s">
        <v>26</v>
      </c>
      <c r="Q45" s="10"/>
      <c r="R45" s="16"/>
      <c r="S45" s="18">
        <v>-22.891626</v>
      </c>
      <c r="T45" s="18">
        <v>-43.401997</v>
      </c>
    </row>
    <row r="46" ht="15.75" customHeight="1">
      <c r="A46" s="10">
        <v>45.0</v>
      </c>
      <c r="B46" s="11" t="s">
        <v>234</v>
      </c>
      <c r="C46" s="11" t="s">
        <v>235</v>
      </c>
      <c r="D46" s="11" t="s">
        <v>63</v>
      </c>
      <c r="E46" s="10">
        <v>2.0210521E7</v>
      </c>
      <c r="F46" s="12" t="s">
        <v>236</v>
      </c>
      <c r="G46" s="12"/>
      <c r="H46" s="10"/>
      <c r="I46" s="15" t="s">
        <v>237</v>
      </c>
      <c r="J46" s="10"/>
      <c r="K46" s="10"/>
      <c r="L46" s="10"/>
      <c r="M46" s="10"/>
      <c r="N46" s="10"/>
      <c r="O46" s="10"/>
      <c r="P46" s="12" t="s">
        <v>26</v>
      </c>
      <c r="Q46" s="10" t="s">
        <v>35</v>
      </c>
      <c r="R46" s="16"/>
      <c r="S46" s="18">
        <v>-23.490185</v>
      </c>
      <c r="T46" s="18">
        <v>-46.866673</v>
      </c>
    </row>
    <row r="47" ht="15.75" customHeight="1">
      <c r="A47" s="10">
        <v>46.0</v>
      </c>
      <c r="B47" s="11" t="s">
        <v>238</v>
      </c>
      <c r="C47" s="11" t="s">
        <v>93</v>
      </c>
      <c r="D47" s="11" t="s">
        <v>94</v>
      </c>
      <c r="E47" s="10">
        <v>2.0201102E7</v>
      </c>
      <c r="F47" s="12" t="s">
        <v>239</v>
      </c>
      <c r="G47" s="12"/>
      <c r="H47" s="10"/>
      <c r="I47" s="15" t="s">
        <v>240</v>
      </c>
      <c r="J47" s="10"/>
      <c r="K47" s="10"/>
      <c r="L47" s="10"/>
      <c r="M47" s="10"/>
      <c r="N47" s="10"/>
      <c r="O47" s="10"/>
      <c r="P47" s="12" t="s">
        <v>26</v>
      </c>
      <c r="Q47" s="10" t="s">
        <v>148</v>
      </c>
      <c r="R47" s="16"/>
      <c r="S47" s="18">
        <v>-22.89034</v>
      </c>
      <c r="T47" s="18">
        <v>-43.403753</v>
      </c>
    </row>
    <row r="48" ht="15.75" customHeight="1">
      <c r="A48" s="10">
        <v>47.0</v>
      </c>
      <c r="B48" s="11" t="s">
        <v>241</v>
      </c>
      <c r="C48" s="11" t="s">
        <v>242</v>
      </c>
      <c r="D48" s="11" t="s">
        <v>43</v>
      </c>
      <c r="E48" s="10">
        <v>2.0211028E7</v>
      </c>
      <c r="F48" s="12"/>
      <c r="G48" s="12"/>
      <c r="H48" s="10"/>
      <c r="I48" s="15" t="s">
        <v>243</v>
      </c>
      <c r="J48" s="10"/>
      <c r="K48" s="10"/>
      <c r="L48" s="10"/>
      <c r="M48" s="10"/>
      <c r="N48" s="10" t="s">
        <v>195</v>
      </c>
      <c r="O48" s="10"/>
      <c r="P48" s="12" t="s">
        <v>26</v>
      </c>
      <c r="Q48" s="10" t="s">
        <v>35</v>
      </c>
      <c r="R48" s="16" t="s">
        <v>207</v>
      </c>
      <c r="S48" s="18">
        <v>-27.766722</v>
      </c>
      <c r="T48" s="18">
        <v>-54.235725</v>
      </c>
    </row>
    <row r="49" ht="15.75" customHeight="1">
      <c r="A49" s="10">
        <v>48.0</v>
      </c>
      <c r="B49" s="11" t="s">
        <v>244</v>
      </c>
      <c r="C49" s="11" t="s">
        <v>245</v>
      </c>
      <c r="D49" s="11" t="s">
        <v>63</v>
      </c>
      <c r="E49" s="10">
        <v>2.0211102E7</v>
      </c>
      <c r="F49" s="12" t="s">
        <v>246</v>
      </c>
      <c r="G49" s="12"/>
      <c r="H49" s="10"/>
      <c r="I49" s="15" t="s">
        <v>247</v>
      </c>
      <c r="J49" s="10"/>
      <c r="K49" s="10"/>
      <c r="L49" s="10"/>
      <c r="M49" s="10"/>
      <c r="N49" s="10"/>
      <c r="O49" s="10"/>
      <c r="P49" s="12" t="s">
        <v>26</v>
      </c>
      <c r="Q49" s="10" t="s">
        <v>35</v>
      </c>
      <c r="R49" s="16"/>
      <c r="S49" s="18">
        <v>-22.068693</v>
      </c>
      <c r="T49" s="18">
        <v>-48.74689</v>
      </c>
    </row>
    <row r="50" ht="15.75" customHeight="1">
      <c r="A50" s="10">
        <v>49.0</v>
      </c>
      <c r="B50" s="11" t="s">
        <v>248</v>
      </c>
      <c r="C50" s="11" t="s">
        <v>249</v>
      </c>
      <c r="D50" s="11" t="s">
        <v>38</v>
      </c>
      <c r="E50" s="10">
        <v>2.0211102E7</v>
      </c>
      <c r="F50" s="12" t="s">
        <v>250</v>
      </c>
      <c r="G50" s="12"/>
      <c r="H50" s="10"/>
      <c r="I50" s="15" t="s">
        <v>251</v>
      </c>
      <c r="J50" s="10"/>
      <c r="K50" s="10"/>
      <c r="L50" s="10"/>
      <c r="M50" s="10"/>
      <c r="N50" s="10" t="s">
        <v>98</v>
      </c>
      <c r="O50" s="10"/>
      <c r="P50" s="12" t="s">
        <v>26</v>
      </c>
      <c r="Q50" s="10"/>
      <c r="R50" s="16"/>
      <c r="S50" s="18">
        <v>-25.883463</v>
      </c>
      <c r="T50" s="18">
        <v>-48.582451</v>
      </c>
    </row>
    <row r="51" ht="15.75" customHeight="1">
      <c r="A51" s="10">
        <v>50.0</v>
      </c>
      <c r="B51" s="11" t="s">
        <v>252</v>
      </c>
      <c r="C51" s="11" t="s">
        <v>253</v>
      </c>
      <c r="D51" s="11" t="s">
        <v>254</v>
      </c>
      <c r="E51" s="10">
        <v>2.0220329E7</v>
      </c>
      <c r="F51" s="12"/>
      <c r="G51" s="12"/>
      <c r="H51" s="10"/>
      <c r="I51" s="15" t="s">
        <v>255</v>
      </c>
      <c r="J51" s="10"/>
      <c r="K51" s="10"/>
      <c r="L51" s="10"/>
      <c r="M51" s="10"/>
      <c r="N51" s="10"/>
      <c r="O51" s="10"/>
      <c r="P51" s="12" t="s">
        <v>34</v>
      </c>
      <c r="Q51" s="10" t="s">
        <v>35</v>
      </c>
      <c r="R51" s="16"/>
      <c r="S51" s="18">
        <v>-12.89865</v>
      </c>
      <c r="T51" s="18">
        <v>-38.471232</v>
      </c>
    </row>
    <row r="52" ht="15.75" customHeight="1">
      <c r="A52" s="10">
        <v>51.0</v>
      </c>
      <c r="B52" s="11" t="s">
        <v>256</v>
      </c>
      <c r="C52" s="11" t="s">
        <v>257</v>
      </c>
      <c r="D52" s="11" t="s">
        <v>63</v>
      </c>
      <c r="E52" s="10">
        <v>2.0211029E7</v>
      </c>
      <c r="F52" s="12" t="s">
        <v>258</v>
      </c>
      <c r="G52" s="12"/>
      <c r="H52" s="10"/>
      <c r="I52" s="15" t="s">
        <v>259</v>
      </c>
      <c r="J52" s="10"/>
      <c r="K52" s="10"/>
      <c r="L52" s="10"/>
      <c r="M52" s="10"/>
      <c r="N52" s="10" t="s">
        <v>134</v>
      </c>
      <c r="O52" s="10"/>
      <c r="P52" s="12" t="s">
        <v>26</v>
      </c>
      <c r="Q52" s="10" t="s">
        <v>35</v>
      </c>
      <c r="R52" s="16"/>
      <c r="S52" s="18">
        <v>-22.904287</v>
      </c>
      <c r="T52" s="18">
        <v>-47.010748</v>
      </c>
    </row>
    <row r="53" ht="15.75" customHeight="1">
      <c r="A53" s="10">
        <v>52.0</v>
      </c>
      <c r="B53" s="11" t="s">
        <v>260</v>
      </c>
      <c r="C53" s="11" t="s">
        <v>261</v>
      </c>
      <c r="D53" s="11" t="s">
        <v>63</v>
      </c>
      <c r="E53" s="10">
        <v>2.021091E7</v>
      </c>
      <c r="F53" s="12" t="s">
        <v>262</v>
      </c>
      <c r="G53" s="12" t="s">
        <v>263</v>
      </c>
      <c r="H53" s="10" t="s">
        <v>264</v>
      </c>
      <c r="I53" s="15" t="s">
        <v>265</v>
      </c>
      <c r="J53" s="10"/>
      <c r="K53" s="10"/>
      <c r="L53" s="10"/>
      <c r="M53" s="10"/>
      <c r="N53" s="10"/>
      <c r="O53" s="10"/>
      <c r="P53" s="12" t="s">
        <v>26</v>
      </c>
      <c r="Q53" s="10"/>
      <c r="R53" s="16"/>
      <c r="S53" s="18">
        <v>-22.674854</v>
      </c>
      <c r="T53" s="18">
        <v>-50.440154</v>
      </c>
    </row>
    <row r="54" ht="15.75" customHeight="1">
      <c r="A54" s="10">
        <v>53.0</v>
      </c>
      <c r="B54" s="11" t="s">
        <v>266</v>
      </c>
      <c r="C54" s="11" t="s">
        <v>267</v>
      </c>
      <c r="D54" s="11" t="s">
        <v>74</v>
      </c>
      <c r="E54" s="10">
        <v>2.0210916E7</v>
      </c>
      <c r="F54" s="12" t="s">
        <v>268</v>
      </c>
      <c r="G54" s="12"/>
      <c r="H54" s="10"/>
      <c r="I54" s="15" t="s">
        <v>269</v>
      </c>
      <c r="J54" s="10" t="s">
        <v>270</v>
      </c>
      <c r="K54" s="10"/>
      <c r="L54" s="10"/>
      <c r="M54" s="10"/>
      <c r="N54" s="10"/>
      <c r="O54" s="10"/>
      <c r="P54" s="12" t="s">
        <v>26</v>
      </c>
      <c r="Q54" s="10" t="s">
        <v>35</v>
      </c>
      <c r="R54" s="16" t="s">
        <v>271</v>
      </c>
      <c r="S54" s="18">
        <v>-20.469018</v>
      </c>
      <c r="T54" s="18">
        <v>-45.95749</v>
      </c>
    </row>
    <row r="55" ht="15.75" customHeight="1">
      <c r="A55" s="10">
        <v>54.0</v>
      </c>
      <c r="B55" s="11" t="s">
        <v>272</v>
      </c>
      <c r="C55" s="11" t="s">
        <v>273</v>
      </c>
      <c r="D55" s="11" t="s">
        <v>54</v>
      </c>
      <c r="E55" s="10">
        <v>2.0220624E7</v>
      </c>
      <c r="F55" s="12" t="s">
        <v>274</v>
      </c>
      <c r="G55" s="12"/>
      <c r="H55" s="10"/>
      <c r="I55" s="15" t="s">
        <v>275</v>
      </c>
      <c r="J55" s="10" t="s">
        <v>168</v>
      </c>
      <c r="K55" s="10"/>
      <c r="L55" s="10"/>
      <c r="M55" s="10"/>
      <c r="N55" s="10" t="s">
        <v>276</v>
      </c>
      <c r="O55" s="10"/>
      <c r="P55" s="12" t="s">
        <v>26</v>
      </c>
      <c r="Q55" s="10" t="s">
        <v>35</v>
      </c>
      <c r="R55" s="16"/>
      <c r="S55" s="18">
        <v>-16.660111</v>
      </c>
      <c r="T55" s="18">
        <v>-49.484696</v>
      </c>
    </row>
    <row r="56" ht="15.75" customHeight="1">
      <c r="A56" s="10">
        <v>55.0</v>
      </c>
      <c r="B56" s="11" t="s">
        <v>277</v>
      </c>
      <c r="C56" s="11" t="s">
        <v>278</v>
      </c>
      <c r="D56" s="11" t="s">
        <v>122</v>
      </c>
      <c r="E56" s="10">
        <v>2.022081E7</v>
      </c>
      <c r="F56" s="12"/>
      <c r="G56" s="12"/>
      <c r="H56" s="10"/>
      <c r="I56" s="15" t="s">
        <v>279</v>
      </c>
      <c r="J56" s="10"/>
      <c r="K56" s="10"/>
      <c r="L56" s="10"/>
      <c r="M56" s="10"/>
      <c r="N56" s="10"/>
      <c r="O56" s="10"/>
      <c r="P56" s="12" t="s">
        <v>35</v>
      </c>
      <c r="Q56" s="10" t="s">
        <v>34</v>
      </c>
      <c r="R56" s="16"/>
      <c r="S56" s="18">
        <v>-26.353363</v>
      </c>
      <c r="T56" s="18">
        <v>-52.849372</v>
      </c>
    </row>
    <row r="57" ht="15.75" customHeight="1">
      <c r="A57" s="10">
        <v>56.0</v>
      </c>
      <c r="B57" s="11" t="s">
        <v>280</v>
      </c>
      <c r="C57" s="11" t="s">
        <v>281</v>
      </c>
      <c r="D57" s="11" t="s">
        <v>112</v>
      </c>
      <c r="E57" s="10">
        <v>2.0201015E7</v>
      </c>
      <c r="F57" s="12" t="s">
        <v>282</v>
      </c>
      <c r="G57" s="12"/>
      <c r="H57" s="10"/>
      <c r="I57" s="15" t="s">
        <v>283</v>
      </c>
      <c r="J57" s="10"/>
      <c r="K57" s="10"/>
      <c r="L57" s="10"/>
      <c r="M57" s="10"/>
      <c r="N57" s="10" t="s">
        <v>284</v>
      </c>
      <c r="O57" s="10" t="s">
        <v>285</v>
      </c>
      <c r="P57" s="12" t="s">
        <v>26</v>
      </c>
      <c r="Q57" s="10"/>
      <c r="R57" s="16"/>
      <c r="S57" s="18">
        <v>-3.087594</v>
      </c>
      <c r="T57" s="18">
        <v>-60.006745</v>
      </c>
    </row>
    <row r="58" ht="15.75" customHeight="1">
      <c r="A58" s="10">
        <v>57.0</v>
      </c>
      <c r="B58" s="11" t="s">
        <v>286</v>
      </c>
      <c r="C58" s="11" t="s">
        <v>37</v>
      </c>
      <c r="D58" s="11" t="s">
        <v>38</v>
      </c>
      <c r="E58" s="10">
        <v>2.021063E7</v>
      </c>
      <c r="F58" s="12"/>
      <c r="G58" s="12"/>
      <c r="H58" s="10"/>
      <c r="I58" s="15" t="s">
        <v>287</v>
      </c>
      <c r="J58" s="10" t="s">
        <v>288</v>
      </c>
      <c r="K58" s="10" t="s">
        <v>46</v>
      </c>
      <c r="L58" s="10"/>
      <c r="M58" s="10"/>
      <c r="N58" s="10" t="s">
        <v>98</v>
      </c>
      <c r="O58" s="10"/>
      <c r="P58" s="12" t="s">
        <v>71</v>
      </c>
      <c r="Q58" s="10"/>
      <c r="R58" s="16"/>
      <c r="S58" s="18">
        <v>-25.442276</v>
      </c>
      <c r="T58" s="18">
        <v>-49.266512</v>
      </c>
    </row>
    <row r="59" ht="15.75" customHeight="1">
      <c r="A59" s="10">
        <v>58.0</v>
      </c>
      <c r="B59" s="11" t="s">
        <v>289</v>
      </c>
      <c r="C59" s="11" t="s">
        <v>290</v>
      </c>
      <c r="D59" s="11" t="s">
        <v>291</v>
      </c>
      <c r="E59" s="10">
        <v>2.0210515E7</v>
      </c>
      <c r="F59" s="12"/>
      <c r="G59" s="12"/>
      <c r="H59" s="10"/>
      <c r="I59" s="15" t="s">
        <v>292</v>
      </c>
      <c r="J59" s="10"/>
      <c r="K59" s="10"/>
      <c r="L59" s="10"/>
      <c r="M59" s="10"/>
      <c r="N59" s="10"/>
      <c r="O59" s="10"/>
      <c r="P59" s="12" t="s">
        <v>34</v>
      </c>
      <c r="Q59" s="10" t="s">
        <v>35</v>
      </c>
      <c r="R59" s="16"/>
      <c r="S59" s="18">
        <v>-10.687725</v>
      </c>
      <c r="T59" s="18">
        <v>-48.41325</v>
      </c>
    </row>
    <row r="60" ht="15.75" customHeight="1">
      <c r="A60" s="10">
        <v>59.0</v>
      </c>
      <c r="B60" s="11" t="s">
        <v>293</v>
      </c>
      <c r="C60" s="11" t="s">
        <v>128</v>
      </c>
      <c r="D60" s="11" t="s">
        <v>43</v>
      </c>
      <c r="E60" s="10">
        <v>2.0210311E7</v>
      </c>
      <c r="F60" s="12"/>
      <c r="G60" s="12"/>
      <c r="H60" s="10"/>
      <c r="I60" s="15" t="s">
        <v>294</v>
      </c>
      <c r="J60" s="10"/>
      <c r="K60" s="10"/>
      <c r="L60" s="10"/>
      <c r="M60" s="10"/>
      <c r="N60" s="10" t="s">
        <v>295</v>
      </c>
      <c r="O60" s="10"/>
      <c r="P60" s="12" t="s">
        <v>35</v>
      </c>
      <c r="Q60" s="10"/>
      <c r="R60" s="16"/>
      <c r="S60" s="18">
        <v>-30.048934</v>
      </c>
      <c r="T60" s="18">
        <v>-51.195452</v>
      </c>
    </row>
    <row r="61" ht="15.75" customHeight="1">
      <c r="A61" s="10">
        <v>60.0</v>
      </c>
      <c r="B61" s="11" t="s">
        <v>296</v>
      </c>
      <c r="C61" s="11" t="s">
        <v>297</v>
      </c>
      <c r="D61" s="11" t="s">
        <v>58</v>
      </c>
      <c r="E61" s="10">
        <v>2.0210928E7</v>
      </c>
      <c r="F61" s="12"/>
      <c r="G61" s="12"/>
      <c r="H61" s="10"/>
      <c r="I61" s="15" t="s">
        <v>298</v>
      </c>
      <c r="J61" s="10"/>
      <c r="K61" s="10"/>
      <c r="L61" s="10"/>
      <c r="M61" s="10"/>
      <c r="N61" s="10"/>
      <c r="O61" s="10"/>
      <c r="P61" s="12" t="s">
        <v>34</v>
      </c>
      <c r="Q61" s="10" t="s">
        <v>35</v>
      </c>
      <c r="R61" s="16"/>
      <c r="S61" s="18">
        <v>-14.414481</v>
      </c>
      <c r="T61" s="18">
        <v>-56.441274</v>
      </c>
    </row>
    <row r="62" ht="15.75" customHeight="1">
      <c r="A62" s="19">
        <v>61.0</v>
      </c>
      <c r="B62" s="20" t="s">
        <v>299</v>
      </c>
      <c r="C62" s="20" t="s">
        <v>161</v>
      </c>
      <c r="D62" s="20" t="s">
        <v>63</v>
      </c>
      <c r="E62" s="19">
        <v>2.0211027E7</v>
      </c>
      <c r="F62" s="21" t="s">
        <v>300</v>
      </c>
      <c r="G62" s="21"/>
      <c r="H62" s="19"/>
      <c r="I62" s="36" t="s">
        <v>301</v>
      </c>
      <c r="J62" s="19" t="s">
        <v>302</v>
      </c>
      <c r="K62" s="19" t="s">
        <v>107</v>
      </c>
      <c r="L62" s="19"/>
      <c r="M62" s="19"/>
      <c r="N62" s="19" t="s">
        <v>169</v>
      </c>
      <c r="O62" s="19"/>
      <c r="P62" s="21" t="s">
        <v>26</v>
      </c>
      <c r="Q62" s="19"/>
      <c r="R62" s="25"/>
      <c r="S62" s="26">
        <v>-23.526805</v>
      </c>
      <c r="T62" s="26">
        <v>-46.662762</v>
      </c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ht="15.75" customHeight="1">
      <c r="A63" s="10">
        <v>62.0</v>
      </c>
      <c r="B63" s="11" t="s">
        <v>303</v>
      </c>
      <c r="C63" s="11" t="s">
        <v>304</v>
      </c>
      <c r="D63" s="11" t="s">
        <v>122</v>
      </c>
      <c r="E63" s="10">
        <v>2.020061E7</v>
      </c>
      <c r="F63" s="12"/>
      <c r="G63" s="12"/>
      <c r="H63" s="10"/>
      <c r="I63" s="15" t="s">
        <v>305</v>
      </c>
      <c r="J63" s="10" t="s">
        <v>306</v>
      </c>
      <c r="K63" s="10"/>
      <c r="L63" s="10"/>
      <c r="M63" s="10"/>
      <c r="N63" s="10"/>
      <c r="O63" s="10"/>
      <c r="P63" s="12" t="s">
        <v>26</v>
      </c>
      <c r="Q63" s="10"/>
      <c r="R63" s="16"/>
      <c r="S63" s="18">
        <v>-27.5574</v>
      </c>
      <c r="T63" s="18">
        <v>-48.696642</v>
      </c>
    </row>
    <row r="64" ht="15.75" customHeight="1">
      <c r="A64" s="10">
        <v>63.0</v>
      </c>
      <c r="B64" s="11" t="s">
        <v>307</v>
      </c>
      <c r="C64" s="11" t="s">
        <v>308</v>
      </c>
      <c r="D64" s="11" t="s">
        <v>63</v>
      </c>
      <c r="E64" s="10">
        <v>2.0220626E7</v>
      </c>
      <c r="F64" s="12"/>
      <c r="G64" s="12"/>
      <c r="H64" s="10"/>
      <c r="I64" s="15" t="s">
        <v>309</v>
      </c>
      <c r="J64" s="10"/>
      <c r="K64" s="10"/>
      <c r="L64" s="10"/>
      <c r="M64" s="10"/>
      <c r="N64" s="10"/>
      <c r="O64" s="10"/>
      <c r="P64" s="12" t="s">
        <v>35</v>
      </c>
      <c r="Q64" s="10" t="s">
        <v>34</v>
      </c>
      <c r="R64" s="16"/>
      <c r="S64" s="18">
        <v>-26.353363</v>
      </c>
      <c r="T64" s="18">
        <v>-52.849372</v>
      </c>
    </row>
    <row r="65" ht="15.75" customHeight="1">
      <c r="A65" s="10">
        <v>64.0</v>
      </c>
      <c r="B65" s="11" t="s">
        <v>310</v>
      </c>
      <c r="C65" s="11" t="s">
        <v>121</v>
      </c>
      <c r="D65" s="11" t="s">
        <v>122</v>
      </c>
      <c r="E65" s="10">
        <v>2.022083E7</v>
      </c>
      <c r="F65" s="12" t="s">
        <v>311</v>
      </c>
      <c r="G65" s="12"/>
      <c r="H65" s="10"/>
      <c r="I65" s="15" t="s">
        <v>312</v>
      </c>
      <c r="J65" s="10"/>
      <c r="K65" s="10"/>
      <c r="L65" s="10"/>
      <c r="M65" s="10"/>
      <c r="N65" s="10"/>
      <c r="O65" s="10"/>
      <c r="P65" s="12" t="s">
        <v>26</v>
      </c>
      <c r="Q65" s="10" t="s">
        <v>35</v>
      </c>
      <c r="R65" s="16"/>
      <c r="S65" s="28" t="s">
        <v>313</v>
      </c>
      <c r="T65" s="28" t="s">
        <v>314</v>
      </c>
    </row>
    <row r="66" ht="15.75" customHeight="1">
      <c r="A66" s="10">
        <v>65.0</v>
      </c>
      <c r="B66" s="11" t="s">
        <v>315</v>
      </c>
      <c r="C66" s="10" t="s">
        <v>93</v>
      </c>
      <c r="D66" s="10" t="s">
        <v>94</v>
      </c>
      <c r="E66" s="10">
        <v>2.0210115E7</v>
      </c>
      <c r="F66" s="12"/>
      <c r="G66" s="12"/>
      <c r="H66" s="10"/>
      <c r="I66" s="15" t="s">
        <v>316</v>
      </c>
      <c r="J66" s="10"/>
      <c r="K66" s="10"/>
      <c r="L66" s="10"/>
      <c r="M66" s="10"/>
      <c r="N66" s="10" t="s">
        <v>317</v>
      </c>
      <c r="O66" s="10"/>
      <c r="P66" s="12" t="s">
        <v>35</v>
      </c>
      <c r="Q66" s="10"/>
      <c r="R66" s="37"/>
      <c r="S66" s="28" t="s">
        <v>318</v>
      </c>
      <c r="T66" s="28" t="s">
        <v>319</v>
      </c>
    </row>
    <row r="67" ht="15.75" customHeight="1">
      <c r="A67" s="10">
        <v>66.0</v>
      </c>
      <c r="B67" s="11" t="s">
        <v>139</v>
      </c>
      <c r="C67" s="10" t="s">
        <v>320</v>
      </c>
      <c r="D67" s="10" t="s">
        <v>254</v>
      </c>
      <c r="E67" s="10">
        <v>2.0210605E7</v>
      </c>
      <c r="F67" s="12"/>
      <c r="G67" s="12"/>
      <c r="H67" s="10"/>
      <c r="I67" s="15" t="s">
        <v>141</v>
      </c>
      <c r="J67" s="10"/>
      <c r="K67" s="10"/>
      <c r="L67" s="10"/>
      <c r="M67" s="10"/>
      <c r="N67" s="10"/>
      <c r="O67" s="10"/>
      <c r="P67" s="12" t="s">
        <v>34</v>
      </c>
      <c r="Q67" s="10" t="s">
        <v>35</v>
      </c>
      <c r="R67" s="16"/>
      <c r="S67" s="28" t="s">
        <v>321</v>
      </c>
      <c r="T67" s="28" t="s">
        <v>322</v>
      </c>
    </row>
    <row r="68" ht="15.75" customHeight="1">
      <c r="A68" s="10">
        <v>67.0</v>
      </c>
      <c r="B68" s="10" t="s">
        <v>323</v>
      </c>
      <c r="C68" s="10" t="s">
        <v>161</v>
      </c>
      <c r="D68" s="10" t="s">
        <v>63</v>
      </c>
      <c r="E68" s="10">
        <v>2.0221023E7</v>
      </c>
      <c r="F68" s="12"/>
      <c r="G68" s="12"/>
      <c r="H68" s="10"/>
      <c r="I68" s="15" t="s">
        <v>324</v>
      </c>
      <c r="J68" s="10"/>
      <c r="K68" s="10" t="s">
        <v>325</v>
      </c>
      <c r="L68" s="10"/>
      <c r="M68" s="10"/>
      <c r="N68" s="10"/>
      <c r="O68" s="10"/>
      <c r="P68" s="12" t="s">
        <v>71</v>
      </c>
      <c r="Q68" s="10"/>
      <c r="R68" s="16"/>
      <c r="S68" s="28" t="s">
        <v>326</v>
      </c>
      <c r="T68" s="28" t="s">
        <v>327</v>
      </c>
    </row>
    <row r="69" ht="15.75" customHeight="1">
      <c r="A69" s="10"/>
      <c r="B69" s="38"/>
      <c r="C69" s="10"/>
      <c r="D69" s="10"/>
      <c r="E69" s="39"/>
      <c r="F69" s="12"/>
      <c r="G69" s="12"/>
      <c r="H69" s="10"/>
      <c r="I69" s="38"/>
      <c r="J69" s="10"/>
      <c r="K69" s="10"/>
      <c r="L69" s="10"/>
      <c r="M69" s="10"/>
      <c r="N69" s="10"/>
      <c r="O69" s="10"/>
      <c r="P69" s="12"/>
      <c r="Q69" s="10"/>
      <c r="R69" s="16"/>
    </row>
    <row r="70" ht="15.75" customHeight="1">
      <c r="A70" s="10"/>
      <c r="B70" s="38"/>
      <c r="C70" s="10"/>
      <c r="D70" s="10"/>
      <c r="E70" s="39"/>
      <c r="F70" s="12"/>
      <c r="G70" s="12"/>
      <c r="H70" s="10"/>
      <c r="I70" s="38"/>
      <c r="J70" s="10"/>
      <c r="K70" s="10"/>
      <c r="L70" s="10"/>
      <c r="M70" s="10"/>
      <c r="N70" s="10"/>
      <c r="O70" s="10"/>
      <c r="P70" s="12"/>
      <c r="Q70" s="10"/>
      <c r="R70" s="16"/>
    </row>
    <row r="71" ht="15.75" customHeight="1">
      <c r="A71" s="10"/>
      <c r="B71" s="38"/>
      <c r="C71" s="10"/>
      <c r="D71" s="10"/>
      <c r="E71" s="39"/>
      <c r="F71" s="12"/>
      <c r="G71" s="12"/>
      <c r="H71" s="10"/>
      <c r="I71" s="38"/>
      <c r="J71" s="10"/>
      <c r="K71" s="10"/>
      <c r="L71" s="10"/>
      <c r="M71" s="10"/>
      <c r="N71" s="10"/>
      <c r="O71" s="10"/>
      <c r="P71" s="12"/>
      <c r="Q71" s="10"/>
      <c r="R71" s="16"/>
    </row>
    <row r="72" ht="15.75" customHeight="1">
      <c r="A72" s="10"/>
      <c r="B72" s="38"/>
      <c r="C72" s="10"/>
      <c r="D72" s="10"/>
      <c r="E72" s="39"/>
      <c r="F72" s="12"/>
      <c r="G72" s="12"/>
      <c r="H72" s="10"/>
      <c r="I72" s="38"/>
      <c r="J72" s="10"/>
      <c r="K72" s="10"/>
      <c r="L72" s="10"/>
      <c r="M72" s="10"/>
      <c r="N72" s="10"/>
      <c r="O72" s="10"/>
      <c r="P72" s="12"/>
      <c r="Q72" s="10"/>
      <c r="R72" s="16"/>
    </row>
    <row r="73" ht="15.75" customHeight="1">
      <c r="A73" s="10"/>
      <c r="B73" s="38"/>
      <c r="C73" s="10"/>
      <c r="D73" s="10"/>
      <c r="E73" s="39"/>
      <c r="F73" s="12"/>
      <c r="G73" s="12"/>
      <c r="H73" s="10"/>
      <c r="I73" s="38"/>
      <c r="J73" s="10"/>
      <c r="K73" s="10"/>
      <c r="L73" s="10"/>
      <c r="M73" s="10"/>
      <c r="N73" s="10"/>
      <c r="O73" s="10"/>
      <c r="P73" s="12"/>
      <c r="Q73" s="10"/>
      <c r="R73" s="16"/>
    </row>
    <row r="74" ht="15.75" customHeight="1">
      <c r="A74" s="10"/>
      <c r="B74" s="38"/>
      <c r="C74" s="10"/>
      <c r="D74" s="10"/>
      <c r="E74" s="39"/>
      <c r="F74" s="12"/>
      <c r="G74" s="12"/>
      <c r="H74" s="10"/>
      <c r="I74" s="38"/>
      <c r="J74" s="10"/>
      <c r="K74" s="10"/>
      <c r="L74" s="10"/>
      <c r="M74" s="10"/>
      <c r="N74" s="10"/>
      <c r="O74" s="10"/>
      <c r="P74" s="12"/>
      <c r="Q74" s="10"/>
      <c r="R74" s="16"/>
    </row>
    <row r="75" ht="15.75" customHeight="1">
      <c r="A75" s="10"/>
      <c r="B75" s="38"/>
      <c r="C75" s="10"/>
      <c r="D75" s="10"/>
      <c r="E75" s="39"/>
      <c r="F75" s="12"/>
      <c r="G75" s="12"/>
      <c r="H75" s="10"/>
      <c r="I75" s="38"/>
      <c r="J75" s="10"/>
      <c r="K75" s="10"/>
      <c r="L75" s="10"/>
      <c r="M75" s="10"/>
      <c r="N75" s="10"/>
      <c r="O75" s="10"/>
      <c r="P75" s="12"/>
      <c r="Q75" s="10"/>
      <c r="R75" s="16"/>
    </row>
    <row r="76" ht="15.75" customHeight="1">
      <c r="A76" s="10"/>
      <c r="B76" s="38"/>
      <c r="C76" s="10"/>
      <c r="D76" s="10"/>
      <c r="E76" s="39"/>
      <c r="F76" s="12"/>
      <c r="G76" s="12"/>
      <c r="H76" s="10"/>
      <c r="I76" s="38"/>
      <c r="J76" s="10"/>
      <c r="K76" s="10"/>
      <c r="L76" s="10"/>
      <c r="M76" s="10"/>
      <c r="N76" s="10"/>
      <c r="O76" s="10"/>
      <c r="P76" s="12"/>
      <c r="Q76" s="10"/>
      <c r="R76" s="16"/>
    </row>
    <row r="77" ht="15.75" customHeight="1">
      <c r="A77" s="10"/>
      <c r="B77" s="38"/>
      <c r="C77" s="10"/>
      <c r="D77" s="10"/>
      <c r="E77" s="39"/>
      <c r="F77" s="12"/>
      <c r="G77" s="12"/>
      <c r="H77" s="10"/>
      <c r="I77" s="38"/>
      <c r="J77" s="10"/>
      <c r="K77" s="10"/>
      <c r="L77" s="10"/>
      <c r="M77" s="10"/>
      <c r="N77" s="10"/>
      <c r="O77" s="10"/>
      <c r="P77" s="12"/>
      <c r="Q77" s="10"/>
      <c r="R77" s="16"/>
    </row>
    <row r="78" ht="15.75" customHeight="1">
      <c r="A78" s="10"/>
      <c r="B78" s="38"/>
      <c r="C78" s="10"/>
      <c r="D78" s="10"/>
      <c r="E78" s="39"/>
      <c r="F78" s="12"/>
      <c r="G78" s="12"/>
      <c r="H78" s="10"/>
      <c r="I78" s="38"/>
      <c r="J78" s="10"/>
      <c r="K78" s="10"/>
      <c r="L78" s="10"/>
      <c r="M78" s="10"/>
      <c r="N78" s="10"/>
      <c r="O78" s="10"/>
      <c r="P78" s="12"/>
      <c r="Q78" s="10"/>
      <c r="R78" s="16"/>
    </row>
    <row r="79" ht="15.75" customHeight="1">
      <c r="A79" s="10"/>
      <c r="B79" s="38"/>
      <c r="C79" s="10"/>
      <c r="D79" s="10"/>
      <c r="E79" s="39"/>
      <c r="F79" s="12"/>
      <c r="G79" s="12"/>
      <c r="H79" s="10"/>
      <c r="I79" s="38"/>
      <c r="J79" s="10"/>
      <c r="K79" s="10"/>
      <c r="L79" s="10"/>
      <c r="M79" s="10"/>
      <c r="N79" s="10"/>
      <c r="O79" s="10"/>
      <c r="P79" s="12"/>
      <c r="Q79" s="10"/>
      <c r="R79" s="16"/>
    </row>
    <row r="80" ht="15.75" customHeight="1">
      <c r="A80" s="10"/>
      <c r="B80" s="38"/>
      <c r="C80" s="10"/>
      <c r="D80" s="10"/>
      <c r="E80" s="39"/>
      <c r="F80" s="12"/>
      <c r="G80" s="12"/>
      <c r="H80" s="10"/>
      <c r="I80" s="38"/>
      <c r="J80" s="10"/>
      <c r="K80" s="10"/>
      <c r="L80" s="10"/>
      <c r="M80" s="10"/>
      <c r="N80" s="10"/>
      <c r="O80" s="10"/>
      <c r="P80" s="12"/>
      <c r="Q80" s="10"/>
      <c r="R80" s="16"/>
    </row>
    <row r="81" ht="15.75" customHeight="1">
      <c r="A81" s="10"/>
      <c r="B81" s="38"/>
      <c r="C81" s="10"/>
      <c r="D81" s="10"/>
      <c r="E81" s="39"/>
      <c r="F81" s="12"/>
      <c r="G81" s="12"/>
      <c r="H81" s="10"/>
      <c r="I81" s="38"/>
      <c r="J81" s="10"/>
      <c r="K81" s="10"/>
      <c r="L81" s="10"/>
      <c r="M81" s="10"/>
      <c r="N81" s="10"/>
      <c r="O81" s="10"/>
      <c r="P81" s="12"/>
      <c r="Q81" s="10"/>
      <c r="R81" s="16"/>
    </row>
    <row r="82" ht="15.75" customHeight="1">
      <c r="A82" s="10"/>
      <c r="B82" s="38"/>
      <c r="C82" s="10"/>
      <c r="D82" s="10"/>
      <c r="E82" s="39"/>
      <c r="F82" s="12"/>
      <c r="G82" s="12"/>
      <c r="H82" s="10"/>
      <c r="I82" s="38"/>
      <c r="J82" s="10"/>
      <c r="K82" s="10"/>
      <c r="L82" s="10"/>
      <c r="M82" s="10"/>
      <c r="N82" s="10"/>
      <c r="O82" s="10"/>
      <c r="P82" s="12"/>
      <c r="Q82" s="10"/>
      <c r="R82" s="16"/>
    </row>
    <row r="83" ht="15.75" customHeight="1">
      <c r="A83" s="10"/>
      <c r="B83" s="38"/>
      <c r="C83" s="10"/>
      <c r="D83" s="10"/>
      <c r="E83" s="39"/>
      <c r="F83" s="12"/>
      <c r="G83" s="12"/>
      <c r="H83" s="10"/>
      <c r="I83" s="38"/>
      <c r="J83" s="10"/>
      <c r="K83" s="10"/>
      <c r="L83" s="10"/>
      <c r="M83" s="10"/>
      <c r="N83" s="10"/>
      <c r="O83" s="10"/>
      <c r="P83" s="12"/>
      <c r="Q83" s="10"/>
      <c r="R83" s="16"/>
    </row>
    <row r="84" ht="15.75" customHeight="1">
      <c r="A84" s="10"/>
      <c r="B84" s="38"/>
      <c r="C84" s="10"/>
      <c r="D84" s="10"/>
      <c r="E84" s="39"/>
      <c r="F84" s="12"/>
      <c r="G84" s="12"/>
      <c r="H84" s="10"/>
      <c r="I84" s="38"/>
      <c r="J84" s="10"/>
      <c r="K84" s="10"/>
      <c r="L84" s="10"/>
      <c r="M84" s="10"/>
      <c r="N84" s="10"/>
      <c r="O84" s="10"/>
      <c r="P84" s="12"/>
      <c r="Q84" s="10"/>
      <c r="R84" s="16"/>
    </row>
    <row r="85" ht="15.75" customHeight="1">
      <c r="A85" s="10"/>
      <c r="B85" s="38"/>
      <c r="C85" s="10"/>
      <c r="D85" s="10"/>
      <c r="E85" s="39"/>
      <c r="F85" s="12"/>
      <c r="G85" s="12"/>
      <c r="H85" s="10"/>
      <c r="I85" s="38"/>
      <c r="J85" s="10"/>
      <c r="K85" s="10"/>
      <c r="L85" s="10"/>
      <c r="M85" s="10"/>
      <c r="N85" s="10"/>
      <c r="O85" s="10"/>
      <c r="P85" s="12"/>
      <c r="Q85" s="10"/>
      <c r="R85" s="16"/>
    </row>
    <row r="86" ht="15.75" customHeight="1">
      <c r="A86" s="10"/>
      <c r="B86" s="38"/>
      <c r="C86" s="10"/>
      <c r="D86" s="10"/>
      <c r="E86" s="39"/>
      <c r="F86" s="12"/>
      <c r="G86" s="12"/>
      <c r="H86" s="10"/>
      <c r="I86" s="38"/>
      <c r="J86" s="10"/>
      <c r="K86" s="10"/>
      <c r="L86" s="10"/>
      <c r="M86" s="10"/>
      <c r="N86" s="10"/>
      <c r="O86" s="10"/>
      <c r="P86" s="12"/>
      <c r="Q86" s="10"/>
      <c r="R86" s="16"/>
    </row>
    <row r="87" ht="15.75" customHeight="1">
      <c r="A87" s="10"/>
      <c r="B87" s="38"/>
      <c r="C87" s="10"/>
      <c r="D87" s="10"/>
      <c r="E87" s="39"/>
      <c r="F87" s="12"/>
      <c r="G87" s="12"/>
      <c r="H87" s="10"/>
      <c r="I87" s="38"/>
      <c r="J87" s="10"/>
      <c r="K87" s="10"/>
      <c r="L87" s="10"/>
      <c r="M87" s="10"/>
      <c r="N87" s="10"/>
      <c r="O87" s="10"/>
      <c r="P87" s="12"/>
      <c r="Q87" s="10"/>
      <c r="R87" s="16"/>
    </row>
    <row r="88" ht="15.75" customHeight="1">
      <c r="A88" s="10"/>
      <c r="B88" s="38"/>
      <c r="C88" s="10"/>
      <c r="D88" s="10"/>
      <c r="E88" s="39"/>
      <c r="F88" s="12"/>
      <c r="G88" s="12"/>
      <c r="H88" s="10"/>
      <c r="I88" s="38"/>
      <c r="J88" s="10"/>
      <c r="K88" s="10"/>
      <c r="L88" s="10"/>
      <c r="M88" s="10"/>
      <c r="N88" s="10"/>
      <c r="O88" s="10"/>
      <c r="P88" s="12"/>
      <c r="Q88" s="10"/>
      <c r="R88" s="16"/>
    </row>
    <row r="89" ht="15.75" customHeight="1">
      <c r="A89" s="10"/>
      <c r="B89" s="38"/>
      <c r="C89" s="10"/>
      <c r="D89" s="10"/>
      <c r="E89" s="39"/>
      <c r="F89" s="12"/>
      <c r="G89" s="12"/>
      <c r="H89" s="10"/>
      <c r="I89" s="38"/>
      <c r="J89" s="10"/>
      <c r="K89" s="10"/>
      <c r="L89" s="10"/>
      <c r="M89" s="10"/>
      <c r="N89" s="10"/>
      <c r="O89" s="10"/>
      <c r="P89" s="12"/>
      <c r="Q89" s="10"/>
      <c r="R89" s="16"/>
    </row>
    <row r="90" ht="15.75" customHeight="1">
      <c r="A90" s="10"/>
      <c r="B90" s="38"/>
      <c r="C90" s="10"/>
      <c r="D90" s="10"/>
      <c r="E90" s="39"/>
      <c r="F90" s="12"/>
      <c r="G90" s="12"/>
      <c r="H90" s="10"/>
      <c r="I90" s="38"/>
      <c r="J90" s="10"/>
      <c r="K90" s="10"/>
      <c r="L90" s="10"/>
      <c r="M90" s="10"/>
      <c r="N90" s="10"/>
      <c r="O90" s="10"/>
      <c r="P90" s="12"/>
      <c r="Q90" s="10"/>
      <c r="R90" s="16"/>
    </row>
    <row r="91" ht="15.75" customHeight="1">
      <c r="A91" s="10"/>
      <c r="B91" s="38"/>
      <c r="C91" s="10"/>
      <c r="D91" s="10"/>
      <c r="E91" s="39"/>
      <c r="F91" s="12"/>
      <c r="G91" s="12"/>
      <c r="H91" s="10"/>
      <c r="I91" s="38"/>
      <c r="J91" s="10"/>
      <c r="K91" s="10"/>
      <c r="L91" s="10"/>
      <c r="M91" s="10"/>
      <c r="N91" s="10"/>
      <c r="O91" s="10"/>
      <c r="P91" s="12"/>
      <c r="Q91" s="10"/>
      <c r="R91" s="16"/>
    </row>
    <row r="92" ht="15.75" customHeight="1">
      <c r="A92" s="10"/>
      <c r="B92" s="38"/>
      <c r="C92" s="10"/>
      <c r="D92" s="10"/>
      <c r="E92" s="39"/>
      <c r="F92" s="12"/>
      <c r="G92" s="12"/>
      <c r="H92" s="10"/>
      <c r="I92" s="38"/>
      <c r="J92" s="10"/>
      <c r="K92" s="10"/>
      <c r="L92" s="10"/>
      <c r="M92" s="10"/>
      <c r="N92" s="10"/>
      <c r="O92" s="10"/>
      <c r="P92" s="12"/>
      <c r="Q92" s="10"/>
      <c r="R92" s="16"/>
    </row>
    <row r="93" ht="15.75" customHeight="1">
      <c r="A93" s="10"/>
      <c r="B93" s="38"/>
      <c r="C93" s="10"/>
      <c r="D93" s="10"/>
      <c r="E93" s="39"/>
      <c r="F93" s="12"/>
      <c r="G93" s="12"/>
      <c r="H93" s="10"/>
      <c r="I93" s="38"/>
      <c r="J93" s="10"/>
      <c r="K93" s="10"/>
      <c r="L93" s="10"/>
      <c r="M93" s="10"/>
      <c r="N93" s="10"/>
      <c r="O93" s="10"/>
      <c r="P93" s="12"/>
      <c r="Q93" s="10"/>
      <c r="R93" s="16"/>
    </row>
    <row r="94" ht="15.75" customHeight="1">
      <c r="A94" s="10"/>
      <c r="B94" s="38"/>
      <c r="C94" s="10"/>
      <c r="D94" s="10"/>
      <c r="E94" s="39"/>
      <c r="F94" s="12"/>
      <c r="G94" s="12"/>
      <c r="H94" s="10"/>
      <c r="I94" s="38"/>
      <c r="J94" s="10"/>
      <c r="K94" s="10"/>
      <c r="L94" s="10"/>
      <c r="M94" s="10"/>
      <c r="N94" s="10"/>
      <c r="O94" s="10"/>
      <c r="P94" s="12"/>
      <c r="Q94" s="10"/>
      <c r="R94" s="16"/>
    </row>
    <row r="95" ht="15.75" customHeight="1">
      <c r="A95" s="10"/>
      <c r="B95" s="38"/>
      <c r="C95" s="10"/>
      <c r="D95" s="10"/>
      <c r="E95" s="39"/>
      <c r="F95" s="12"/>
      <c r="G95" s="12"/>
      <c r="H95" s="10"/>
      <c r="I95" s="38"/>
      <c r="J95" s="10"/>
      <c r="K95" s="10"/>
      <c r="L95" s="10"/>
      <c r="M95" s="10"/>
      <c r="N95" s="10"/>
      <c r="O95" s="10"/>
      <c r="P95" s="12"/>
      <c r="Q95" s="10"/>
      <c r="R95" s="16"/>
    </row>
    <row r="96" ht="15.75" customHeight="1">
      <c r="A96" s="10"/>
      <c r="B96" s="38"/>
      <c r="C96" s="10"/>
      <c r="D96" s="10"/>
      <c r="E96" s="39"/>
      <c r="F96" s="12"/>
      <c r="G96" s="12"/>
      <c r="H96" s="10"/>
      <c r="I96" s="38"/>
      <c r="J96" s="10"/>
      <c r="K96" s="10"/>
      <c r="L96" s="10"/>
      <c r="M96" s="10"/>
      <c r="N96" s="10"/>
      <c r="O96" s="10"/>
      <c r="P96" s="12"/>
      <c r="Q96" s="10"/>
      <c r="R96" s="16"/>
    </row>
    <row r="97" ht="15.75" customHeight="1">
      <c r="A97" s="10"/>
      <c r="B97" s="38"/>
      <c r="C97" s="10"/>
      <c r="D97" s="10"/>
      <c r="E97" s="39"/>
      <c r="F97" s="12"/>
      <c r="G97" s="12"/>
      <c r="H97" s="10"/>
      <c r="I97" s="38"/>
      <c r="J97" s="10"/>
      <c r="K97" s="10"/>
      <c r="L97" s="10"/>
      <c r="M97" s="10"/>
      <c r="N97" s="10"/>
      <c r="O97" s="10"/>
      <c r="P97" s="12"/>
      <c r="Q97" s="10"/>
      <c r="R97" s="16"/>
    </row>
    <row r="98" ht="15.75" customHeight="1">
      <c r="A98" s="10"/>
      <c r="B98" s="38"/>
      <c r="C98" s="10"/>
      <c r="D98" s="10"/>
      <c r="E98" s="39"/>
      <c r="F98" s="12"/>
      <c r="G98" s="12"/>
      <c r="H98" s="10"/>
      <c r="I98" s="38"/>
      <c r="J98" s="10"/>
      <c r="K98" s="10"/>
      <c r="L98" s="10"/>
      <c r="M98" s="10"/>
      <c r="N98" s="10"/>
      <c r="O98" s="10"/>
      <c r="P98" s="12"/>
      <c r="Q98" s="10"/>
      <c r="R98" s="16"/>
    </row>
    <row r="99" ht="15.75" customHeight="1">
      <c r="A99" s="10"/>
      <c r="B99" s="38"/>
      <c r="C99" s="10"/>
      <c r="D99" s="10"/>
      <c r="E99" s="39"/>
      <c r="F99" s="12"/>
      <c r="G99" s="12"/>
      <c r="H99" s="10"/>
      <c r="I99" s="38"/>
      <c r="J99" s="10"/>
      <c r="K99" s="10"/>
      <c r="L99" s="10"/>
      <c r="M99" s="10"/>
      <c r="N99" s="10"/>
      <c r="O99" s="10"/>
      <c r="P99" s="12"/>
      <c r="Q99" s="10"/>
      <c r="R99" s="16"/>
    </row>
    <row r="100" ht="15.75" customHeight="1">
      <c r="A100" s="10"/>
      <c r="B100" s="38"/>
      <c r="C100" s="10"/>
      <c r="D100" s="10"/>
      <c r="E100" s="39"/>
      <c r="F100" s="12"/>
      <c r="G100" s="12"/>
      <c r="H100" s="10"/>
      <c r="I100" s="38"/>
      <c r="J100" s="10"/>
      <c r="K100" s="10"/>
      <c r="L100" s="10"/>
      <c r="M100" s="10"/>
      <c r="N100" s="10"/>
      <c r="O100" s="10"/>
      <c r="P100" s="12"/>
      <c r="Q100" s="10"/>
      <c r="R100" s="16"/>
    </row>
    <row r="101" ht="15.75" customHeight="1">
      <c r="A101" s="10"/>
      <c r="B101" s="38"/>
      <c r="C101" s="10"/>
      <c r="D101" s="10"/>
      <c r="E101" s="39"/>
      <c r="F101" s="12"/>
      <c r="G101" s="12"/>
      <c r="H101" s="10"/>
      <c r="I101" s="38"/>
      <c r="J101" s="10"/>
      <c r="K101" s="10"/>
      <c r="L101" s="10"/>
      <c r="M101" s="10"/>
      <c r="N101" s="10"/>
      <c r="O101" s="10"/>
      <c r="P101" s="12"/>
      <c r="Q101" s="10"/>
      <c r="R101" s="16"/>
    </row>
    <row r="102" ht="15.75" customHeight="1">
      <c r="A102" s="10"/>
      <c r="B102" s="38"/>
      <c r="C102" s="10"/>
      <c r="D102" s="10"/>
      <c r="E102" s="39"/>
      <c r="F102" s="12"/>
      <c r="G102" s="12"/>
      <c r="H102" s="10"/>
      <c r="I102" s="38"/>
      <c r="J102" s="10"/>
      <c r="K102" s="10"/>
      <c r="L102" s="10"/>
      <c r="M102" s="10"/>
      <c r="N102" s="10"/>
      <c r="O102" s="10"/>
      <c r="P102" s="12"/>
      <c r="Q102" s="10"/>
      <c r="R102" s="16"/>
    </row>
    <row r="103" ht="15.75" customHeight="1">
      <c r="A103" s="10"/>
      <c r="B103" s="38"/>
      <c r="C103" s="10"/>
      <c r="D103" s="10"/>
      <c r="E103" s="39"/>
      <c r="F103" s="12"/>
      <c r="G103" s="12"/>
      <c r="H103" s="10"/>
      <c r="I103" s="38"/>
      <c r="J103" s="10"/>
      <c r="K103" s="10"/>
      <c r="L103" s="10"/>
      <c r="M103" s="10"/>
      <c r="N103" s="10"/>
      <c r="O103" s="10"/>
      <c r="P103" s="12"/>
      <c r="Q103" s="10"/>
      <c r="R103" s="16"/>
    </row>
    <row r="104" ht="15.75" customHeight="1">
      <c r="A104" s="10"/>
      <c r="B104" s="38"/>
      <c r="C104" s="10"/>
      <c r="D104" s="10"/>
      <c r="E104" s="39"/>
      <c r="F104" s="12"/>
      <c r="G104" s="12"/>
      <c r="H104" s="10"/>
      <c r="I104" s="38"/>
      <c r="J104" s="10"/>
      <c r="K104" s="10"/>
      <c r="L104" s="10"/>
      <c r="M104" s="10"/>
      <c r="N104" s="10"/>
      <c r="O104" s="10"/>
      <c r="P104" s="12"/>
      <c r="Q104" s="10"/>
      <c r="R104" s="16"/>
    </row>
    <row r="105" ht="15.75" customHeight="1">
      <c r="A105" s="10"/>
      <c r="B105" s="38"/>
      <c r="C105" s="10"/>
      <c r="D105" s="10"/>
      <c r="E105" s="39"/>
      <c r="F105" s="12"/>
      <c r="G105" s="12"/>
      <c r="H105" s="10"/>
      <c r="I105" s="38"/>
      <c r="J105" s="10"/>
      <c r="K105" s="10"/>
      <c r="L105" s="10"/>
      <c r="M105" s="10"/>
      <c r="N105" s="10"/>
      <c r="O105" s="10"/>
      <c r="P105" s="12"/>
      <c r="Q105" s="10"/>
      <c r="R105" s="16"/>
    </row>
    <row r="106" ht="15.75" customHeight="1">
      <c r="A106" s="10"/>
      <c r="B106" s="38"/>
      <c r="C106" s="10"/>
      <c r="D106" s="10"/>
      <c r="E106" s="39"/>
      <c r="F106" s="12"/>
      <c r="G106" s="12"/>
      <c r="H106" s="10"/>
      <c r="I106" s="38"/>
      <c r="J106" s="10"/>
      <c r="K106" s="10"/>
      <c r="L106" s="10"/>
      <c r="M106" s="10"/>
      <c r="N106" s="10"/>
      <c r="O106" s="10"/>
      <c r="P106" s="12"/>
      <c r="Q106" s="10"/>
      <c r="R106" s="16"/>
    </row>
    <row r="107" ht="15.75" customHeight="1">
      <c r="A107" s="10"/>
      <c r="B107" s="38"/>
      <c r="C107" s="10"/>
      <c r="D107" s="10"/>
      <c r="E107" s="39"/>
      <c r="F107" s="12"/>
      <c r="G107" s="12"/>
      <c r="H107" s="10"/>
      <c r="I107" s="38"/>
      <c r="J107" s="10"/>
      <c r="K107" s="10"/>
      <c r="L107" s="10"/>
      <c r="M107" s="10"/>
      <c r="N107" s="10"/>
      <c r="O107" s="10"/>
      <c r="P107" s="12"/>
      <c r="Q107" s="10"/>
      <c r="R107" s="16"/>
    </row>
    <row r="108" ht="15.75" customHeight="1">
      <c r="A108" s="10"/>
      <c r="B108" s="38"/>
      <c r="C108" s="10"/>
      <c r="D108" s="10"/>
      <c r="E108" s="39"/>
      <c r="F108" s="12"/>
      <c r="G108" s="12"/>
      <c r="H108" s="10"/>
      <c r="I108" s="38"/>
      <c r="J108" s="10"/>
      <c r="K108" s="10"/>
      <c r="L108" s="10"/>
      <c r="M108" s="10"/>
      <c r="N108" s="10"/>
      <c r="O108" s="10"/>
      <c r="P108" s="12"/>
      <c r="Q108" s="10"/>
      <c r="R108" s="16"/>
    </row>
    <row r="109" ht="15.75" customHeight="1">
      <c r="A109" s="10"/>
      <c r="B109" s="38"/>
      <c r="C109" s="10"/>
      <c r="D109" s="10"/>
      <c r="E109" s="39"/>
      <c r="F109" s="12"/>
      <c r="G109" s="12"/>
      <c r="H109" s="10"/>
      <c r="I109" s="38"/>
      <c r="J109" s="10"/>
      <c r="K109" s="10"/>
      <c r="L109" s="10"/>
      <c r="M109" s="10"/>
      <c r="N109" s="10"/>
      <c r="O109" s="10"/>
      <c r="P109" s="12"/>
      <c r="Q109" s="10"/>
      <c r="R109" s="16"/>
    </row>
    <row r="110" ht="15.75" customHeight="1">
      <c r="A110" s="10"/>
      <c r="B110" s="38"/>
      <c r="C110" s="10"/>
      <c r="D110" s="10"/>
      <c r="E110" s="39"/>
      <c r="F110" s="12"/>
      <c r="G110" s="12"/>
      <c r="H110" s="10"/>
      <c r="I110" s="38"/>
      <c r="J110" s="10"/>
      <c r="K110" s="10"/>
      <c r="L110" s="10"/>
      <c r="M110" s="10"/>
      <c r="N110" s="10"/>
      <c r="O110" s="10"/>
      <c r="P110" s="12"/>
      <c r="Q110" s="10"/>
      <c r="R110" s="16"/>
    </row>
    <row r="111" ht="15.75" customHeight="1">
      <c r="A111" s="10"/>
      <c r="B111" s="38"/>
      <c r="C111" s="10"/>
      <c r="D111" s="10"/>
      <c r="E111" s="39"/>
      <c r="F111" s="12"/>
      <c r="G111" s="12"/>
      <c r="H111" s="10"/>
      <c r="I111" s="38"/>
      <c r="J111" s="10"/>
      <c r="K111" s="10"/>
      <c r="L111" s="10"/>
      <c r="M111" s="10"/>
      <c r="N111" s="10"/>
      <c r="O111" s="10"/>
      <c r="P111" s="12"/>
      <c r="Q111" s="10"/>
      <c r="R111" s="16"/>
    </row>
    <row r="112" ht="15.75" customHeight="1">
      <c r="A112" s="10"/>
      <c r="B112" s="38"/>
      <c r="C112" s="10"/>
      <c r="D112" s="10"/>
      <c r="E112" s="39"/>
      <c r="F112" s="12"/>
      <c r="G112" s="12"/>
      <c r="H112" s="10"/>
      <c r="I112" s="38"/>
      <c r="J112" s="10"/>
      <c r="K112" s="10"/>
      <c r="L112" s="10"/>
      <c r="M112" s="10"/>
      <c r="N112" s="10"/>
      <c r="O112" s="10"/>
      <c r="P112" s="12"/>
      <c r="Q112" s="10"/>
      <c r="R112" s="16"/>
    </row>
    <row r="113" ht="15.75" customHeight="1">
      <c r="A113" s="10"/>
      <c r="B113" s="38"/>
      <c r="C113" s="10"/>
      <c r="D113" s="10"/>
      <c r="E113" s="39"/>
      <c r="F113" s="12"/>
      <c r="G113" s="12"/>
      <c r="H113" s="10"/>
      <c r="I113" s="38"/>
      <c r="J113" s="10"/>
      <c r="K113" s="10"/>
      <c r="L113" s="10"/>
      <c r="M113" s="10"/>
      <c r="N113" s="10"/>
      <c r="O113" s="10"/>
      <c r="P113" s="12"/>
      <c r="Q113" s="10"/>
      <c r="R113" s="16"/>
    </row>
    <row r="114" ht="15.75" customHeight="1">
      <c r="A114" s="10"/>
      <c r="B114" s="38"/>
      <c r="C114" s="10"/>
      <c r="D114" s="10"/>
      <c r="E114" s="39"/>
      <c r="F114" s="12"/>
      <c r="G114" s="12"/>
      <c r="H114" s="10"/>
      <c r="I114" s="38"/>
      <c r="J114" s="10"/>
      <c r="K114" s="10"/>
      <c r="L114" s="10"/>
      <c r="M114" s="10"/>
      <c r="N114" s="10"/>
      <c r="O114" s="10"/>
      <c r="P114" s="12"/>
      <c r="Q114" s="10"/>
      <c r="R114" s="16"/>
    </row>
    <row r="115" ht="15.75" customHeight="1">
      <c r="A115" s="10"/>
      <c r="B115" s="38"/>
      <c r="C115" s="10"/>
      <c r="D115" s="10"/>
      <c r="E115" s="39"/>
      <c r="F115" s="12"/>
      <c r="G115" s="12"/>
      <c r="H115" s="10"/>
      <c r="I115" s="38"/>
      <c r="J115" s="10"/>
      <c r="K115" s="10"/>
      <c r="L115" s="10"/>
      <c r="M115" s="10"/>
      <c r="N115" s="10"/>
      <c r="O115" s="10"/>
      <c r="P115" s="12"/>
      <c r="Q115" s="10"/>
      <c r="R115" s="16"/>
    </row>
    <row r="116" ht="15.75" customHeight="1">
      <c r="A116" s="10"/>
      <c r="B116" s="38"/>
      <c r="C116" s="10"/>
      <c r="D116" s="10"/>
      <c r="E116" s="39"/>
      <c r="F116" s="12"/>
      <c r="G116" s="12"/>
      <c r="H116" s="10"/>
      <c r="I116" s="38"/>
      <c r="J116" s="10"/>
      <c r="K116" s="10"/>
      <c r="L116" s="10"/>
      <c r="M116" s="10"/>
      <c r="N116" s="10"/>
      <c r="O116" s="10"/>
      <c r="P116" s="12"/>
      <c r="Q116" s="10"/>
      <c r="R116" s="16"/>
    </row>
    <row r="117" ht="15.75" customHeight="1">
      <c r="A117" s="10"/>
      <c r="B117" s="38"/>
      <c r="C117" s="10"/>
      <c r="D117" s="10"/>
      <c r="E117" s="39"/>
      <c r="F117" s="12"/>
      <c r="G117" s="12"/>
      <c r="H117" s="10"/>
      <c r="I117" s="38"/>
      <c r="J117" s="10"/>
      <c r="K117" s="10"/>
      <c r="L117" s="10"/>
      <c r="M117" s="10"/>
      <c r="N117" s="10"/>
      <c r="O117" s="10"/>
      <c r="P117" s="12"/>
      <c r="Q117" s="10"/>
      <c r="R117" s="16"/>
    </row>
    <row r="118" ht="15.75" customHeight="1">
      <c r="A118" s="10"/>
      <c r="B118" s="38"/>
      <c r="C118" s="10"/>
      <c r="D118" s="10"/>
      <c r="E118" s="39"/>
      <c r="F118" s="12"/>
      <c r="G118" s="12"/>
      <c r="H118" s="10"/>
      <c r="I118" s="38"/>
      <c r="J118" s="10"/>
      <c r="K118" s="10"/>
      <c r="L118" s="10"/>
      <c r="M118" s="10"/>
      <c r="N118" s="10"/>
      <c r="O118" s="10"/>
      <c r="P118" s="12"/>
      <c r="Q118" s="10"/>
      <c r="R118" s="16"/>
    </row>
    <row r="119" ht="15.75" customHeight="1">
      <c r="A119" s="10"/>
      <c r="B119" s="38"/>
      <c r="C119" s="10"/>
      <c r="D119" s="10"/>
      <c r="E119" s="39"/>
      <c r="F119" s="12"/>
      <c r="G119" s="12"/>
      <c r="H119" s="10"/>
      <c r="I119" s="38"/>
      <c r="J119" s="10"/>
      <c r="K119" s="10"/>
      <c r="L119" s="10"/>
      <c r="M119" s="10"/>
      <c r="N119" s="10"/>
      <c r="O119" s="10"/>
      <c r="P119" s="12"/>
      <c r="Q119" s="10"/>
      <c r="R119" s="16"/>
    </row>
    <row r="120" ht="15.75" customHeight="1">
      <c r="A120" s="10"/>
      <c r="B120" s="38"/>
      <c r="C120" s="10"/>
      <c r="D120" s="10"/>
      <c r="E120" s="39"/>
      <c r="F120" s="12"/>
      <c r="G120" s="12"/>
      <c r="H120" s="10"/>
      <c r="I120" s="38"/>
      <c r="J120" s="10"/>
      <c r="K120" s="10"/>
      <c r="L120" s="10"/>
      <c r="M120" s="10"/>
      <c r="N120" s="10"/>
      <c r="O120" s="10"/>
      <c r="P120" s="12"/>
      <c r="Q120" s="10"/>
      <c r="R120" s="16"/>
    </row>
    <row r="121" ht="15.75" customHeight="1">
      <c r="A121" s="10"/>
      <c r="B121" s="38"/>
      <c r="C121" s="10"/>
      <c r="D121" s="10"/>
      <c r="E121" s="39"/>
      <c r="F121" s="12"/>
      <c r="G121" s="12"/>
      <c r="H121" s="10"/>
      <c r="I121" s="38"/>
      <c r="J121" s="10"/>
      <c r="K121" s="10"/>
      <c r="L121" s="10"/>
      <c r="M121" s="10"/>
      <c r="N121" s="10"/>
      <c r="O121" s="10"/>
      <c r="P121" s="12"/>
      <c r="Q121" s="10"/>
      <c r="R121" s="16"/>
    </row>
    <row r="122" ht="15.75" customHeight="1">
      <c r="A122" s="10"/>
      <c r="B122" s="38"/>
      <c r="C122" s="10"/>
      <c r="D122" s="10"/>
      <c r="E122" s="39"/>
      <c r="F122" s="12"/>
      <c r="G122" s="12"/>
      <c r="H122" s="10"/>
      <c r="I122" s="38"/>
      <c r="J122" s="10"/>
      <c r="K122" s="10"/>
      <c r="L122" s="10"/>
      <c r="M122" s="10"/>
      <c r="N122" s="10"/>
      <c r="O122" s="10"/>
      <c r="P122" s="12"/>
      <c r="Q122" s="10"/>
      <c r="R122" s="16"/>
    </row>
    <row r="123" ht="15.75" customHeight="1">
      <c r="A123" s="10"/>
      <c r="B123" s="38"/>
      <c r="C123" s="10"/>
      <c r="D123" s="10"/>
      <c r="E123" s="39"/>
      <c r="F123" s="12"/>
      <c r="G123" s="12"/>
      <c r="H123" s="10"/>
      <c r="I123" s="38"/>
      <c r="J123" s="10"/>
      <c r="K123" s="10"/>
      <c r="L123" s="10"/>
      <c r="M123" s="10"/>
      <c r="N123" s="10"/>
      <c r="O123" s="10"/>
      <c r="P123" s="12"/>
      <c r="Q123" s="10"/>
      <c r="R123" s="16"/>
    </row>
    <row r="124" ht="15.75" customHeight="1">
      <c r="A124" s="10"/>
      <c r="B124" s="38"/>
      <c r="C124" s="10"/>
      <c r="D124" s="10"/>
      <c r="E124" s="39"/>
      <c r="F124" s="12"/>
      <c r="G124" s="12"/>
      <c r="H124" s="10"/>
      <c r="I124" s="38"/>
      <c r="J124" s="10"/>
      <c r="K124" s="10"/>
      <c r="L124" s="10"/>
      <c r="M124" s="10"/>
      <c r="N124" s="10"/>
      <c r="O124" s="10"/>
      <c r="P124" s="12"/>
      <c r="Q124" s="10"/>
      <c r="R124" s="16"/>
    </row>
    <row r="125" ht="15.75" customHeight="1">
      <c r="A125" s="10"/>
      <c r="B125" s="38"/>
      <c r="C125" s="10"/>
      <c r="D125" s="10"/>
      <c r="E125" s="39"/>
      <c r="F125" s="12"/>
      <c r="G125" s="12"/>
      <c r="H125" s="10"/>
      <c r="I125" s="38"/>
      <c r="J125" s="10"/>
      <c r="K125" s="10"/>
      <c r="L125" s="10"/>
      <c r="M125" s="10"/>
      <c r="N125" s="10"/>
      <c r="O125" s="10"/>
      <c r="P125" s="12"/>
      <c r="Q125" s="10"/>
      <c r="R125" s="16"/>
    </row>
    <row r="126" ht="15.75" customHeight="1">
      <c r="A126" s="10"/>
      <c r="B126" s="38"/>
      <c r="C126" s="10"/>
      <c r="D126" s="10"/>
      <c r="E126" s="39"/>
      <c r="F126" s="12"/>
      <c r="G126" s="12"/>
      <c r="H126" s="10"/>
      <c r="I126" s="38"/>
      <c r="J126" s="10"/>
      <c r="K126" s="10"/>
      <c r="L126" s="10"/>
      <c r="M126" s="10"/>
      <c r="N126" s="10"/>
      <c r="O126" s="10"/>
      <c r="P126" s="12"/>
      <c r="Q126" s="10"/>
      <c r="R126" s="16"/>
    </row>
    <row r="127" ht="15.75" customHeight="1">
      <c r="A127" s="10"/>
      <c r="B127" s="38"/>
      <c r="C127" s="10"/>
      <c r="D127" s="10"/>
      <c r="E127" s="39"/>
      <c r="F127" s="12"/>
      <c r="G127" s="12"/>
      <c r="H127" s="10"/>
      <c r="I127" s="38"/>
      <c r="J127" s="10"/>
      <c r="K127" s="10"/>
      <c r="L127" s="10"/>
      <c r="M127" s="10"/>
      <c r="N127" s="10"/>
      <c r="O127" s="10"/>
      <c r="P127" s="12"/>
      <c r="Q127" s="10"/>
      <c r="R127" s="16"/>
    </row>
    <row r="128" ht="15.75" customHeight="1">
      <c r="A128" s="10"/>
      <c r="B128" s="38"/>
      <c r="C128" s="10"/>
      <c r="D128" s="10"/>
      <c r="E128" s="39"/>
      <c r="F128" s="12"/>
      <c r="G128" s="12"/>
      <c r="H128" s="10"/>
      <c r="I128" s="38"/>
      <c r="J128" s="10"/>
      <c r="K128" s="10"/>
      <c r="L128" s="10"/>
      <c r="M128" s="10"/>
      <c r="N128" s="10"/>
      <c r="O128" s="10"/>
      <c r="P128" s="12"/>
      <c r="Q128" s="10"/>
      <c r="R128" s="16"/>
    </row>
    <row r="129" ht="15.75" customHeight="1">
      <c r="A129" s="10"/>
      <c r="B129" s="38"/>
      <c r="C129" s="10"/>
      <c r="D129" s="10"/>
      <c r="E129" s="39"/>
      <c r="F129" s="12"/>
      <c r="G129" s="12"/>
      <c r="H129" s="10"/>
      <c r="I129" s="38"/>
      <c r="J129" s="10"/>
      <c r="K129" s="10"/>
      <c r="L129" s="10"/>
      <c r="M129" s="10"/>
      <c r="N129" s="10"/>
      <c r="O129" s="10"/>
      <c r="P129" s="12"/>
      <c r="Q129" s="10"/>
      <c r="R129" s="16"/>
    </row>
    <row r="130" ht="15.75" customHeight="1">
      <c r="A130" s="10"/>
      <c r="B130" s="38"/>
      <c r="C130" s="10"/>
      <c r="D130" s="10"/>
      <c r="E130" s="39"/>
      <c r="F130" s="12"/>
      <c r="G130" s="12"/>
      <c r="H130" s="10"/>
      <c r="I130" s="38"/>
      <c r="J130" s="10"/>
      <c r="K130" s="10"/>
      <c r="L130" s="10"/>
      <c r="M130" s="10"/>
      <c r="N130" s="10"/>
      <c r="O130" s="10"/>
      <c r="P130" s="12"/>
      <c r="Q130" s="10"/>
      <c r="R130" s="16"/>
    </row>
    <row r="131" ht="15.75" customHeight="1">
      <c r="A131" s="10"/>
      <c r="B131" s="38"/>
      <c r="C131" s="10"/>
      <c r="D131" s="10"/>
      <c r="E131" s="39"/>
      <c r="F131" s="12"/>
      <c r="G131" s="12"/>
      <c r="H131" s="10"/>
      <c r="I131" s="38"/>
      <c r="J131" s="10"/>
      <c r="K131" s="10"/>
      <c r="L131" s="10"/>
      <c r="M131" s="10"/>
      <c r="N131" s="10"/>
      <c r="O131" s="10"/>
      <c r="P131" s="12"/>
      <c r="Q131" s="10"/>
      <c r="R131" s="16"/>
    </row>
    <row r="132" ht="15.75" customHeight="1">
      <c r="A132" s="10"/>
      <c r="B132" s="38"/>
      <c r="C132" s="10"/>
      <c r="D132" s="10"/>
      <c r="E132" s="39"/>
      <c r="F132" s="12"/>
      <c r="G132" s="12"/>
      <c r="H132" s="10"/>
      <c r="I132" s="38"/>
      <c r="J132" s="10"/>
      <c r="K132" s="10"/>
      <c r="L132" s="10"/>
      <c r="M132" s="10"/>
      <c r="N132" s="10"/>
      <c r="O132" s="10"/>
      <c r="P132" s="12"/>
      <c r="Q132" s="10"/>
      <c r="R132" s="16"/>
    </row>
    <row r="133" ht="15.75" customHeight="1">
      <c r="A133" s="10"/>
      <c r="B133" s="38"/>
      <c r="C133" s="10"/>
      <c r="D133" s="10"/>
      <c r="E133" s="39"/>
      <c r="F133" s="12"/>
      <c r="G133" s="12"/>
      <c r="H133" s="10"/>
      <c r="I133" s="38"/>
      <c r="J133" s="10"/>
      <c r="K133" s="10"/>
      <c r="L133" s="10"/>
      <c r="M133" s="10"/>
      <c r="N133" s="10"/>
      <c r="O133" s="10"/>
      <c r="P133" s="12"/>
      <c r="Q133" s="10"/>
      <c r="R133" s="16"/>
    </row>
    <row r="134" ht="15.75" customHeight="1">
      <c r="A134" s="10"/>
      <c r="B134" s="38"/>
      <c r="C134" s="10"/>
      <c r="D134" s="10"/>
      <c r="E134" s="39"/>
      <c r="F134" s="12"/>
      <c r="G134" s="12"/>
      <c r="H134" s="10"/>
      <c r="I134" s="38"/>
      <c r="J134" s="10"/>
      <c r="K134" s="10"/>
      <c r="L134" s="10"/>
      <c r="M134" s="10"/>
      <c r="N134" s="10"/>
      <c r="O134" s="10"/>
      <c r="P134" s="12"/>
      <c r="Q134" s="10"/>
      <c r="R134" s="16"/>
    </row>
    <row r="135" ht="15.75" customHeight="1">
      <c r="A135" s="10"/>
      <c r="B135" s="38"/>
      <c r="C135" s="10"/>
      <c r="D135" s="10"/>
      <c r="E135" s="39"/>
      <c r="F135" s="12"/>
      <c r="G135" s="12"/>
      <c r="H135" s="10"/>
      <c r="I135" s="38"/>
      <c r="J135" s="10"/>
      <c r="K135" s="10"/>
      <c r="L135" s="10"/>
      <c r="M135" s="10"/>
      <c r="N135" s="10"/>
      <c r="O135" s="10"/>
      <c r="P135" s="12"/>
      <c r="Q135" s="10"/>
      <c r="R135" s="16"/>
    </row>
    <row r="136" ht="15.75" customHeight="1">
      <c r="A136" s="10"/>
      <c r="B136" s="38"/>
      <c r="C136" s="10"/>
      <c r="D136" s="10"/>
      <c r="E136" s="39"/>
      <c r="F136" s="12"/>
      <c r="G136" s="12"/>
      <c r="H136" s="10"/>
      <c r="I136" s="38"/>
      <c r="J136" s="10"/>
      <c r="K136" s="10"/>
      <c r="L136" s="10"/>
      <c r="M136" s="10"/>
      <c r="N136" s="10"/>
      <c r="O136" s="10"/>
      <c r="P136" s="12"/>
      <c r="Q136" s="10"/>
      <c r="R136" s="16"/>
    </row>
    <row r="137" ht="15.75" customHeight="1">
      <c r="A137" s="10"/>
      <c r="B137" s="38"/>
      <c r="C137" s="10"/>
      <c r="D137" s="10"/>
      <c r="E137" s="39"/>
      <c r="F137" s="12"/>
      <c r="G137" s="12"/>
      <c r="H137" s="10"/>
      <c r="I137" s="38"/>
      <c r="J137" s="10"/>
      <c r="K137" s="10"/>
      <c r="L137" s="10"/>
      <c r="M137" s="10"/>
      <c r="N137" s="10"/>
      <c r="O137" s="10"/>
      <c r="P137" s="12"/>
      <c r="Q137" s="10"/>
      <c r="R137" s="16"/>
    </row>
    <row r="138" ht="15.75" customHeight="1">
      <c r="A138" s="10"/>
      <c r="B138" s="38"/>
      <c r="C138" s="10"/>
      <c r="D138" s="10"/>
      <c r="E138" s="39"/>
      <c r="F138" s="12"/>
      <c r="G138" s="12"/>
      <c r="H138" s="10"/>
      <c r="I138" s="38"/>
      <c r="J138" s="10"/>
      <c r="K138" s="10"/>
      <c r="L138" s="10"/>
      <c r="M138" s="10"/>
      <c r="N138" s="10"/>
      <c r="O138" s="10"/>
      <c r="P138" s="12"/>
      <c r="Q138" s="10"/>
      <c r="R138" s="16"/>
    </row>
    <row r="139" ht="15.75" customHeight="1">
      <c r="A139" s="10"/>
      <c r="B139" s="38"/>
      <c r="C139" s="10"/>
      <c r="D139" s="10"/>
      <c r="E139" s="39"/>
      <c r="F139" s="12"/>
      <c r="G139" s="12"/>
      <c r="H139" s="10"/>
      <c r="I139" s="38"/>
      <c r="J139" s="10"/>
      <c r="K139" s="10"/>
      <c r="L139" s="10"/>
      <c r="M139" s="10"/>
      <c r="N139" s="10"/>
      <c r="O139" s="10"/>
      <c r="P139" s="12"/>
      <c r="Q139" s="10"/>
      <c r="R139" s="16"/>
    </row>
    <row r="140" ht="15.75" customHeight="1">
      <c r="A140" s="10"/>
      <c r="B140" s="38"/>
      <c r="C140" s="10"/>
      <c r="D140" s="10"/>
      <c r="E140" s="39"/>
      <c r="F140" s="12"/>
      <c r="G140" s="12"/>
      <c r="H140" s="10"/>
      <c r="I140" s="38"/>
      <c r="J140" s="10"/>
      <c r="K140" s="10"/>
      <c r="L140" s="10"/>
      <c r="M140" s="10"/>
      <c r="N140" s="10"/>
      <c r="O140" s="10"/>
      <c r="P140" s="12"/>
      <c r="Q140" s="10"/>
      <c r="R140" s="16"/>
    </row>
    <row r="141" ht="15.75" customHeight="1">
      <c r="A141" s="10"/>
      <c r="B141" s="38"/>
      <c r="C141" s="10"/>
      <c r="D141" s="10"/>
      <c r="E141" s="39"/>
      <c r="F141" s="12"/>
      <c r="G141" s="12"/>
      <c r="H141" s="10"/>
      <c r="I141" s="38"/>
      <c r="J141" s="10"/>
      <c r="K141" s="10"/>
      <c r="L141" s="10"/>
      <c r="M141" s="10"/>
      <c r="N141" s="10"/>
      <c r="O141" s="10"/>
      <c r="P141" s="12"/>
      <c r="Q141" s="10"/>
      <c r="R141" s="16"/>
    </row>
    <row r="142" ht="15.75" customHeight="1">
      <c r="A142" s="10"/>
      <c r="B142" s="38"/>
      <c r="C142" s="10"/>
      <c r="D142" s="10"/>
      <c r="E142" s="39"/>
      <c r="F142" s="12"/>
      <c r="G142" s="12"/>
      <c r="H142" s="10"/>
      <c r="I142" s="38"/>
      <c r="J142" s="10"/>
      <c r="K142" s="10"/>
      <c r="L142" s="10"/>
      <c r="M142" s="10"/>
      <c r="N142" s="10"/>
      <c r="O142" s="10"/>
      <c r="P142" s="12"/>
      <c r="Q142" s="10"/>
      <c r="R142" s="16"/>
    </row>
    <row r="143" ht="15.75" customHeight="1">
      <c r="A143" s="10"/>
      <c r="B143" s="38"/>
      <c r="C143" s="10"/>
      <c r="D143" s="10"/>
      <c r="E143" s="39"/>
      <c r="F143" s="12"/>
      <c r="G143" s="12"/>
      <c r="H143" s="10"/>
      <c r="I143" s="38"/>
      <c r="J143" s="10"/>
      <c r="K143" s="10"/>
      <c r="L143" s="10"/>
      <c r="M143" s="10"/>
      <c r="N143" s="10"/>
      <c r="O143" s="10"/>
      <c r="P143" s="12"/>
      <c r="Q143" s="10"/>
      <c r="R143" s="16"/>
    </row>
    <row r="144" ht="15.75" customHeight="1">
      <c r="A144" s="10"/>
      <c r="B144" s="38"/>
      <c r="C144" s="10"/>
      <c r="D144" s="10"/>
      <c r="E144" s="39"/>
      <c r="F144" s="12"/>
      <c r="G144" s="12"/>
      <c r="H144" s="10"/>
      <c r="I144" s="38"/>
      <c r="J144" s="10"/>
      <c r="K144" s="10"/>
      <c r="L144" s="10"/>
      <c r="M144" s="10"/>
      <c r="N144" s="10"/>
      <c r="O144" s="10"/>
      <c r="P144" s="12"/>
      <c r="Q144" s="10"/>
      <c r="R144" s="16"/>
    </row>
    <row r="145" ht="15.75" customHeight="1">
      <c r="A145" s="10"/>
      <c r="B145" s="38"/>
      <c r="C145" s="10"/>
      <c r="D145" s="10"/>
      <c r="E145" s="39"/>
      <c r="F145" s="12"/>
      <c r="G145" s="12"/>
      <c r="H145" s="10"/>
      <c r="I145" s="38"/>
      <c r="J145" s="10"/>
      <c r="K145" s="10"/>
      <c r="L145" s="10"/>
      <c r="M145" s="10"/>
      <c r="N145" s="10"/>
      <c r="O145" s="10"/>
      <c r="P145" s="12"/>
      <c r="Q145" s="10"/>
      <c r="R145" s="16"/>
    </row>
    <row r="146" ht="15.75" customHeight="1">
      <c r="A146" s="10"/>
      <c r="B146" s="38"/>
      <c r="C146" s="10"/>
      <c r="D146" s="10"/>
      <c r="E146" s="39"/>
      <c r="F146" s="12"/>
      <c r="G146" s="12"/>
      <c r="H146" s="10"/>
      <c r="I146" s="38"/>
      <c r="J146" s="10"/>
      <c r="K146" s="10"/>
      <c r="L146" s="10"/>
      <c r="M146" s="10"/>
      <c r="N146" s="10"/>
      <c r="O146" s="10"/>
      <c r="P146" s="12"/>
      <c r="Q146" s="10"/>
      <c r="R146" s="16"/>
    </row>
    <row r="147" ht="15.75" customHeight="1">
      <c r="A147" s="10"/>
      <c r="B147" s="38"/>
      <c r="C147" s="10"/>
      <c r="D147" s="10"/>
      <c r="E147" s="39"/>
      <c r="F147" s="12"/>
      <c r="G147" s="12"/>
      <c r="H147" s="10"/>
      <c r="I147" s="38"/>
      <c r="J147" s="10"/>
      <c r="K147" s="10"/>
      <c r="L147" s="10"/>
      <c r="M147" s="10"/>
      <c r="N147" s="10"/>
      <c r="O147" s="10"/>
      <c r="P147" s="12"/>
      <c r="Q147" s="10"/>
      <c r="R147" s="16"/>
    </row>
    <row r="148" ht="15.75" customHeight="1">
      <c r="A148" s="10"/>
      <c r="B148" s="38"/>
      <c r="C148" s="10"/>
      <c r="D148" s="10"/>
      <c r="E148" s="39"/>
      <c r="F148" s="12"/>
      <c r="G148" s="12"/>
      <c r="H148" s="10"/>
      <c r="I148" s="38"/>
      <c r="J148" s="10"/>
      <c r="K148" s="10"/>
      <c r="L148" s="10"/>
      <c r="M148" s="10"/>
      <c r="N148" s="10"/>
      <c r="O148" s="10"/>
      <c r="P148" s="12"/>
      <c r="Q148" s="10"/>
      <c r="R148" s="16"/>
    </row>
    <row r="149" ht="15.75" customHeight="1">
      <c r="A149" s="10"/>
      <c r="B149" s="38"/>
      <c r="C149" s="10"/>
      <c r="D149" s="10"/>
      <c r="E149" s="39"/>
      <c r="F149" s="12"/>
      <c r="G149" s="12"/>
      <c r="H149" s="10"/>
      <c r="I149" s="38"/>
      <c r="J149" s="10"/>
      <c r="K149" s="10"/>
      <c r="L149" s="10"/>
      <c r="M149" s="10"/>
      <c r="N149" s="10"/>
      <c r="O149" s="10"/>
      <c r="P149" s="12"/>
      <c r="Q149" s="10"/>
      <c r="R149" s="16"/>
    </row>
    <row r="150" ht="15.75" customHeight="1">
      <c r="A150" s="10"/>
      <c r="B150" s="38"/>
      <c r="C150" s="10"/>
      <c r="D150" s="10"/>
      <c r="E150" s="39"/>
      <c r="F150" s="12"/>
      <c r="G150" s="12"/>
      <c r="H150" s="10"/>
      <c r="I150" s="38"/>
      <c r="J150" s="10"/>
      <c r="K150" s="10"/>
      <c r="L150" s="10"/>
      <c r="M150" s="10"/>
      <c r="N150" s="10"/>
      <c r="O150" s="10"/>
      <c r="P150" s="12"/>
      <c r="Q150" s="10"/>
      <c r="R150" s="16"/>
    </row>
    <row r="151" ht="15.75" customHeight="1">
      <c r="A151" s="10"/>
      <c r="B151" s="38"/>
      <c r="C151" s="10"/>
      <c r="D151" s="10"/>
      <c r="E151" s="39"/>
      <c r="F151" s="12"/>
      <c r="G151" s="12"/>
      <c r="H151" s="10"/>
      <c r="I151" s="38"/>
      <c r="J151" s="10"/>
      <c r="K151" s="10"/>
      <c r="L151" s="10"/>
      <c r="M151" s="10"/>
      <c r="N151" s="10"/>
      <c r="O151" s="10"/>
      <c r="P151" s="12"/>
      <c r="Q151" s="10"/>
      <c r="R151" s="16"/>
    </row>
    <row r="152" ht="15.75" customHeight="1">
      <c r="A152" s="10"/>
      <c r="B152" s="38"/>
      <c r="C152" s="10"/>
      <c r="D152" s="10"/>
      <c r="E152" s="39"/>
      <c r="F152" s="12"/>
      <c r="G152" s="12"/>
      <c r="H152" s="10"/>
      <c r="I152" s="38"/>
      <c r="J152" s="10"/>
      <c r="K152" s="10"/>
      <c r="L152" s="10"/>
      <c r="M152" s="10"/>
      <c r="N152" s="10"/>
      <c r="O152" s="10"/>
      <c r="P152" s="12"/>
      <c r="Q152" s="10"/>
      <c r="R152" s="16"/>
    </row>
    <row r="153" ht="15.75" customHeight="1">
      <c r="A153" s="10"/>
      <c r="B153" s="38"/>
      <c r="C153" s="10"/>
      <c r="D153" s="10"/>
      <c r="E153" s="39"/>
      <c r="F153" s="12"/>
      <c r="G153" s="12"/>
      <c r="H153" s="10"/>
      <c r="I153" s="38"/>
      <c r="J153" s="10"/>
      <c r="K153" s="10"/>
      <c r="L153" s="10"/>
      <c r="M153" s="10"/>
      <c r="N153" s="10"/>
      <c r="O153" s="10"/>
      <c r="P153" s="12"/>
      <c r="Q153" s="10"/>
      <c r="R153" s="16"/>
    </row>
    <row r="154" ht="15.75" customHeight="1">
      <c r="A154" s="10"/>
      <c r="B154" s="38"/>
      <c r="C154" s="10"/>
      <c r="D154" s="10"/>
      <c r="E154" s="39"/>
      <c r="F154" s="12"/>
      <c r="G154" s="12"/>
      <c r="H154" s="10"/>
      <c r="I154" s="38"/>
      <c r="J154" s="10"/>
      <c r="K154" s="10"/>
      <c r="L154" s="10"/>
      <c r="M154" s="10"/>
      <c r="N154" s="10"/>
      <c r="O154" s="10"/>
      <c r="P154" s="12"/>
      <c r="Q154" s="10"/>
      <c r="R154" s="16"/>
    </row>
    <row r="155" ht="15.75" customHeight="1">
      <c r="A155" s="10"/>
      <c r="B155" s="38"/>
      <c r="C155" s="10"/>
      <c r="D155" s="10"/>
      <c r="E155" s="39"/>
      <c r="F155" s="12"/>
      <c r="G155" s="12"/>
      <c r="H155" s="10"/>
      <c r="I155" s="38"/>
      <c r="J155" s="10"/>
      <c r="K155" s="10"/>
      <c r="L155" s="10"/>
      <c r="M155" s="10"/>
      <c r="N155" s="10"/>
      <c r="O155" s="10"/>
      <c r="P155" s="12"/>
      <c r="Q155" s="10"/>
      <c r="R155" s="16"/>
    </row>
    <row r="156" ht="15.75" customHeight="1">
      <c r="A156" s="10"/>
      <c r="B156" s="38"/>
      <c r="C156" s="10"/>
      <c r="D156" s="10"/>
      <c r="E156" s="39"/>
      <c r="F156" s="12"/>
      <c r="G156" s="12"/>
      <c r="H156" s="10"/>
      <c r="I156" s="38"/>
      <c r="J156" s="10"/>
      <c r="K156" s="10"/>
      <c r="L156" s="10"/>
      <c r="M156" s="10"/>
      <c r="N156" s="10"/>
      <c r="O156" s="10"/>
      <c r="P156" s="12"/>
      <c r="Q156" s="10"/>
      <c r="R156" s="16"/>
    </row>
    <row r="157" ht="15.75" customHeight="1">
      <c r="A157" s="10"/>
      <c r="B157" s="38"/>
      <c r="C157" s="10"/>
      <c r="D157" s="10"/>
      <c r="E157" s="39"/>
      <c r="F157" s="12"/>
      <c r="G157" s="12"/>
      <c r="H157" s="10"/>
      <c r="I157" s="38"/>
      <c r="J157" s="10"/>
      <c r="K157" s="10"/>
      <c r="L157" s="10"/>
      <c r="M157" s="10"/>
      <c r="N157" s="10"/>
      <c r="O157" s="10"/>
      <c r="P157" s="12"/>
      <c r="Q157" s="10"/>
      <c r="R157" s="16"/>
    </row>
    <row r="158" ht="15.75" customHeight="1">
      <c r="A158" s="10"/>
      <c r="B158" s="38"/>
      <c r="C158" s="10"/>
      <c r="D158" s="10"/>
      <c r="E158" s="39"/>
      <c r="F158" s="12"/>
      <c r="G158" s="12"/>
      <c r="H158" s="10"/>
      <c r="I158" s="38"/>
      <c r="J158" s="10"/>
      <c r="K158" s="10"/>
      <c r="L158" s="10"/>
      <c r="M158" s="10"/>
      <c r="N158" s="10"/>
      <c r="O158" s="10"/>
      <c r="P158" s="12"/>
      <c r="Q158" s="10"/>
      <c r="R158" s="16"/>
    </row>
    <row r="159" ht="15.75" customHeight="1">
      <c r="A159" s="10"/>
      <c r="B159" s="38"/>
      <c r="C159" s="10"/>
      <c r="D159" s="10"/>
      <c r="E159" s="39"/>
      <c r="F159" s="12"/>
      <c r="G159" s="12"/>
      <c r="H159" s="10"/>
      <c r="I159" s="38"/>
      <c r="J159" s="10"/>
      <c r="K159" s="10"/>
      <c r="L159" s="10"/>
      <c r="M159" s="10"/>
      <c r="N159" s="10"/>
      <c r="O159" s="10"/>
      <c r="P159" s="12"/>
      <c r="Q159" s="10"/>
      <c r="R159" s="16"/>
    </row>
    <row r="160" ht="15.75" customHeight="1">
      <c r="A160" s="10"/>
      <c r="B160" s="38"/>
      <c r="C160" s="10"/>
      <c r="D160" s="10"/>
      <c r="E160" s="39"/>
      <c r="F160" s="12"/>
      <c r="G160" s="12"/>
      <c r="H160" s="10"/>
      <c r="I160" s="38"/>
      <c r="J160" s="10"/>
      <c r="K160" s="10"/>
      <c r="L160" s="10"/>
      <c r="M160" s="10"/>
      <c r="N160" s="10"/>
      <c r="O160" s="10"/>
      <c r="P160" s="12"/>
      <c r="Q160" s="10"/>
      <c r="R160" s="16"/>
    </row>
    <row r="161" ht="15.75" customHeight="1">
      <c r="A161" s="10"/>
      <c r="B161" s="38"/>
      <c r="C161" s="10"/>
      <c r="D161" s="10"/>
      <c r="E161" s="39"/>
      <c r="F161" s="12"/>
      <c r="G161" s="12"/>
      <c r="H161" s="10"/>
      <c r="I161" s="38"/>
      <c r="J161" s="10"/>
      <c r="K161" s="10"/>
      <c r="L161" s="10"/>
      <c r="M161" s="10"/>
      <c r="N161" s="10"/>
      <c r="O161" s="10"/>
      <c r="P161" s="12"/>
      <c r="Q161" s="10"/>
      <c r="R161" s="16"/>
    </row>
    <row r="162" ht="15.75" customHeight="1">
      <c r="A162" s="10"/>
      <c r="B162" s="38"/>
      <c r="C162" s="10"/>
      <c r="D162" s="10"/>
      <c r="E162" s="39"/>
      <c r="F162" s="12"/>
      <c r="G162" s="12"/>
      <c r="H162" s="10"/>
      <c r="I162" s="38"/>
      <c r="J162" s="10"/>
      <c r="K162" s="10"/>
      <c r="L162" s="10"/>
      <c r="M162" s="10"/>
      <c r="N162" s="10"/>
      <c r="O162" s="10"/>
      <c r="P162" s="12"/>
      <c r="Q162" s="10"/>
      <c r="R162" s="16"/>
    </row>
    <row r="163" ht="15.75" customHeight="1">
      <c r="A163" s="10"/>
      <c r="B163" s="38"/>
      <c r="C163" s="10"/>
      <c r="D163" s="10"/>
      <c r="E163" s="39"/>
      <c r="F163" s="12"/>
      <c r="G163" s="12"/>
      <c r="H163" s="10"/>
      <c r="I163" s="38"/>
      <c r="J163" s="10"/>
      <c r="K163" s="10"/>
      <c r="L163" s="10"/>
      <c r="M163" s="10"/>
      <c r="N163" s="10"/>
      <c r="O163" s="10"/>
      <c r="P163" s="12"/>
      <c r="Q163" s="10"/>
      <c r="R163" s="16"/>
    </row>
    <row r="164" ht="15.75" customHeight="1">
      <c r="A164" s="10"/>
      <c r="B164" s="38"/>
      <c r="C164" s="10"/>
      <c r="D164" s="10"/>
      <c r="E164" s="39"/>
      <c r="F164" s="12"/>
      <c r="G164" s="12"/>
      <c r="H164" s="10"/>
      <c r="I164" s="38"/>
      <c r="J164" s="10"/>
      <c r="K164" s="10"/>
      <c r="L164" s="10"/>
      <c r="M164" s="10"/>
      <c r="N164" s="10"/>
      <c r="O164" s="10"/>
      <c r="P164" s="12"/>
      <c r="Q164" s="10"/>
      <c r="R164" s="16"/>
    </row>
    <row r="165" ht="15.75" customHeight="1">
      <c r="A165" s="10"/>
      <c r="B165" s="38"/>
      <c r="C165" s="10"/>
      <c r="D165" s="10"/>
      <c r="E165" s="39"/>
      <c r="F165" s="12"/>
      <c r="G165" s="12"/>
      <c r="H165" s="10"/>
      <c r="I165" s="38"/>
      <c r="J165" s="10"/>
      <c r="K165" s="10"/>
      <c r="L165" s="10"/>
      <c r="M165" s="10"/>
      <c r="N165" s="10"/>
      <c r="O165" s="10"/>
      <c r="P165" s="12"/>
      <c r="Q165" s="10"/>
      <c r="R165" s="16"/>
    </row>
    <row r="166" ht="15.75" customHeight="1">
      <c r="A166" s="10"/>
      <c r="B166" s="38"/>
      <c r="C166" s="10"/>
      <c r="D166" s="10"/>
      <c r="E166" s="39"/>
      <c r="F166" s="12"/>
      <c r="G166" s="12"/>
      <c r="H166" s="10"/>
      <c r="I166" s="38"/>
      <c r="J166" s="10"/>
      <c r="K166" s="10"/>
      <c r="L166" s="10"/>
      <c r="M166" s="10"/>
      <c r="N166" s="10"/>
      <c r="O166" s="10"/>
      <c r="P166" s="12"/>
      <c r="Q166" s="10"/>
      <c r="R166" s="16"/>
    </row>
    <row r="167" ht="15.75" customHeight="1">
      <c r="A167" s="10"/>
      <c r="B167" s="38"/>
      <c r="C167" s="10"/>
      <c r="D167" s="10"/>
      <c r="E167" s="39"/>
      <c r="F167" s="12"/>
      <c r="G167" s="12"/>
      <c r="H167" s="10"/>
      <c r="I167" s="38"/>
      <c r="J167" s="10"/>
      <c r="K167" s="10"/>
      <c r="L167" s="10"/>
      <c r="M167" s="10"/>
      <c r="N167" s="10"/>
      <c r="O167" s="10"/>
      <c r="P167" s="12"/>
      <c r="Q167" s="10"/>
      <c r="R167" s="16"/>
    </row>
    <row r="168" ht="15.75" customHeight="1">
      <c r="A168" s="10"/>
      <c r="B168" s="38"/>
      <c r="C168" s="10"/>
      <c r="D168" s="10"/>
      <c r="E168" s="39"/>
      <c r="F168" s="12"/>
      <c r="G168" s="12"/>
      <c r="H168" s="10"/>
      <c r="I168" s="38"/>
      <c r="J168" s="10"/>
      <c r="K168" s="10"/>
      <c r="L168" s="10"/>
      <c r="M168" s="10"/>
      <c r="N168" s="10"/>
      <c r="O168" s="10"/>
      <c r="P168" s="12"/>
      <c r="Q168" s="10"/>
      <c r="R168" s="16"/>
    </row>
    <row r="169" ht="15.75" customHeight="1">
      <c r="A169" s="10"/>
      <c r="B169" s="38"/>
      <c r="C169" s="10"/>
      <c r="D169" s="10"/>
      <c r="E169" s="39"/>
      <c r="F169" s="12"/>
      <c r="G169" s="12"/>
      <c r="H169" s="10"/>
      <c r="I169" s="38"/>
      <c r="J169" s="10"/>
      <c r="K169" s="10"/>
      <c r="L169" s="10"/>
      <c r="M169" s="10"/>
      <c r="N169" s="10"/>
      <c r="O169" s="10"/>
      <c r="P169" s="12"/>
      <c r="Q169" s="10"/>
      <c r="R169" s="16"/>
    </row>
    <row r="170" ht="15.75" customHeight="1">
      <c r="A170" s="10"/>
      <c r="B170" s="38"/>
      <c r="C170" s="10"/>
      <c r="D170" s="10"/>
      <c r="E170" s="39"/>
      <c r="F170" s="12"/>
      <c r="G170" s="12"/>
      <c r="H170" s="10"/>
      <c r="I170" s="38"/>
      <c r="J170" s="10"/>
      <c r="K170" s="10"/>
      <c r="L170" s="10"/>
      <c r="M170" s="10"/>
      <c r="N170" s="10"/>
      <c r="O170" s="10"/>
      <c r="P170" s="12"/>
      <c r="Q170" s="10"/>
      <c r="R170" s="16"/>
    </row>
    <row r="171" ht="15.75" customHeight="1">
      <c r="A171" s="10"/>
      <c r="B171" s="38"/>
      <c r="C171" s="10"/>
      <c r="D171" s="10"/>
      <c r="E171" s="39"/>
      <c r="F171" s="12"/>
      <c r="G171" s="12"/>
      <c r="H171" s="10"/>
      <c r="I171" s="38"/>
      <c r="J171" s="10"/>
      <c r="K171" s="10"/>
      <c r="L171" s="10"/>
      <c r="M171" s="10"/>
      <c r="N171" s="10"/>
      <c r="O171" s="10"/>
      <c r="P171" s="12"/>
      <c r="Q171" s="10"/>
      <c r="R171" s="16"/>
    </row>
    <row r="172" ht="15.75" customHeight="1">
      <c r="A172" s="10"/>
      <c r="B172" s="38"/>
      <c r="C172" s="10"/>
      <c r="D172" s="10"/>
      <c r="E172" s="39"/>
      <c r="F172" s="12"/>
      <c r="G172" s="12"/>
      <c r="H172" s="10"/>
      <c r="I172" s="38"/>
      <c r="J172" s="10"/>
      <c r="K172" s="10"/>
      <c r="L172" s="10"/>
      <c r="M172" s="10"/>
      <c r="N172" s="10"/>
      <c r="O172" s="10"/>
      <c r="P172" s="12"/>
      <c r="Q172" s="10"/>
      <c r="R172" s="16"/>
    </row>
    <row r="173" ht="15.75" customHeight="1">
      <c r="A173" s="10"/>
      <c r="B173" s="38"/>
      <c r="C173" s="10"/>
      <c r="D173" s="10"/>
      <c r="E173" s="39"/>
      <c r="F173" s="12"/>
      <c r="G173" s="12"/>
      <c r="H173" s="10"/>
      <c r="I173" s="38"/>
      <c r="J173" s="10"/>
      <c r="K173" s="10"/>
      <c r="L173" s="10"/>
      <c r="M173" s="10"/>
      <c r="N173" s="10"/>
      <c r="O173" s="10"/>
      <c r="P173" s="12"/>
      <c r="Q173" s="10"/>
      <c r="R173" s="16"/>
    </row>
    <row r="174" ht="15.75" customHeight="1">
      <c r="A174" s="10"/>
      <c r="B174" s="38"/>
      <c r="C174" s="10"/>
      <c r="D174" s="10"/>
      <c r="E174" s="39"/>
      <c r="F174" s="12"/>
      <c r="G174" s="12"/>
      <c r="H174" s="10"/>
      <c r="I174" s="38"/>
      <c r="J174" s="10"/>
      <c r="K174" s="10"/>
      <c r="L174" s="10"/>
      <c r="M174" s="10"/>
      <c r="N174" s="10"/>
      <c r="O174" s="10"/>
      <c r="P174" s="12"/>
      <c r="Q174" s="10"/>
      <c r="R174" s="16"/>
    </row>
    <row r="175" ht="15.75" customHeight="1">
      <c r="A175" s="10"/>
      <c r="B175" s="38"/>
      <c r="C175" s="10"/>
      <c r="D175" s="10"/>
      <c r="E175" s="39"/>
      <c r="F175" s="12"/>
      <c r="G175" s="12"/>
      <c r="H175" s="10"/>
      <c r="I175" s="38"/>
      <c r="J175" s="10"/>
      <c r="K175" s="10"/>
      <c r="L175" s="10"/>
      <c r="M175" s="10"/>
      <c r="N175" s="10"/>
      <c r="O175" s="10"/>
      <c r="P175" s="12"/>
      <c r="Q175" s="10"/>
      <c r="R175" s="16"/>
    </row>
    <row r="176" ht="15.75" customHeight="1">
      <c r="A176" s="10"/>
      <c r="B176" s="38"/>
      <c r="C176" s="10"/>
      <c r="D176" s="10"/>
      <c r="E176" s="39"/>
      <c r="F176" s="12"/>
      <c r="G176" s="12"/>
      <c r="H176" s="10"/>
      <c r="I176" s="38"/>
      <c r="J176" s="10"/>
      <c r="K176" s="10"/>
      <c r="L176" s="10"/>
      <c r="M176" s="10"/>
      <c r="N176" s="10"/>
      <c r="O176" s="10"/>
      <c r="P176" s="12"/>
      <c r="Q176" s="10"/>
      <c r="R176" s="16"/>
    </row>
    <row r="177" ht="15.75" customHeight="1">
      <c r="A177" s="10"/>
      <c r="B177" s="38"/>
      <c r="C177" s="10"/>
      <c r="D177" s="10"/>
      <c r="E177" s="39"/>
      <c r="F177" s="12"/>
      <c r="G177" s="12"/>
      <c r="H177" s="10"/>
      <c r="I177" s="38"/>
      <c r="J177" s="10"/>
      <c r="K177" s="10"/>
      <c r="L177" s="10"/>
      <c r="M177" s="10"/>
      <c r="N177" s="10"/>
      <c r="O177" s="10"/>
      <c r="P177" s="12"/>
      <c r="Q177" s="10"/>
      <c r="R177" s="16"/>
    </row>
    <row r="178" ht="15.75" customHeight="1">
      <c r="A178" s="10"/>
      <c r="B178" s="38"/>
      <c r="C178" s="10"/>
      <c r="D178" s="10"/>
      <c r="E178" s="39"/>
      <c r="F178" s="12"/>
      <c r="G178" s="12"/>
      <c r="H178" s="10"/>
      <c r="I178" s="38"/>
      <c r="J178" s="10"/>
      <c r="K178" s="10"/>
      <c r="L178" s="10"/>
      <c r="M178" s="10"/>
      <c r="N178" s="10"/>
      <c r="O178" s="10"/>
      <c r="P178" s="12"/>
      <c r="Q178" s="10"/>
      <c r="R178" s="16"/>
    </row>
    <row r="179" ht="15.75" customHeight="1">
      <c r="A179" s="10"/>
      <c r="B179" s="38"/>
      <c r="C179" s="10"/>
      <c r="D179" s="10"/>
      <c r="E179" s="39"/>
      <c r="F179" s="12"/>
      <c r="G179" s="12"/>
      <c r="H179" s="10"/>
      <c r="I179" s="38"/>
      <c r="J179" s="10"/>
      <c r="K179" s="10"/>
      <c r="L179" s="10"/>
      <c r="M179" s="10"/>
      <c r="N179" s="10"/>
      <c r="O179" s="10"/>
      <c r="P179" s="12"/>
      <c r="Q179" s="10"/>
      <c r="R179" s="16"/>
    </row>
    <row r="180" ht="15.75" customHeight="1">
      <c r="A180" s="10"/>
      <c r="B180" s="38"/>
      <c r="C180" s="10"/>
      <c r="D180" s="10"/>
      <c r="E180" s="39"/>
      <c r="F180" s="12"/>
      <c r="G180" s="12"/>
      <c r="H180" s="10"/>
      <c r="I180" s="38"/>
      <c r="J180" s="10"/>
      <c r="K180" s="10"/>
      <c r="L180" s="10"/>
      <c r="M180" s="10"/>
      <c r="N180" s="10"/>
      <c r="O180" s="10"/>
      <c r="P180" s="12"/>
      <c r="Q180" s="10"/>
      <c r="R180" s="16"/>
    </row>
    <row r="181" ht="15.75" customHeight="1">
      <c r="A181" s="10"/>
      <c r="B181" s="38"/>
      <c r="C181" s="10"/>
      <c r="D181" s="10"/>
      <c r="E181" s="39"/>
      <c r="F181" s="12"/>
      <c r="G181" s="12"/>
      <c r="H181" s="10"/>
      <c r="I181" s="38"/>
      <c r="J181" s="10"/>
      <c r="K181" s="10"/>
      <c r="L181" s="10"/>
      <c r="M181" s="10"/>
      <c r="N181" s="10"/>
      <c r="O181" s="10"/>
      <c r="P181" s="12"/>
      <c r="Q181" s="10"/>
      <c r="R181" s="16"/>
    </row>
    <row r="182" ht="15.75" customHeight="1">
      <c r="A182" s="10"/>
      <c r="B182" s="38"/>
      <c r="C182" s="10"/>
      <c r="D182" s="10"/>
      <c r="E182" s="39"/>
      <c r="F182" s="12"/>
      <c r="G182" s="12"/>
      <c r="H182" s="10"/>
      <c r="I182" s="38"/>
      <c r="J182" s="10"/>
      <c r="K182" s="10"/>
      <c r="L182" s="10"/>
      <c r="M182" s="10"/>
      <c r="N182" s="10"/>
      <c r="O182" s="10"/>
      <c r="P182" s="12"/>
      <c r="Q182" s="10"/>
      <c r="R182" s="16"/>
    </row>
    <row r="183" ht="15.75" customHeight="1">
      <c r="A183" s="10"/>
      <c r="B183" s="38"/>
      <c r="C183" s="10"/>
      <c r="D183" s="10"/>
      <c r="E183" s="39"/>
      <c r="F183" s="12"/>
      <c r="G183" s="12"/>
      <c r="H183" s="10"/>
      <c r="I183" s="38"/>
      <c r="J183" s="10"/>
      <c r="K183" s="10"/>
      <c r="L183" s="10"/>
      <c r="M183" s="10"/>
      <c r="N183" s="10"/>
      <c r="O183" s="10"/>
      <c r="P183" s="12"/>
      <c r="Q183" s="10"/>
      <c r="R183" s="16"/>
    </row>
    <row r="184" ht="15.75" customHeight="1">
      <c r="A184" s="10"/>
      <c r="B184" s="38"/>
      <c r="C184" s="10"/>
      <c r="D184" s="10"/>
      <c r="E184" s="39"/>
      <c r="F184" s="12"/>
      <c r="G184" s="12"/>
      <c r="H184" s="10"/>
      <c r="I184" s="38"/>
      <c r="J184" s="10"/>
      <c r="K184" s="10"/>
      <c r="L184" s="10"/>
      <c r="M184" s="10"/>
      <c r="N184" s="10"/>
      <c r="O184" s="10"/>
      <c r="P184" s="12"/>
      <c r="Q184" s="10"/>
      <c r="R184" s="16"/>
    </row>
    <row r="185" ht="15.75" customHeight="1">
      <c r="A185" s="10"/>
      <c r="B185" s="38"/>
      <c r="C185" s="10"/>
      <c r="D185" s="10"/>
      <c r="E185" s="39"/>
      <c r="F185" s="12"/>
      <c r="G185" s="12"/>
      <c r="H185" s="10"/>
      <c r="I185" s="38"/>
      <c r="J185" s="10"/>
      <c r="K185" s="10"/>
      <c r="L185" s="10"/>
      <c r="M185" s="10"/>
      <c r="N185" s="10"/>
      <c r="O185" s="10"/>
      <c r="P185" s="12"/>
      <c r="Q185" s="10"/>
      <c r="R185" s="16"/>
    </row>
    <row r="186" ht="15.75" customHeight="1">
      <c r="A186" s="10"/>
      <c r="B186" s="38"/>
      <c r="C186" s="10"/>
      <c r="D186" s="10"/>
      <c r="E186" s="39"/>
      <c r="F186" s="12"/>
      <c r="G186" s="12"/>
      <c r="H186" s="10"/>
      <c r="I186" s="38"/>
      <c r="J186" s="10"/>
      <c r="K186" s="10"/>
      <c r="L186" s="10"/>
      <c r="M186" s="10"/>
      <c r="N186" s="10"/>
      <c r="O186" s="10"/>
      <c r="P186" s="12"/>
      <c r="Q186" s="10"/>
      <c r="R186" s="16"/>
    </row>
    <row r="187" ht="15.75" customHeight="1">
      <c r="A187" s="10"/>
      <c r="B187" s="38"/>
      <c r="C187" s="10"/>
      <c r="D187" s="10"/>
      <c r="E187" s="39"/>
      <c r="F187" s="12"/>
      <c r="G187" s="12"/>
      <c r="H187" s="10"/>
      <c r="I187" s="38"/>
      <c r="J187" s="10"/>
      <c r="K187" s="10"/>
      <c r="L187" s="10"/>
      <c r="M187" s="10"/>
      <c r="N187" s="10"/>
      <c r="O187" s="10"/>
      <c r="P187" s="12"/>
      <c r="Q187" s="10"/>
      <c r="R187" s="16"/>
    </row>
    <row r="188" ht="15.75" customHeight="1">
      <c r="A188" s="10"/>
      <c r="B188" s="38"/>
      <c r="C188" s="10"/>
      <c r="D188" s="10"/>
      <c r="E188" s="39"/>
      <c r="F188" s="12"/>
      <c r="G188" s="12"/>
      <c r="H188" s="10"/>
      <c r="I188" s="38"/>
      <c r="J188" s="10"/>
      <c r="K188" s="10"/>
      <c r="L188" s="10"/>
      <c r="M188" s="10"/>
      <c r="N188" s="10"/>
      <c r="O188" s="10"/>
      <c r="P188" s="12"/>
      <c r="Q188" s="10"/>
      <c r="R188" s="16"/>
    </row>
    <row r="189" ht="15.75" customHeight="1">
      <c r="A189" s="10"/>
      <c r="B189" s="38"/>
      <c r="C189" s="10"/>
      <c r="D189" s="10"/>
      <c r="E189" s="39"/>
      <c r="F189" s="12"/>
      <c r="G189" s="12"/>
      <c r="H189" s="10"/>
      <c r="I189" s="38"/>
      <c r="J189" s="10"/>
      <c r="K189" s="10"/>
      <c r="L189" s="10"/>
      <c r="M189" s="10"/>
      <c r="N189" s="10"/>
      <c r="O189" s="10"/>
      <c r="P189" s="12"/>
      <c r="Q189" s="10"/>
      <c r="R189" s="16"/>
    </row>
    <row r="190" ht="15.75" customHeight="1">
      <c r="A190" s="10"/>
      <c r="B190" s="38"/>
      <c r="C190" s="10"/>
      <c r="D190" s="10"/>
      <c r="E190" s="39"/>
      <c r="F190" s="12"/>
      <c r="G190" s="12"/>
      <c r="H190" s="10"/>
      <c r="I190" s="38"/>
      <c r="J190" s="10"/>
      <c r="K190" s="10"/>
      <c r="L190" s="10"/>
      <c r="M190" s="10"/>
      <c r="N190" s="10"/>
      <c r="O190" s="10"/>
      <c r="P190" s="12"/>
      <c r="Q190" s="10"/>
      <c r="R190" s="16"/>
    </row>
    <row r="191" ht="15.75" customHeight="1">
      <c r="A191" s="10"/>
      <c r="B191" s="38"/>
      <c r="C191" s="10"/>
      <c r="D191" s="10"/>
      <c r="E191" s="39"/>
      <c r="F191" s="12"/>
      <c r="G191" s="12"/>
      <c r="H191" s="10"/>
      <c r="I191" s="38"/>
      <c r="J191" s="10"/>
      <c r="K191" s="10"/>
      <c r="L191" s="10"/>
      <c r="M191" s="10"/>
      <c r="N191" s="10"/>
      <c r="O191" s="10"/>
      <c r="P191" s="12"/>
      <c r="Q191" s="10"/>
      <c r="R191" s="16"/>
    </row>
    <row r="192" ht="15.75" customHeight="1">
      <c r="A192" s="10"/>
      <c r="B192" s="38"/>
      <c r="C192" s="10"/>
      <c r="D192" s="10"/>
      <c r="E192" s="39"/>
      <c r="F192" s="12"/>
      <c r="G192" s="12"/>
      <c r="H192" s="10"/>
      <c r="I192" s="38"/>
      <c r="J192" s="10"/>
      <c r="K192" s="10"/>
      <c r="L192" s="10"/>
      <c r="M192" s="10"/>
      <c r="N192" s="10"/>
      <c r="O192" s="10"/>
      <c r="P192" s="12"/>
      <c r="Q192" s="10"/>
      <c r="R192" s="16"/>
    </row>
    <row r="193" ht="15.75" customHeight="1">
      <c r="A193" s="10"/>
      <c r="B193" s="38"/>
      <c r="C193" s="10"/>
      <c r="D193" s="10"/>
      <c r="E193" s="39"/>
      <c r="F193" s="12"/>
      <c r="G193" s="12"/>
      <c r="H193" s="10"/>
      <c r="I193" s="38"/>
      <c r="J193" s="10"/>
      <c r="K193" s="10"/>
      <c r="L193" s="10"/>
      <c r="M193" s="10"/>
      <c r="N193" s="10"/>
      <c r="O193" s="10"/>
      <c r="P193" s="12"/>
      <c r="Q193" s="10"/>
      <c r="R193" s="16"/>
    </row>
    <row r="194" ht="15.75" customHeight="1">
      <c r="A194" s="10"/>
      <c r="B194" s="38"/>
      <c r="C194" s="10"/>
      <c r="D194" s="10"/>
      <c r="E194" s="39"/>
      <c r="F194" s="12"/>
      <c r="G194" s="12"/>
      <c r="H194" s="10"/>
      <c r="I194" s="38"/>
      <c r="J194" s="10"/>
      <c r="K194" s="10"/>
      <c r="L194" s="10"/>
      <c r="M194" s="10"/>
      <c r="N194" s="10"/>
      <c r="O194" s="10"/>
      <c r="P194" s="12"/>
      <c r="Q194" s="10"/>
      <c r="R194" s="16"/>
    </row>
    <row r="195" ht="15.75" customHeight="1">
      <c r="A195" s="10"/>
      <c r="B195" s="38"/>
      <c r="C195" s="10"/>
      <c r="D195" s="10"/>
      <c r="E195" s="39"/>
      <c r="F195" s="12"/>
      <c r="G195" s="12"/>
      <c r="H195" s="10"/>
      <c r="I195" s="38"/>
      <c r="J195" s="10"/>
      <c r="K195" s="10"/>
      <c r="L195" s="10"/>
      <c r="M195" s="10"/>
      <c r="N195" s="10"/>
      <c r="O195" s="10"/>
      <c r="P195" s="12"/>
      <c r="Q195" s="10"/>
      <c r="R195" s="16"/>
    </row>
    <row r="196" ht="15.75" customHeight="1">
      <c r="A196" s="10"/>
      <c r="B196" s="38"/>
      <c r="C196" s="10"/>
      <c r="D196" s="10"/>
      <c r="E196" s="39"/>
      <c r="F196" s="12"/>
      <c r="G196" s="12"/>
      <c r="H196" s="10"/>
      <c r="I196" s="38"/>
      <c r="J196" s="10"/>
      <c r="K196" s="10"/>
      <c r="L196" s="10"/>
      <c r="M196" s="10"/>
      <c r="N196" s="10"/>
      <c r="O196" s="10"/>
      <c r="P196" s="12"/>
      <c r="Q196" s="10"/>
      <c r="R196" s="16"/>
    </row>
    <row r="197" ht="15.75" customHeight="1">
      <c r="A197" s="10"/>
      <c r="B197" s="38"/>
      <c r="C197" s="10"/>
      <c r="D197" s="10"/>
      <c r="E197" s="39"/>
      <c r="F197" s="12"/>
      <c r="G197" s="12"/>
      <c r="H197" s="10"/>
      <c r="I197" s="38"/>
      <c r="J197" s="10"/>
      <c r="K197" s="10"/>
      <c r="L197" s="10"/>
      <c r="M197" s="10"/>
      <c r="N197" s="10"/>
      <c r="O197" s="10"/>
      <c r="P197" s="12"/>
      <c r="Q197" s="10"/>
      <c r="R197" s="16"/>
    </row>
    <row r="198" ht="15.75" customHeight="1">
      <c r="A198" s="10"/>
      <c r="B198" s="38"/>
      <c r="C198" s="10"/>
      <c r="D198" s="10"/>
      <c r="E198" s="39"/>
      <c r="F198" s="12"/>
      <c r="G198" s="12"/>
      <c r="H198" s="10"/>
      <c r="I198" s="38"/>
      <c r="J198" s="10"/>
      <c r="K198" s="10"/>
      <c r="L198" s="10"/>
      <c r="M198" s="10"/>
      <c r="N198" s="10"/>
      <c r="O198" s="10"/>
      <c r="P198" s="12"/>
      <c r="Q198" s="10"/>
      <c r="R198" s="16"/>
    </row>
    <row r="199" ht="15.75" customHeight="1">
      <c r="A199" s="10"/>
      <c r="B199" s="38"/>
      <c r="C199" s="10"/>
      <c r="D199" s="10"/>
      <c r="E199" s="39"/>
      <c r="F199" s="12"/>
      <c r="G199" s="12"/>
      <c r="H199" s="10"/>
      <c r="I199" s="38"/>
      <c r="J199" s="10"/>
      <c r="K199" s="10"/>
      <c r="L199" s="10"/>
      <c r="M199" s="10"/>
      <c r="N199" s="10"/>
      <c r="O199" s="10"/>
      <c r="P199" s="12"/>
      <c r="Q199" s="10"/>
      <c r="R199" s="16"/>
    </row>
    <row r="200" ht="15.75" customHeight="1">
      <c r="A200" s="10"/>
      <c r="B200" s="38"/>
      <c r="C200" s="10"/>
      <c r="D200" s="10"/>
      <c r="E200" s="39"/>
      <c r="F200" s="12"/>
      <c r="G200" s="12"/>
      <c r="H200" s="10"/>
      <c r="I200" s="38"/>
      <c r="J200" s="10"/>
      <c r="K200" s="10"/>
      <c r="L200" s="10"/>
      <c r="M200" s="10"/>
      <c r="N200" s="10"/>
      <c r="O200" s="10"/>
      <c r="P200" s="12"/>
      <c r="Q200" s="10"/>
      <c r="R200" s="16"/>
    </row>
    <row r="201" ht="15.75" customHeight="1">
      <c r="A201" s="10"/>
      <c r="B201" s="38"/>
      <c r="C201" s="10"/>
      <c r="D201" s="10"/>
      <c r="E201" s="39"/>
      <c r="F201" s="12"/>
      <c r="G201" s="12"/>
      <c r="H201" s="10"/>
      <c r="I201" s="38"/>
      <c r="J201" s="10"/>
      <c r="K201" s="10"/>
      <c r="L201" s="10"/>
      <c r="M201" s="10"/>
      <c r="N201" s="10"/>
      <c r="O201" s="10"/>
      <c r="P201" s="12"/>
      <c r="Q201" s="10"/>
      <c r="R201" s="16"/>
    </row>
    <row r="202" ht="15.75" customHeight="1">
      <c r="A202" s="10"/>
      <c r="B202" s="38"/>
      <c r="C202" s="10"/>
      <c r="D202" s="10"/>
      <c r="E202" s="39"/>
      <c r="F202" s="12"/>
      <c r="G202" s="12"/>
      <c r="H202" s="10"/>
      <c r="I202" s="38"/>
      <c r="J202" s="10"/>
      <c r="K202" s="10"/>
      <c r="L202" s="10"/>
      <c r="M202" s="10"/>
      <c r="N202" s="10"/>
      <c r="O202" s="10"/>
      <c r="P202" s="12"/>
      <c r="Q202" s="10"/>
      <c r="R202" s="16"/>
    </row>
    <row r="203" ht="15.75" customHeight="1">
      <c r="A203" s="10"/>
      <c r="B203" s="38"/>
      <c r="C203" s="10"/>
      <c r="D203" s="10"/>
      <c r="E203" s="39"/>
      <c r="F203" s="12"/>
      <c r="G203" s="12"/>
      <c r="H203" s="10"/>
      <c r="I203" s="38"/>
      <c r="J203" s="10"/>
      <c r="K203" s="10"/>
      <c r="L203" s="10"/>
      <c r="M203" s="10"/>
      <c r="N203" s="10"/>
      <c r="O203" s="10"/>
      <c r="P203" s="12"/>
      <c r="Q203" s="10"/>
      <c r="R203" s="16"/>
    </row>
    <row r="204" ht="15.75" customHeight="1">
      <c r="A204" s="10"/>
      <c r="B204" s="38"/>
      <c r="C204" s="10"/>
      <c r="D204" s="10"/>
      <c r="E204" s="39"/>
      <c r="F204" s="12"/>
      <c r="G204" s="12"/>
      <c r="H204" s="10"/>
      <c r="I204" s="38"/>
      <c r="J204" s="10"/>
      <c r="K204" s="10"/>
      <c r="L204" s="10"/>
      <c r="M204" s="10"/>
      <c r="N204" s="10"/>
      <c r="O204" s="10"/>
      <c r="P204" s="12"/>
      <c r="Q204" s="10"/>
      <c r="R204" s="16"/>
    </row>
    <row r="205" ht="15.75" customHeight="1">
      <c r="A205" s="10"/>
      <c r="B205" s="38"/>
      <c r="C205" s="10"/>
      <c r="D205" s="10"/>
      <c r="E205" s="39"/>
      <c r="F205" s="12"/>
      <c r="G205" s="12"/>
      <c r="H205" s="10"/>
      <c r="I205" s="38"/>
      <c r="J205" s="10"/>
      <c r="K205" s="10"/>
      <c r="L205" s="10"/>
      <c r="M205" s="10"/>
      <c r="N205" s="10"/>
      <c r="O205" s="10"/>
      <c r="P205" s="12"/>
      <c r="Q205" s="10"/>
      <c r="R205" s="16"/>
    </row>
    <row r="206" ht="15.75" customHeight="1">
      <c r="A206" s="10"/>
      <c r="B206" s="38"/>
      <c r="C206" s="10"/>
      <c r="D206" s="10"/>
      <c r="E206" s="39"/>
      <c r="F206" s="12"/>
      <c r="G206" s="12"/>
      <c r="H206" s="10"/>
      <c r="I206" s="38"/>
      <c r="J206" s="10"/>
      <c r="K206" s="10"/>
      <c r="L206" s="10"/>
      <c r="M206" s="10"/>
      <c r="N206" s="10"/>
      <c r="O206" s="10"/>
      <c r="P206" s="12"/>
      <c r="Q206" s="10"/>
      <c r="R206" s="16"/>
    </row>
    <row r="207" ht="15.75" customHeight="1">
      <c r="A207" s="10"/>
      <c r="B207" s="38"/>
      <c r="C207" s="10"/>
      <c r="D207" s="10"/>
      <c r="E207" s="39"/>
      <c r="F207" s="12"/>
      <c r="G207" s="12"/>
      <c r="H207" s="10"/>
      <c r="I207" s="38"/>
      <c r="J207" s="10"/>
      <c r="K207" s="10"/>
      <c r="L207" s="10"/>
      <c r="M207" s="10"/>
      <c r="N207" s="10"/>
      <c r="O207" s="10"/>
      <c r="P207" s="12"/>
      <c r="Q207" s="10"/>
      <c r="R207" s="16"/>
    </row>
    <row r="208" ht="15.75" customHeight="1">
      <c r="A208" s="10"/>
      <c r="B208" s="38"/>
      <c r="C208" s="10"/>
      <c r="D208" s="10"/>
      <c r="E208" s="39"/>
      <c r="F208" s="12"/>
      <c r="G208" s="12"/>
      <c r="H208" s="10"/>
      <c r="I208" s="38"/>
      <c r="J208" s="10"/>
      <c r="K208" s="10"/>
      <c r="L208" s="10"/>
      <c r="M208" s="10"/>
      <c r="N208" s="10"/>
      <c r="O208" s="10"/>
      <c r="P208" s="12"/>
      <c r="Q208" s="10"/>
      <c r="R208" s="16"/>
    </row>
    <row r="209" ht="15.75" customHeight="1">
      <c r="A209" s="10"/>
      <c r="B209" s="38"/>
      <c r="C209" s="10"/>
      <c r="D209" s="10"/>
      <c r="E209" s="39"/>
      <c r="F209" s="12"/>
      <c r="G209" s="12"/>
      <c r="H209" s="10"/>
      <c r="I209" s="38"/>
      <c r="J209" s="10"/>
      <c r="K209" s="10"/>
      <c r="L209" s="10"/>
      <c r="M209" s="10"/>
      <c r="N209" s="10"/>
      <c r="O209" s="10"/>
      <c r="P209" s="12"/>
      <c r="Q209" s="10"/>
      <c r="R209" s="16"/>
    </row>
    <row r="210" ht="15.75" customHeight="1">
      <c r="A210" s="10"/>
      <c r="B210" s="38"/>
      <c r="C210" s="10"/>
      <c r="D210" s="10"/>
      <c r="E210" s="39"/>
      <c r="F210" s="12"/>
      <c r="G210" s="12"/>
      <c r="H210" s="10"/>
      <c r="I210" s="38"/>
      <c r="J210" s="10"/>
      <c r="K210" s="10"/>
      <c r="L210" s="10"/>
      <c r="M210" s="10"/>
      <c r="N210" s="10"/>
      <c r="O210" s="10"/>
      <c r="P210" s="12"/>
      <c r="Q210" s="10"/>
      <c r="R210" s="16"/>
    </row>
    <row r="211" ht="15.75" customHeight="1">
      <c r="A211" s="10"/>
      <c r="B211" s="38"/>
      <c r="C211" s="10"/>
      <c r="D211" s="10"/>
      <c r="E211" s="39"/>
      <c r="F211" s="12"/>
      <c r="G211" s="12"/>
      <c r="H211" s="10"/>
      <c r="I211" s="38"/>
      <c r="J211" s="10"/>
      <c r="K211" s="10"/>
      <c r="L211" s="10"/>
      <c r="M211" s="10"/>
      <c r="N211" s="10"/>
      <c r="O211" s="10"/>
      <c r="P211" s="12"/>
      <c r="Q211" s="10"/>
      <c r="R211" s="16"/>
    </row>
    <row r="212" ht="15.75" customHeight="1">
      <c r="A212" s="10"/>
      <c r="B212" s="38"/>
      <c r="C212" s="10"/>
      <c r="D212" s="10"/>
      <c r="E212" s="39"/>
      <c r="F212" s="12"/>
      <c r="G212" s="12"/>
      <c r="H212" s="10"/>
      <c r="I212" s="38"/>
      <c r="J212" s="10"/>
      <c r="K212" s="10"/>
      <c r="L212" s="10"/>
      <c r="M212" s="10"/>
      <c r="N212" s="10"/>
      <c r="O212" s="10"/>
      <c r="P212" s="12"/>
      <c r="Q212" s="10"/>
      <c r="R212" s="16"/>
    </row>
    <row r="213" ht="15.75" customHeight="1">
      <c r="A213" s="10"/>
      <c r="B213" s="38"/>
      <c r="C213" s="10"/>
      <c r="D213" s="10"/>
      <c r="E213" s="39"/>
      <c r="F213" s="12"/>
      <c r="G213" s="12"/>
      <c r="H213" s="10"/>
      <c r="I213" s="38"/>
      <c r="J213" s="10"/>
      <c r="K213" s="10"/>
      <c r="L213" s="10"/>
      <c r="M213" s="10"/>
      <c r="N213" s="10"/>
      <c r="O213" s="10"/>
      <c r="P213" s="12"/>
      <c r="Q213" s="10"/>
      <c r="R213" s="16"/>
    </row>
    <row r="214" ht="15.75" customHeight="1">
      <c r="A214" s="10"/>
      <c r="B214" s="38"/>
      <c r="C214" s="10"/>
      <c r="D214" s="10"/>
      <c r="E214" s="39"/>
      <c r="F214" s="12"/>
      <c r="G214" s="12"/>
      <c r="H214" s="10"/>
      <c r="I214" s="38"/>
      <c r="J214" s="10"/>
      <c r="K214" s="10"/>
      <c r="L214" s="10"/>
      <c r="M214" s="10"/>
      <c r="N214" s="10"/>
      <c r="O214" s="10"/>
      <c r="P214" s="12"/>
      <c r="Q214" s="10"/>
      <c r="R214" s="16"/>
    </row>
    <row r="215" ht="15.75" customHeight="1">
      <c r="A215" s="10"/>
      <c r="B215" s="38"/>
      <c r="C215" s="10"/>
      <c r="D215" s="10"/>
      <c r="E215" s="39"/>
      <c r="F215" s="12"/>
      <c r="G215" s="12"/>
      <c r="H215" s="10"/>
      <c r="I215" s="38"/>
      <c r="J215" s="10"/>
      <c r="K215" s="10"/>
      <c r="L215" s="10"/>
      <c r="M215" s="10"/>
      <c r="N215" s="10"/>
      <c r="O215" s="10"/>
      <c r="P215" s="12"/>
      <c r="Q215" s="10"/>
      <c r="R215" s="16"/>
    </row>
    <row r="216" ht="15.75" customHeight="1">
      <c r="A216" s="10"/>
      <c r="B216" s="38"/>
      <c r="C216" s="10"/>
      <c r="D216" s="10"/>
      <c r="E216" s="39"/>
      <c r="F216" s="12"/>
      <c r="G216" s="12"/>
      <c r="H216" s="10"/>
      <c r="I216" s="38"/>
      <c r="J216" s="10"/>
      <c r="K216" s="10"/>
      <c r="L216" s="10"/>
      <c r="M216" s="10"/>
      <c r="N216" s="10"/>
      <c r="O216" s="10"/>
      <c r="P216" s="12"/>
      <c r="Q216" s="10"/>
      <c r="R216" s="16"/>
    </row>
    <row r="217" ht="15.75" customHeight="1">
      <c r="A217" s="10"/>
      <c r="B217" s="38"/>
      <c r="C217" s="10"/>
      <c r="D217" s="10"/>
      <c r="E217" s="39"/>
      <c r="F217" s="12"/>
      <c r="G217" s="12"/>
      <c r="H217" s="10"/>
      <c r="I217" s="38"/>
      <c r="J217" s="10"/>
      <c r="K217" s="10"/>
      <c r="L217" s="10"/>
      <c r="M217" s="10"/>
      <c r="N217" s="10"/>
      <c r="O217" s="10"/>
      <c r="P217" s="12"/>
      <c r="Q217" s="10"/>
      <c r="R217" s="16"/>
    </row>
    <row r="218" ht="15.75" customHeight="1">
      <c r="A218" s="10"/>
      <c r="B218" s="38"/>
      <c r="C218" s="10"/>
      <c r="D218" s="10"/>
      <c r="E218" s="39"/>
      <c r="F218" s="12"/>
      <c r="G218" s="12"/>
      <c r="H218" s="10"/>
      <c r="I218" s="38"/>
      <c r="J218" s="10"/>
      <c r="K218" s="10"/>
      <c r="L218" s="10"/>
      <c r="M218" s="10"/>
      <c r="N218" s="10"/>
      <c r="O218" s="10"/>
      <c r="P218" s="12"/>
      <c r="Q218" s="10"/>
      <c r="R218" s="16"/>
    </row>
    <row r="219" ht="15.75" customHeight="1">
      <c r="A219" s="10"/>
      <c r="B219" s="38"/>
      <c r="C219" s="10"/>
      <c r="D219" s="10"/>
      <c r="E219" s="39"/>
      <c r="F219" s="12"/>
      <c r="G219" s="12"/>
      <c r="H219" s="10"/>
      <c r="I219" s="38"/>
      <c r="J219" s="10"/>
      <c r="K219" s="10"/>
      <c r="L219" s="10"/>
      <c r="M219" s="10"/>
      <c r="N219" s="10"/>
      <c r="O219" s="10"/>
      <c r="P219" s="12"/>
      <c r="Q219" s="10"/>
      <c r="R219" s="16"/>
    </row>
    <row r="220" ht="15.75" customHeight="1">
      <c r="A220" s="10"/>
      <c r="B220" s="38"/>
      <c r="C220" s="10"/>
      <c r="D220" s="10"/>
      <c r="E220" s="39"/>
      <c r="F220" s="12"/>
      <c r="G220" s="12"/>
      <c r="H220" s="10"/>
      <c r="I220" s="38"/>
      <c r="J220" s="10"/>
      <c r="K220" s="10"/>
      <c r="L220" s="10"/>
      <c r="M220" s="10"/>
      <c r="N220" s="10"/>
      <c r="O220" s="10"/>
      <c r="P220" s="12"/>
      <c r="Q220" s="10"/>
      <c r="R220" s="16"/>
    </row>
    <row r="221" ht="15.75" customHeight="1">
      <c r="A221" s="10"/>
      <c r="B221" s="38"/>
      <c r="C221" s="10"/>
      <c r="D221" s="10"/>
      <c r="E221" s="39"/>
      <c r="F221" s="12"/>
      <c r="G221" s="12"/>
      <c r="H221" s="10"/>
      <c r="I221" s="38"/>
      <c r="J221" s="10"/>
      <c r="K221" s="10"/>
      <c r="L221" s="10"/>
      <c r="M221" s="10"/>
      <c r="N221" s="10"/>
      <c r="O221" s="10"/>
      <c r="P221" s="12"/>
      <c r="Q221" s="10"/>
      <c r="R221" s="16"/>
    </row>
    <row r="222" ht="15.75" customHeight="1">
      <c r="A222" s="10"/>
      <c r="B222" s="38"/>
      <c r="C222" s="10"/>
      <c r="D222" s="10"/>
      <c r="E222" s="39"/>
      <c r="F222" s="12"/>
      <c r="G222" s="12"/>
      <c r="H222" s="10"/>
      <c r="I222" s="38"/>
      <c r="J222" s="10"/>
      <c r="K222" s="10"/>
      <c r="L222" s="10"/>
      <c r="M222" s="10"/>
      <c r="N222" s="10"/>
      <c r="O222" s="10"/>
      <c r="P222" s="12"/>
      <c r="Q222" s="10"/>
      <c r="R222" s="16"/>
    </row>
    <row r="223" ht="15.75" customHeight="1">
      <c r="A223" s="10"/>
      <c r="B223" s="38"/>
      <c r="C223" s="10"/>
      <c r="D223" s="10"/>
      <c r="E223" s="39"/>
      <c r="F223" s="12"/>
      <c r="G223" s="12"/>
      <c r="H223" s="10"/>
      <c r="I223" s="38"/>
      <c r="J223" s="10"/>
      <c r="K223" s="10"/>
      <c r="L223" s="10"/>
      <c r="M223" s="10"/>
      <c r="N223" s="10"/>
      <c r="O223" s="10"/>
      <c r="P223" s="12"/>
      <c r="Q223" s="10"/>
      <c r="R223" s="16"/>
    </row>
    <row r="224" ht="15.75" customHeight="1">
      <c r="A224" s="10"/>
      <c r="B224" s="38"/>
      <c r="C224" s="10"/>
      <c r="D224" s="10"/>
      <c r="E224" s="39"/>
      <c r="F224" s="12"/>
      <c r="G224" s="12"/>
      <c r="H224" s="10"/>
      <c r="I224" s="38"/>
      <c r="J224" s="10"/>
      <c r="K224" s="10"/>
      <c r="L224" s="10"/>
      <c r="M224" s="10"/>
      <c r="N224" s="10"/>
      <c r="O224" s="10"/>
      <c r="P224" s="12"/>
      <c r="Q224" s="10"/>
      <c r="R224" s="16"/>
    </row>
    <row r="225" ht="15.75" customHeight="1">
      <c r="A225" s="10"/>
      <c r="B225" s="38"/>
      <c r="C225" s="10"/>
      <c r="D225" s="10"/>
      <c r="E225" s="39"/>
      <c r="F225" s="12"/>
      <c r="G225" s="12"/>
      <c r="H225" s="10"/>
      <c r="I225" s="38"/>
      <c r="J225" s="10"/>
      <c r="K225" s="10"/>
      <c r="L225" s="10"/>
      <c r="M225" s="10"/>
      <c r="N225" s="10"/>
      <c r="O225" s="10"/>
      <c r="P225" s="12"/>
      <c r="Q225" s="10"/>
      <c r="R225" s="16"/>
    </row>
    <row r="226" ht="15.75" customHeight="1">
      <c r="A226" s="10"/>
      <c r="B226" s="38"/>
      <c r="C226" s="10"/>
      <c r="D226" s="10"/>
      <c r="E226" s="39"/>
      <c r="F226" s="12"/>
      <c r="G226" s="12"/>
      <c r="H226" s="10"/>
      <c r="I226" s="38"/>
      <c r="J226" s="10"/>
      <c r="K226" s="10"/>
      <c r="L226" s="10"/>
      <c r="M226" s="10"/>
      <c r="N226" s="10"/>
      <c r="O226" s="10"/>
      <c r="P226" s="12"/>
      <c r="Q226" s="10"/>
      <c r="R226" s="16"/>
    </row>
    <row r="227" ht="15.75" customHeight="1">
      <c r="A227" s="10"/>
      <c r="B227" s="38"/>
      <c r="C227" s="10"/>
      <c r="D227" s="10"/>
      <c r="E227" s="39"/>
      <c r="F227" s="12"/>
      <c r="G227" s="12"/>
      <c r="H227" s="10"/>
      <c r="I227" s="38"/>
      <c r="J227" s="10"/>
      <c r="K227" s="10"/>
      <c r="L227" s="10"/>
      <c r="M227" s="10"/>
      <c r="N227" s="10"/>
      <c r="O227" s="10"/>
      <c r="P227" s="12"/>
      <c r="Q227" s="10"/>
      <c r="R227" s="16"/>
    </row>
    <row r="228" ht="15.75" customHeight="1">
      <c r="A228" s="10"/>
      <c r="B228" s="38"/>
      <c r="C228" s="10"/>
      <c r="D228" s="10"/>
      <c r="E228" s="39"/>
      <c r="F228" s="12"/>
      <c r="G228" s="12"/>
      <c r="H228" s="10"/>
      <c r="I228" s="38"/>
      <c r="J228" s="10"/>
      <c r="K228" s="10"/>
      <c r="L228" s="10"/>
      <c r="M228" s="10"/>
      <c r="N228" s="10"/>
      <c r="O228" s="10"/>
      <c r="P228" s="12"/>
      <c r="Q228" s="10"/>
      <c r="R228" s="16"/>
    </row>
    <row r="229" ht="15.75" customHeight="1">
      <c r="A229" s="10"/>
      <c r="B229" s="38"/>
      <c r="C229" s="10"/>
      <c r="D229" s="10"/>
      <c r="E229" s="39"/>
      <c r="F229" s="12"/>
      <c r="G229" s="12"/>
      <c r="H229" s="10"/>
      <c r="I229" s="38"/>
      <c r="J229" s="10"/>
      <c r="K229" s="10"/>
      <c r="L229" s="10"/>
      <c r="M229" s="10"/>
      <c r="N229" s="10"/>
      <c r="O229" s="10"/>
      <c r="P229" s="12"/>
      <c r="Q229" s="10"/>
      <c r="R229" s="16"/>
    </row>
    <row r="230" ht="15.75" customHeight="1">
      <c r="A230" s="10"/>
      <c r="B230" s="38"/>
      <c r="C230" s="10"/>
      <c r="D230" s="10"/>
      <c r="E230" s="39"/>
      <c r="F230" s="12"/>
      <c r="G230" s="12"/>
      <c r="H230" s="10"/>
      <c r="I230" s="38"/>
      <c r="J230" s="10"/>
      <c r="K230" s="10"/>
      <c r="L230" s="10"/>
      <c r="M230" s="10"/>
      <c r="N230" s="10"/>
      <c r="O230" s="10"/>
      <c r="P230" s="12"/>
      <c r="Q230" s="10"/>
      <c r="R230" s="16"/>
    </row>
    <row r="231" ht="15.75" customHeight="1">
      <c r="A231" s="10"/>
      <c r="B231" s="38"/>
      <c r="C231" s="10"/>
      <c r="D231" s="10"/>
      <c r="E231" s="39"/>
      <c r="F231" s="12"/>
      <c r="G231" s="12"/>
      <c r="H231" s="10"/>
      <c r="I231" s="38"/>
      <c r="J231" s="10"/>
      <c r="K231" s="10"/>
      <c r="L231" s="10"/>
      <c r="M231" s="10"/>
      <c r="N231" s="10"/>
      <c r="O231" s="10"/>
      <c r="P231" s="12"/>
      <c r="Q231" s="10"/>
      <c r="R231" s="16"/>
    </row>
    <row r="232" ht="15.75" customHeight="1">
      <c r="A232" s="10"/>
      <c r="B232" s="38"/>
      <c r="C232" s="10"/>
      <c r="D232" s="10"/>
      <c r="E232" s="39"/>
      <c r="F232" s="12"/>
      <c r="G232" s="12"/>
      <c r="H232" s="10"/>
      <c r="I232" s="38"/>
      <c r="J232" s="10"/>
      <c r="K232" s="10"/>
      <c r="L232" s="10"/>
      <c r="M232" s="10"/>
      <c r="N232" s="10"/>
      <c r="O232" s="10"/>
      <c r="P232" s="12"/>
      <c r="Q232" s="10"/>
      <c r="R232" s="16"/>
    </row>
    <row r="233" ht="15.75" customHeight="1">
      <c r="A233" s="10"/>
      <c r="B233" s="38"/>
      <c r="C233" s="10"/>
      <c r="D233" s="10"/>
      <c r="E233" s="39"/>
      <c r="F233" s="12"/>
      <c r="G233" s="12"/>
      <c r="H233" s="10"/>
      <c r="I233" s="38"/>
      <c r="J233" s="10"/>
      <c r="K233" s="10"/>
      <c r="L233" s="10"/>
      <c r="M233" s="10"/>
      <c r="N233" s="10"/>
      <c r="O233" s="10"/>
      <c r="P233" s="12"/>
      <c r="Q233" s="10"/>
      <c r="R233" s="16"/>
    </row>
    <row r="234" ht="15.75" customHeight="1">
      <c r="A234" s="10"/>
      <c r="B234" s="38"/>
      <c r="C234" s="10"/>
      <c r="D234" s="10"/>
      <c r="E234" s="39"/>
      <c r="F234" s="12"/>
      <c r="G234" s="12"/>
      <c r="H234" s="10"/>
      <c r="I234" s="38"/>
      <c r="J234" s="10"/>
      <c r="K234" s="10"/>
      <c r="L234" s="10"/>
      <c r="M234" s="10"/>
      <c r="N234" s="10"/>
      <c r="O234" s="10"/>
      <c r="P234" s="12"/>
      <c r="Q234" s="10"/>
      <c r="R234" s="16"/>
    </row>
    <row r="235" ht="15.75" customHeight="1">
      <c r="A235" s="10"/>
      <c r="B235" s="38"/>
      <c r="C235" s="10"/>
      <c r="D235" s="10"/>
      <c r="E235" s="39"/>
      <c r="F235" s="12"/>
      <c r="G235" s="12"/>
      <c r="H235" s="10"/>
      <c r="I235" s="38"/>
      <c r="J235" s="10"/>
      <c r="K235" s="10"/>
      <c r="L235" s="10"/>
      <c r="M235" s="10"/>
      <c r="N235" s="10"/>
      <c r="O235" s="10"/>
      <c r="P235" s="12"/>
      <c r="Q235" s="10"/>
      <c r="R235" s="16"/>
    </row>
    <row r="236" ht="15.75" customHeight="1">
      <c r="A236" s="10"/>
      <c r="B236" s="38"/>
      <c r="C236" s="10"/>
      <c r="D236" s="10"/>
      <c r="E236" s="39"/>
      <c r="F236" s="12"/>
      <c r="G236" s="12"/>
      <c r="H236" s="10"/>
      <c r="I236" s="38"/>
      <c r="J236" s="10"/>
      <c r="K236" s="10"/>
      <c r="L236" s="10"/>
      <c r="M236" s="10"/>
      <c r="N236" s="10"/>
      <c r="O236" s="10"/>
      <c r="P236" s="12"/>
      <c r="Q236" s="10"/>
      <c r="R236" s="16"/>
    </row>
    <row r="237" ht="15.75" customHeight="1">
      <c r="A237" s="10"/>
      <c r="B237" s="38"/>
      <c r="C237" s="10"/>
      <c r="D237" s="10"/>
      <c r="E237" s="39"/>
      <c r="F237" s="12"/>
      <c r="G237" s="12"/>
      <c r="H237" s="10"/>
      <c r="I237" s="38"/>
      <c r="J237" s="10"/>
      <c r="K237" s="10"/>
      <c r="L237" s="10"/>
      <c r="M237" s="10"/>
      <c r="N237" s="10"/>
      <c r="O237" s="10"/>
      <c r="P237" s="12"/>
      <c r="Q237" s="10"/>
      <c r="R237" s="16"/>
    </row>
    <row r="238" ht="15.75" customHeight="1">
      <c r="A238" s="10"/>
      <c r="B238" s="38"/>
      <c r="C238" s="10"/>
      <c r="D238" s="10"/>
      <c r="E238" s="39"/>
      <c r="F238" s="12"/>
      <c r="G238" s="12"/>
      <c r="H238" s="10"/>
      <c r="I238" s="38"/>
      <c r="J238" s="10"/>
      <c r="K238" s="10"/>
      <c r="L238" s="10"/>
      <c r="M238" s="10"/>
      <c r="N238" s="10"/>
      <c r="O238" s="10"/>
      <c r="P238" s="12"/>
      <c r="Q238" s="10"/>
      <c r="R238" s="16"/>
    </row>
    <row r="239" ht="15.75" customHeight="1">
      <c r="A239" s="10"/>
      <c r="B239" s="38"/>
      <c r="C239" s="10"/>
      <c r="D239" s="10"/>
      <c r="E239" s="39"/>
      <c r="F239" s="12"/>
      <c r="G239" s="12"/>
      <c r="H239" s="10"/>
      <c r="I239" s="38"/>
      <c r="J239" s="10"/>
      <c r="K239" s="10"/>
      <c r="L239" s="10"/>
      <c r="M239" s="10"/>
      <c r="N239" s="10"/>
      <c r="O239" s="10"/>
      <c r="P239" s="12"/>
      <c r="Q239" s="10"/>
      <c r="R239" s="16"/>
    </row>
    <row r="240" ht="15.75" customHeight="1">
      <c r="A240" s="10"/>
      <c r="B240" s="38"/>
      <c r="C240" s="10"/>
      <c r="D240" s="10"/>
      <c r="E240" s="39"/>
      <c r="F240" s="12"/>
      <c r="G240" s="12"/>
      <c r="H240" s="10"/>
      <c r="I240" s="38"/>
      <c r="J240" s="10"/>
      <c r="K240" s="10"/>
      <c r="L240" s="10"/>
      <c r="M240" s="10"/>
      <c r="N240" s="10"/>
      <c r="O240" s="10"/>
      <c r="P240" s="12"/>
      <c r="Q240" s="10"/>
      <c r="R240" s="16"/>
    </row>
    <row r="241" ht="15.75" customHeight="1">
      <c r="A241" s="10"/>
      <c r="B241" s="38"/>
      <c r="C241" s="10"/>
      <c r="D241" s="10"/>
      <c r="E241" s="39"/>
      <c r="F241" s="12"/>
      <c r="G241" s="12"/>
      <c r="H241" s="10"/>
      <c r="I241" s="38"/>
      <c r="J241" s="10"/>
      <c r="K241" s="10"/>
      <c r="L241" s="10"/>
      <c r="M241" s="10"/>
      <c r="N241" s="10"/>
      <c r="O241" s="10"/>
      <c r="P241" s="12"/>
      <c r="Q241" s="10"/>
      <c r="R241" s="16"/>
    </row>
    <row r="242" ht="15.75" customHeight="1">
      <c r="A242" s="10"/>
      <c r="B242" s="38"/>
      <c r="C242" s="10"/>
      <c r="D242" s="10"/>
      <c r="E242" s="39"/>
      <c r="F242" s="12"/>
      <c r="G242" s="12"/>
      <c r="H242" s="10"/>
      <c r="I242" s="38"/>
      <c r="J242" s="10"/>
      <c r="K242" s="10"/>
      <c r="L242" s="10"/>
      <c r="M242" s="10"/>
      <c r="N242" s="10"/>
      <c r="O242" s="10"/>
      <c r="P242" s="12"/>
      <c r="Q242" s="10"/>
      <c r="R242" s="16"/>
    </row>
    <row r="243" ht="15.75" customHeight="1">
      <c r="A243" s="10"/>
      <c r="B243" s="38"/>
      <c r="C243" s="10"/>
      <c r="D243" s="10"/>
      <c r="E243" s="39"/>
      <c r="F243" s="12"/>
      <c r="G243" s="12"/>
      <c r="H243" s="10"/>
      <c r="I243" s="38"/>
      <c r="J243" s="10"/>
      <c r="K243" s="10"/>
      <c r="L243" s="10"/>
      <c r="M243" s="10"/>
      <c r="N243" s="10"/>
      <c r="O243" s="10"/>
      <c r="P243" s="12"/>
      <c r="Q243" s="10"/>
      <c r="R243" s="16"/>
    </row>
    <row r="244" ht="15.75" customHeight="1">
      <c r="A244" s="10"/>
      <c r="B244" s="38"/>
      <c r="C244" s="10"/>
      <c r="D244" s="10"/>
      <c r="E244" s="39"/>
      <c r="F244" s="12"/>
      <c r="G244" s="12"/>
      <c r="H244" s="10"/>
      <c r="I244" s="38"/>
      <c r="J244" s="10"/>
      <c r="K244" s="10"/>
      <c r="L244" s="10"/>
      <c r="M244" s="10"/>
      <c r="N244" s="10"/>
      <c r="O244" s="10"/>
      <c r="P244" s="12"/>
      <c r="Q244" s="10"/>
      <c r="R244" s="16"/>
    </row>
    <row r="245" ht="15.75" customHeight="1">
      <c r="A245" s="10"/>
      <c r="B245" s="38"/>
      <c r="C245" s="10"/>
      <c r="D245" s="10"/>
      <c r="E245" s="39"/>
      <c r="F245" s="12"/>
      <c r="G245" s="12"/>
      <c r="H245" s="10"/>
      <c r="I245" s="38"/>
      <c r="J245" s="10"/>
      <c r="K245" s="10"/>
      <c r="L245" s="10"/>
      <c r="M245" s="10"/>
      <c r="N245" s="10"/>
      <c r="O245" s="10"/>
      <c r="P245" s="12"/>
      <c r="Q245" s="10"/>
      <c r="R245" s="16"/>
    </row>
    <row r="246" ht="15.75" customHeight="1">
      <c r="A246" s="10"/>
      <c r="B246" s="38"/>
      <c r="C246" s="10"/>
      <c r="D246" s="10"/>
      <c r="E246" s="39"/>
      <c r="F246" s="12"/>
      <c r="G246" s="12"/>
      <c r="H246" s="10"/>
      <c r="I246" s="38"/>
      <c r="J246" s="10"/>
      <c r="K246" s="10"/>
      <c r="L246" s="10"/>
      <c r="M246" s="10"/>
      <c r="N246" s="10"/>
      <c r="O246" s="10"/>
      <c r="P246" s="12"/>
      <c r="Q246" s="10"/>
      <c r="R246" s="16"/>
    </row>
    <row r="247" ht="15.75" customHeight="1">
      <c r="A247" s="10"/>
      <c r="B247" s="38"/>
      <c r="C247" s="10"/>
      <c r="D247" s="10"/>
      <c r="E247" s="39"/>
      <c r="F247" s="12"/>
      <c r="G247" s="12"/>
      <c r="H247" s="10"/>
      <c r="I247" s="38"/>
      <c r="J247" s="10"/>
      <c r="K247" s="10"/>
      <c r="L247" s="10"/>
      <c r="M247" s="10"/>
      <c r="N247" s="10"/>
      <c r="O247" s="10"/>
      <c r="P247" s="12"/>
      <c r="Q247" s="10"/>
      <c r="R247" s="16"/>
    </row>
    <row r="248" ht="15.75" customHeight="1">
      <c r="A248" s="10"/>
      <c r="B248" s="38"/>
      <c r="C248" s="10"/>
      <c r="D248" s="10"/>
      <c r="E248" s="39"/>
      <c r="F248" s="12"/>
      <c r="G248" s="12"/>
      <c r="H248" s="10"/>
      <c r="I248" s="38"/>
      <c r="J248" s="10"/>
      <c r="K248" s="10"/>
      <c r="L248" s="10"/>
      <c r="M248" s="10"/>
      <c r="N248" s="10"/>
      <c r="O248" s="10"/>
      <c r="P248" s="12"/>
      <c r="Q248" s="10"/>
      <c r="R248" s="16"/>
    </row>
    <row r="249" ht="15.75" customHeight="1">
      <c r="A249" s="10"/>
      <c r="B249" s="38"/>
      <c r="C249" s="10"/>
      <c r="D249" s="10"/>
      <c r="E249" s="39"/>
      <c r="F249" s="12"/>
      <c r="G249" s="12"/>
      <c r="H249" s="10"/>
      <c r="I249" s="38"/>
      <c r="J249" s="10"/>
      <c r="K249" s="10"/>
      <c r="L249" s="10"/>
      <c r="M249" s="10"/>
      <c r="N249" s="10"/>
      <c r="O249" s="10"/>
      <c r="P249" s="12"/>
      <c r="Q249" s="10"/>
      <c r="R249" s="16"/>
    </row>
    <row r="250" ht="15.75" customHeight="1">
      <c r="A250" s="10"/>
      <c r="B250" s="38"/>
      <c r="C250" s="10"/>
      <c r="D250" s="10"/>
      <c r="E250" s="39"/>
      <c r="F250" s="12"/>
      <c r="G250" s="12"/>
      <c r="H250" s="10"/>
      <c r="I250" s="38"/>
      <c r="J250" s="10"/>
      <c r="K250" s="10"/>
      <c r="L250" s="10"/>
      <c r="M250" s="10"/>
      <c r="N250" s="10"/>
      <c r="O250" s="10"/>
      <c r="P250" s="12"/>
      <c r="Q250" s="10"/>
      <c r="R250" s="16"/>
    </row>
    <row r="251" ht="15.75" customHeight="1">
      <c r="A251" s="10"/>
      <c r="B251" s="38"/>
      <c r="C251" s="10"/>
      <c r="D251" s="10"/>
      <c r="E251" s="39"/>
      <c r="F251" s="12"/>
      <c r="G251" s="12"/>
      <c r="H251" s="10"/>
      <c r="I251" s="38"/>
      <c r="J251" s="10"/>
      <c r="K251" s="10"/>
      <c r="L251" s="10"/>
      <c r="M251" s="10"/>
      <c r="N251" s="10"/>
      <c r="O251" s="10"/>
      <c r="P251" s="12"/>
      <c r="Q251" s="10"/>
      <c r="R251" s="16"/>
    </row>
    <row r="252" ht="15.75" customHeight="1">
      <c r="A252" s="10"/>
      <c r="B252" s="38"/>
      <c r="C252" s="10"/>
      <c r="D252" s="10"/>
      <c r="E252" s="39"/>
      <c r="F252" s="12"/>
      <c r="G252" s="12"/>
      <c r="H252" s="10"/>
      <c r="I252" s="38"/>
      <c r="J252" s="10"/>
      <c r="K252" s="10"/>
      <c r="L252" s="10"/>
      <c r="M252" s="10"/>
      <c r="N252" s="10"/>
      <c r="O252" s="10"/>
      <c r="P252" s="12"/>
      <c r="Q252" s="10"/>
      <c r="R252" s="16"/>
    </row>
    <row r="253" ht="15.75" customHeight="1">
      <c r="A253" s="10"/>
      <c r="B253" s="38"/>
      <c r="C253" s="10"/>
      <c r="D253" s="10"/>
      <c r="E253" s="39"/>
      <c r="F253" s="12"/>
      <c r="G253" s="12"/>
      <c r="H253" s="10"/>
      <c r="I253" s="38"/>
      <c r="J253" s="10"/>
      <c r="K253" s="10"/>
      <c r="L253" s="10"/>
      <c r="M253" s="10"/>
      <c r="N253" s="10"/>
      <c r="O253" s="10"/>
      <c r="P253" s="12"/>
      <c r="Q253" s="10"/>
      <c r="R253" s="16"/>
    </row>
    <row r="254" ht="15.75" customHeight="1">
      <c r="A254" s="10"/>
      <c r="B254" s="38"/>
      <c r="C254" s="10"/>
      <c r="D254" s="10"/>
      <c r="E254" s="39"/>
      <c r="F254" s="12"/>
      <c r="G254" s="12"/>
      <c r="H254" s="10"/>
      <c r="I254" s="38"/>
      <c r="J254" s="10"/>
      <c r="K254" s="10"/>
      <c r="L254" s="10"/>
      <c r="M254" s="10"/>
      <c r="N254" s="10"/>
      <c r="O254" s="10"/>
      <c r="P254" s="12"/>
      <c r="Q254" s="10"/>
      <c r="R254" s="16"/>
    </row>
    <row r="255" ht="15.75" customHeight="1">
      <c r="A255" s="10"/>
      <c r="B255" s="38"/>
      <c r="C255" s="10"/>
      <c r="D255" s="10"/>
      <c r="E255" s="39"/>
      <c r="F255" s="12"/>
      <c r="G255" s="12"/>
      <c r="H255" s="10"/>
      <c r="I255" s="38"/>
      <c r="J255" s="10"/>
      <c r="K255" s="10"/>
      <c r="L255" s="10"/>
      <c r="M255" s="10"/>
      <c r="N255" s="10"/>
      <c r="O255" s="10"/>
      <c r="P255" s="12"/>
      <c r="Q255" s="10"/>
      <c r="R255" s="16"/>
    </row>
    <row r="256" ht="15.75" customHeight="1">
      <c r="A256" s="10"/>
      <c r="B256" s="38"/>
      <c r="C256" s="10"/>
      <c r="D256" s="10"/>
      <c r="E256" s="39"/>
      <c r="F256" s="12"/>
      <c r="G256" s="12"/>
      <c r="H256" s="10"/>
      <c r="I256" s="38"/>
      <c r="J256" s="10"/>
      <c r="K256" s="10"/>
      <c r="L256" s="10"/>
      <c r="M256" s="10"/>
      <c r="N256" s="10"/>
      <c r="O256" s="10"/>
      <c r="P256" s="12"/>
      <c r="Q256" s="10"/>
      <c r="R256" s="16"/>
    </row>
    <row r="257" ht="15.75" customHeight="1">
      <c r="A257" s="10"/>
      <c r="B257" s="38"/>
      <c r="C257" s="10"/>
      <c r="D257" s="10"/>
      <c r="E257" s="39"/>
      <c r="F257" s="12"/>
      <c r="G257" s="12"/>
      <c r="H257" s="10"/>
      <c r="I257" s="38"/>
      <c r="J257" s="10"/>
      <c r="K257" s="10"/>
      <c r="L257" s="10"/>
      <c r="M257" s="10"/>
      <c r="N257" s="10"/>
      <c r="O257" s="10"/>
      <c r="P257" s="12"/>
      <c r="Q257" s="10"/>
      <c r="R257" s="16"/>
    </row>
    <row r="258" ht="15.75" customHeight="1">
      <c r="A258" s="10"/>
      <c r="B258" s="38"/>
      <c r="C258" s="10"/>
      <c r="D258" s="10"/>
      <c r="E258" s="39"/>
      <c r="F258" s="12"/>
      <c r="G258" s="12"/>
      <c r="H258" s="10"/>
      <c r="I258" s="38"/>
      <c r="J258" s="10"/>
      <c r="K258" s="10"/>
      <c r="L258" s="10"/>
      <c r="M258" s="10"/>
      <c r="N258" s="10"/>
      <c r="O258" s="10"/>
      <c r="P258" s="12"/>
      <c r="Q258" s="10"/>
      <c r="R258" s="16"/>
    </row>
    <row r="259" ht="15.75" customHeight="1">
      <c r="A259" s="10"/>
      <c r="B259" s="38"/>
      <c r="C259" s="10"/>
      <c r="D259" s="10"/>
      <c r="E259" s="39"/>
      <c r="F259" s="12"/>
      <c r="G259" s="12"/>
      <c r="H259" s="10"/>
      <c r="I259" s="38"/>
      <c r="J259" s="10"/>
      <c r="K259" s="10"/>
      <c r="L259" s="10"/>
      <c r="M259" s="10"/>
      <c r="N259" s="10"/>
      <c r="O259" s="10"/>
      <c r="P259" s="12"/>
      <c r="Q259" s="10"/>
      <c r="R259" s="16"/>
    </row>
    <row r="260" ht="15.75" customHeight="1">
      <c r="A260" s="10"/>
      <c r="B260" s="38"/>
      <c r="C260" s="10"/>
      <c r="D260" s="10"/>
      <c r="E260" s="39"/>
      <c r="F260" s="12"/>
      <c r="G260" s="12"/>
      <c r="H260" s="10"/>
      <c r="I260" s="38"/>
      <c r="J260" s="10"/>
      <c r="K260" s="10"/>
      <c r="L260" s="10"/>
      <c r="M260" s="10"/>
      <c r="N260" s="10"/>
      <c r="O260" s="10"/>
      <c r="P260" s="12"/>
      <c r="Q260" s="10"/>
      <c r="R260" s="16"/>
    </row>
    <row r="261" ht="15.75" customHeight="1">
      <c r="A261" s="10"/>
      <c r="B261" s="38"/>
      <c r="C261" s="10"/>
      <c r="D261" s="10"/>
      <c r="E261" s="39"/>
      <c r="F261" s="12"/>
      <c r="G261" s="12"/>
      <c r="H261" s="10"/>
      <c r="I261" s="38"/>
      <c r="J261" s="10"/>
      <c r="K261" s="10"/>
      <c r="L261" s="10"/>
      <c r="M261" s="10"/>
      <c r="N261" s="10"/>
      <c r="O261" s="10"/>
      <c r="P261" s="12"/>
      <c r="Q261" s="10"/>
      <c r="R261" s="16"/>
    </row>
    <row r="262" ht="15.75" customHeight="1">
      <c r="A262" s="10"/>
      <c r="B262" s="38"/>
      <c r="C262" s="10"/>
      <c r="D262" s="10"/>
      <c r="E262" s="39"/>
      <c r="F262" s="12"/>
      <c r="G262" s="12"/>
      <c r="H262" s="10"/>
      <c r="I262" s="38"/>
      <c r="J262" s="10"/>
      <c r="K262" s="10"/>
      <c r="L262" s="10"/>
      <c r="M262" s="10"/>
      <c r="N262" s="10"/>
      <c r="O262" s="10"/>
      <c r="P262" s="12"/>
      <c r="Q262" s="10"/>
      <c r="R262" s="16"/>
    </row>
    <row r="263" ht="15.75" customHeight="1">
      <c r="A263" s="10"/>
      <c r="B263" s="38"/>
      <c r="C263" s="10"/>
      <c r="D263" s="10"/>
      <c r="E263" s="39"/>
      <c r="F263" s="12"/>
      <c r="G263" s="12"/>
      <c r="H263" s="10"/>
      <c r="I263" s="38"/>
      <c r="J263" s="10"/>
      <c r="K263" s="10"/>
      <c r="L263" s="10"/>
      <c r="M263" s="10"/>
      <c r="N263" s="10"/>
      <c r="O263" s="10"/>
      <c r="P263" s="12"/>
      <c r="Q263" s="10"/>
      <c r="R263" s="16"/>
    </row>
    <row r="264" ht="15.75" customHeight="1">
      <c r="A264" s="10"/>
      <c r="B264" s="38"/>
      <c r="C264" s="10"/>
      <c r="D264" s="10"/>
      <c r="E264" s="39"/>
      <c r="F264" s="12"/>
      <c r="G264" s="12"/>
      <c r="H264" s="10"/>
      <c r="I264" s="38"/>
      <c r="J264" s="10"/>
      <c r="K264" s="10"/>
      <c r="L264" s="10"/>
      <c r="M264" s="10"/>
      <c r="N264" s="10"/>
      <c r="O264" s="10"/>
      <c r="P264" s="12"/>
      <c r="Q264" s="10"/>
      <c r="R264" s="16"/>
    </row>
    <row r="265" ht="15.75" customHeight="1">
      <c r="A265" s="10"/>
      <c r="B265" s="38"/>
      <c r="C265" s="10"/>
      <c r="D265" s="10"/>
      <c r="E265" s="39"/>
      <c r="F265" s="12"/>
      <c r="G265" s="12"/>
      <c r="H265" s="10"/>
      <c r="I265" s="38"/>
      <c r="J265" s="10"/>
      <c r="K265" s="10"/>
      <c r="L265" s="10"/>
      <c r="M265" s="10"/>
      <c r="N265" s="10"/>
      <c r="O265" s="10"/>
      <c r="P265" s="12"/>
      <c r="Q265" s="10"/>
      <c r="R265" s="16"/>
    </row>
    <row r="266" ht="15.75" customHeight="1">
      <c r="A266" s="10"/>
      <c r="B266" s="38"/>
      <c r="C266" s="10"/>
      <c r="D266" s="10"/>
      <c r="E266" s="39"/>
      <c r="F266" s="12"/>
      <c r="G266" s="12"/>
      <c r="H266" s="10"/>
      <c r="I266" s="38"/>
      <c r="J266" s="10"/>
      <c r="K266" s="10"/>
      <c r="L266" s="10"/>
      <c r="M266" s="10"/>
      <c r="N266" s="10"/>
      <c r="O266" s="10"/>
      <c r="P266" s="12"/>
      <c r="Q266" s="10"/>
      <c r="R266" s="16"/>
    </row>
    <row r="267" ht="15.75" customHeight="1">
      <c r="A267" s="10"/>
      <c r="B267" s="38"/>
      <c r="C267" s="10"/>
      <c r="D267" s="10"/>
      <c r="E267" s="39"/>
      <c r="F267" s="12"/>
      <c r="G267" s="12"/>
      <c r="H267" s="10"/>
      <c r="I267" s="38"/>
      <c r="J267" s="10"/>
      <c r="K267" s="10"/>
      <c r="L267" s="10"/>
      <c r="M267" s="10"/>
      <c r="N267" s="10"/>
      <c r="O267" s="10"/>
      <c r="P267" s="12"/>
      <c r="Q267" s="10"/>
      <c r="R267" s="16"/>
    </row>
    <row r="268" ht="15.75" customHeight="1">
      <c r="A268" s="10"/>
      <c r="B268" s="38"/>
      <c r="C268" s="10"/>
      <c r="D268" s="10"/>
      <c r="E268" s="39"/>
      <c r="F268" s="12"/>
      <c r="G268" s="12"/>
      <c r="H268" s="10"/>
      <c r="I268" s="38"/>
      <c r="J268" s="10"/>
      <c r="K268" s="10"/>
      <c r="L268" s="10"/>
      <c r="M268" s="10"/>
      <c r="N268" s="10"/>
      <c r="O268" s="10"/>
      <c r="P268" s="12"/>
      <c r="Q268" s="10"/>
      <c r="R268" s="16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location="prettyPhoto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location=":~:text=O%20Grupo%20Vaticano%2C%20do%20segmento,de%20S%C3%A3o%20Jos%C3%A9%2C%20Santa%20Catarina.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0" t="s">
        <v>328</v>
      </c>
      <c r="B1" s="40" t="s">
        <v>329</v>
      </c>
      <c r="C1" s="40" t="s">
        <v>330</v>
      </c>
      <c r="D1" s="40" t="s">
        <v>331</v>
      </c>
      <c r="E1" s="40" t="s">
        <v>332</v>
      </c>
    </row>
    <row r="2">
      <c r="A2" s="41" t="str">
        <f>IFERROR(__xludf.DUMMYFUNCTION("UNIQUE({'Página1'!C:C;'Página1'!D:D;'Página1'!F:F;'Página1'!G:G;'Página1'!H:H;'Página1'!N:N;'Página1'!O:O;'Página1'!P:P;'Página1'!Q:Q})"),"Cidade")</f>
        <v>Cidade</v>
      </c>
      <c r="B2" s="41" t="s">
        <v>333</v>
      </c>
      <c r="C2" s="41" t="str">
        <f t="shared" ref="C2:C81" si="1">WIKIDATALABELS(B2, "en")</f>
        <v>en</v>
      </c>
      <c r="D2" s="41" t="s">
        <v>334</v>
      </c>
      <c r="E2" s="41" t="str">
        <f t="shared" ref="E2:E80" si="2">WIKIDATADESCRIPTIONS(B2, "pt")</f>
        <v>pt</v>
      </c>
      <c r="F2" s="41" t="s">
        <v>335</v>
      </c>
    </row>
    <row r="3">
      <c r="A3" s="41" t="str">
        <f>IFERROR(__xludf.DUMMYFUNCTION("""COMPUTED_VALUE"""),"Brasília")</f>
        <v>Brasília</v>
      </c>
      <c r="B3" s="41" t="s">
        <v>336</v>
      </c>
      <c r="C3" s="41" t="str">
        <f t="shared" si="1"/>
        <v>en</v>
      </c>
      <c r="D3" s="41" t="s">
        <v>20</v>
      </c>
      <c r="E3" s="41" t="str">
        <f t="shared" si="2"/>
        <v>pt</v>
      </c>
      <c r="F3" s="41" t="s">
        <v>337</v>
      </c>
    </row>
    <row r="4">
      <c r="A4" s="41" t="str">
        <f>IFERROR(__xludf.DUMMYFUNCTION("""COMPUTED_VALUE"""),"Crato")</f>
        <v>Crato</v>
      </c>
      <c r="B4" s="41" t="s">
        <v>338</v>
      </c>
      <c r="C4" s="41" t="str">
        <f t="shared" si="1"/>
        <v>en</v>
      </c>
      <c r="D4" s="41" t="s">
        <v>31</v>
      </c>
      <c r="E4" s="41" t="str">
        <f t="shared" si="2"/>
        <v>pt</v>
      </c>
      <c r="F4" s="41" t="s">
        <v>339</v>
      </c>
    </row>
    <row r="5">
      <c r="A5" s="41" t="str">
        <f>IFERROR(__xludf.DUMMYFUNCTION("""COMPUTED_VALUE"""),"Curitiba")</f>
        <v>Curitiba</v>
      </c>
      <c r="B5" s="41" t="s">
        <v>340</v>
      </c>
      <c r="C5" s="41" t="str">
        <f t="shared" si="1"/>
        <v>en</v>
      </c>
      <c r="D5" s="41" t="s">
        <v>37</v>
      </c>
      <c r="E5" s="41" t="str">
        <f t="shared" si="2"/>
        <v>pt</v>
      </c>
      <c r="F5" s="41" t="s">
        <v>341</v>
      </c>
    </row>
    <row r="6">
      <c r="A6" s="41" t="str">
        <f>IFERROR(__xludf.DUMMYFUNCTION("""COMPUTED_VALUE"""),"Farroupilha")</f>
        <v>Farroupilha</v>
      </c>
      <c r="B6" s="41" t="s">
        <v>342</v>
      </c>
      <c r="C6" s="41" t="str">
        <f t="shared" si="1"/>
        <v>en</v>
      </c>
      <c r="D6" s="41" t="s">
        <v>42</v>
      </c>
      <c r="E6" s="41" t="str">
        <f t="shared" si="2"/>
        <v>pt</v>
      </c>
      <c r="F6" s="41" t="s">
        <v>343</v>
      </c>
    </row>
    <row r="7">
      <c r="A7" s="41" t="str">
        <f>IFERROR(__xludf.DUMMYFUNCTION("""COMPUTED_VALUE"""),"Maceió")</f>
        <v>Maceió</v>
      </c>
      <c r="B7" s="41" t="s">
        <v>344</v>
      </c>
      <c r="C7" s="41" t="str">
        <f t="shared" si="1"/>
        <v>en</v>
      </c>
      <c r="D7" s="41" t="s">
        <v>49</v>
      </c>
      <c r="E7" s="41" t="str">
        <f t="shared" si="2"/>
        <v>pt</v>
      </c>
      <c r="F7" s="41" t="s">
        <v>345</v>
      </c>
    </row>
    <row r="8">
      <c r="A8" s="41" t="str">
        <f>IFERROR(__xludf.DUMMYFUNCTION("""COMPUTED_VALUE"""),"Goiânia")</f>
        <v>Goiânia</v>
      </c>
      <c r="B8" s="41" t="s">
        <v>346</v>
      </c>
      <c r="C8" s="41" t="str">
        <f t="shared" si="1"/>
        <v>en</v>
      </c>
      <c r="D8" s="41" t="s">
        <v>53</v>
      </c>
      <c r="E8" s="41" t="str">
        <f t="shared" si="2"/>
        <v>pt</v>
      </c>
      <c r="F8" s="41" t="s">
        <v>347</v>
      </c>
    </row>
    <row r="9">
      <c r="A9" s="41" t="str">
        <f>IFERROR(__xludf.DUMMYFUNCTION("""COMPUTED_VALUE"""),"Cuiabá")</f>
        <v>Cuiabá</v>
      </c>
      <c r="B9" s="41" t="s">
        <v>348</v>
      </c>
      <c r="C9" s="41" t="str">
        <f t="shared" si="1"/>
        <v>en</v>
      </c>
      <c r="D9" s="41" t="s">
        <v>57</v>
      </c>
      <c r="E9" s="41" t="str">
        <f t="shared" si="2"/>
        <v>pt</v>
      </c>
      <c r="F9" s="41" t="s">
        <v>349</v>
      </c>
    </row>
    <row r="10">
      <c r="A10" s="41" t="str">
        <f>IFERROR(__xludf.DUMMYFUNCTION("""COMPUTED_VALUE"""),"Marília")</f>
        <v>Marília</v>
      </c>
      <c r="B10" s="41" t="s">
        <v>350</v>
      </c>
      <c r="C10" s="41" t="str">
        <f t="shared" si="1"/>
        <v>en</v>
      </c>
      <c r="D10" s="41" t="s">
        <v>62</v>
      </c>
      <c r="E10" s="41" t="str">
        <f t="shared" si="2"/>
        <v>pt</v>
      </c>
      <c r="F10" s="41" t="s">
        <v>351</v>
      </c>
    </row>
    <row r="11">
      <c r="A11" s="41" t="str">
        <f>IFERROR(__xludf.DUMMYFUNCTION("""COMPUTED_VALUE"""),"Varginha")</f>
        <v>Varginha</v>
      </c>
      <c r="B11" s="41" t="s">
        <v>352</v>
      </c>
      <c r="C11" s="41" t="str">
        <f t="shared" si="1"/>
        <v>en</v>
      </c>
      <c r="D11" s="41" t="s">
        <v>73</v>
      </c>
      <c r="E11" s="41" t="str">
        <f t="shared" si="2"/>
        <v>pt</v>
      </c>
      <c r="F11" s="41" t="s">
        <v>353</v>
      </c>
    </row>
    <row r="12">
      <c r="A12" s="41" t="str">
        <f>IFERROR(__xludf.DUMMYFUNCTION("""COMPUTED_VALUE"""),"Poá")</f>
        <v>Poá</v>
      </c>
      <c r="B12" s="41" t="s">
        <v>354</v>
      </c>
      <c r="C12" s="41" t="str">
        <f t="shared" si="1"/>
        <v>en</v>
      </c>
      <c r="D12" s="41" t="s">
        <v>77</v>
      </c>
      <c r="E12" s="41" t="str">
        <f t="shared" si="2"/>
        <v>pt</v>
      </c>
      <c r="F12" s="41" t="s">
        <v>355</v>
      </c>
    </row>
    <row r="13">
      <c r="A13" s="41" t="str">
        <f>IFERROR(__xludf.DUMMYFUNCTION("""COMPUTED_VALUE"""),"Recife")</f>
        <v>Recife</v>
      </c>
      <c r="B13" s="41" t="s">
        <v>356</v>
      </c>
      <c r="C13" s="41" t="str">
        <f t="shared" si="1"/>
        <v>en</v>
      </c>
      <c r="D13" s="41" t="s">
        <v>86</v>
      </c>
      <c r="E13" s="41" t="str">
        <f t="shared" si="2"/>
        <v>pt</v>
      </c>
      <c r="F13" s="41" t="s">
        <v>357</v>
      </c>
    </row>
    <row r="14">
      <c r="A14" s="41" t="str">
        <f>IFERROR(__xludf.DUMMYFUNCTION("""COMPUTED_VALUE"""),"Rio de Janeiro")</f>
        <v>Rio de Janeiro</v>
      </c>
      <c r="B14" s="41" t="s">
        <v>358</v>
      </c>
      <c r="C14" s="41" t="str">
        <f t="shared" si="1"/>
        <v>en</v>
      </c>
      <c r="D14" s="41" t="s">
        <v>93</v>
      </c>
      <c r="E14" s="41" t="str">
        <f t="shared" si="2"/>
        <v>pt</v>
      </c>
      <c r="F14" s="41" t="s">
        <v>359</v>
      </c>
    </row>
    <row r="15">
      <c r="A15" s="41" t="str">
        <f>IFERROR(__xludf.DUMMYFUNCTION("""COMPUTED_VALUE"""),"Campo Grande")</f>
        <v>Campo Grande</v>
      </c>
      <c r="B15" s="41" t="s">
        <v>360</v>
      </c>
      <c r="C15" s="41" t="str">
        <f t="shared" si="1"/>
        <v>en</v>
      </c>
      <c r="D15" s="41" t="s">
        <v>100</v>
      </c>
      <c r="E15" s="41" t="str">
        <f t="shared" si="2"/>
        <v>pt</v>
      </c>
      <c r="F15" s="41" t="s">
        <v>361</v>
      </c>
    </row>
    <row r="16">
      <c r="A16" s="41" t="str">
        <f>IFERROR(__xludf.DUMMYFUNCTION("""COMPUTED_VALUE"""),"Bragança Paulista")</f>
        <v>Bragança Paulista</v>
      </c>
      <c r="B16" s="41" t="s">
        <v>362</v>
      </c>
      <c r="C16" s="41" t="str">
        <f t="shared" si="1"/>
        <v>en</v>
      </c>
      <c r="D16" s="41" t="s">
        <v>104</v>
      </c>
      <c r="E16" s="41" t="str">
        <f t="shared" si="2"/>
        <v>pt</v>
      </c>
      <c r="F16" s="41" t="s">
        <v>355</v>
      </c>
    </row>
    <row r="17">
      <c r="A17" s="41" t="str">
        <f>IFERROR(__xludf.DUMMYFUNCTION("""COMPUTED_VALUE"""),"Manacapuru")</f>
        <v>Manacapuru</v>
      </c>
      <c r="B17" s="41" t="s">
        <v>363</v>
      </c>
      <c r="C17" s="41" t="str">
        <f t="shared" si="1"/>
        <v>en</v>
      </c>
      <c r="D17" s="41" t="s">
        <v>111</v>
      </c>
      <c r="E17" s="41" t="str">
        <f t="shared" si="2"/>
        <v>pt</v>
      </c>
      <c r="F17" s="41" t="s">
        <v>364</v>
      </c>
    </row>
    <row r="18">
      <c r="A18" s="41" t="str">
        <f>IFERROR(__xludf.DUMMYFUNCTION("""COMPUTED_VALUE"""),"Florianópolis")</f>
        <v>Florianópolis</v>
      </c>
      <c r="B18" s="41" t="s">
        <v>365</v>
      </c>
      <c r="C18" s="41" t="str">
        <f t="shared" si="1"/>
        <v>en</v>
      </c>
      <c r="D18" s="41" t="s">
        <v>121</v>
      </c>
      <c r="E18" s="41" t="str">
        <f t="shared" si="2"/>
        <v>pt</v>
      </c>
      <c r="F18" s="41" t="s">
        <v>366</v>
      </c>
    </row>
    <row r="19">
      <c r="A19" s="41" t="str">
        <f>IFERROR(__xludf.DUMMYFUNCTION("""COMPUTED_VALUE"""),"Porto Alegre")</f>
        <v>Porto Alegre</v>
      </c>
      <c r="B19" s="41" t="s">
        <v>367</v>
      </c>
      <c r="C19" s="41" t="str">
        <f t="shared" si="1"/>
        <v>en</v>
      </c>
      <c r="D19" s="41" t="s">
        <v>128</v>
      </c>
      <c r="E19" s="41" t="str">
        <f t="shared" si="2"/>
        <v>pt</v>
      </c>
      <c r="F19" s="41" t="s">
        <v>368</v>
      </c>
    </row>
    <row r="20">
      <c r="A20" s="41" t="str">
        <f>IFERROR(__xludf.DUMMYFUNCTION("""COMPUTED_VALUE"""),"Maricá")</f>
        <v>Maricá</v>
      </c>
      <c r="B20" s="41" t="s">
        <v>369</v>
      </c>
      <c r="C20" s="41" t="str">
        <f t="shared" si="1"/>
        <v>en</v>
      </c>
      <c r="D20" s="41" t="s">
        <v>136</v>
      </c>
      <c r="E20" s="41" t="str">
        <f t="shared" si="2"/>
        <v>pt</v>
      </c>
      <c r="F20" s="41" t="s">
        <v>370</v>
      </c>
    </row>
    <row r="21">
      <c r="A21" s="41" t="str">
        <f>IFERROR(__xludf.DUMMYFUNCTION("""COMPUTED_VALUE"""),"Petrolina")</f>
        <v>Petrolina</v>
      </c>
      <c r="B21" s="41" t="s">
        <v>371</v>
      </c>
      <c r="C21" s="41" t="str">
        <f t="shared" si="1"/>
        <v>en</v>
      </c>
      <c r="D21" s="41" t="s">
        <v>140</v>
      </c>
      <c r="E21" s="41" t="str">
        <f t="shared" si="2"/>
        <v>pt</v>
      </c>
      <c r="F21" s="41" t="s">
        <v>372</v>
      </c>
    </row>
    <row r="22">
      <c r="A22" s="41" t="str">
        <f>IFERROR(__xludf.DUMMYFUNCTION("""COMPUTED_VALUE"""),"Campo Largo")</f>
        <v>Campo Largo</v>
      </c>
      <c r="B22" s="41" t="s">
        <v>373</v>
      </c>
      <c r="C22" s="41" t="str">
        <f t="shared" si="1"/>
        <v>en</v>
      </c>
      <c r="D22" s="41" t="s">
        <v>143</v>
      </c>
      <c r="E22" s="41" t="str">
        <f t="shared" si="2"/>
        <v>pt</v>
      </c>
      <c r="F22" s="41" t="s">
        <v>374</v>
      </c>
    </row>
    <row r="23">
      <c r="A23" s="41" t="str">
        <f>IFERROR(__xludf.DUMMYFUNCTION("""COMPUTED_VALUE"""),"Ribeirão Pires")</f>
        <v>Ribeirão Pires</v>
      </c>
      <c r="B23" s="41" t="s">
        <v>375</v>
      </c>
      <c r="C23" s="41" t="str">
        <f t="shared" si="1"/>
        <v>en</v>
      </c>
      <c r="D23" s="41" t="s">
        <v>146</v>
      </c>
      <c r="E23" s="41" t="str">
        <f t="shared" si="2"/>
        <v>pt</v>
      </c>
      <c r="F23" s="41" t="s">
        <v>355</v>
      </c>
    </row>
    <row r="24">
      <c r="A24" s="41" t="str">
        <f>IFERROR(__xludf.DUMMYFUNCTION("""COMPUTED_VALUE"""),"Ribeirão Preto")</f>
        <v>Ribeirão Preto</v>
      </c>
      <c r="B24" s="41" t="s">
        <v>376</v>
      </c>
      <c r="C24" s="41" t="str">
        <f t="shared" si="1"/>
        <v>en</v>
      </c>
      <c r="D24" s="41" t="s">
        <v>152</v>
      </c>
      <c r="E24" s="41" t="str">
        <f t="shared" si="2"/>
        <v>pt</v>
      </c>
      <c r="F24" s="41" t="s">
        <v>377</v>
      </c>
    </row>
    <row r="25">
      <c r="A25" s="41" t="str">
        <f>IFERROR(__xludf.DUMMYFUNCTION("""COMPUTED_VALUE"""),"Boa Vista")</f>
        <v>Boa Vista</v>
      </c>
      <c r="B25" s="41" t="s">
        <v>378</v>
      </c>
      <c r="C25" s="41" t="str">
        <f t="shared" si="1"/>
        <v>en</v>
      </c>
      <c r="D25" s="41" t="s">
        <v>157</v>
      </c>
      <c r="E25" s="41" t="str">
        <f t="shared" si="2"/>
        <v>pt</v>
      </c>
      <c r="F25" s="41" t="s">
        <v>379</v>
      </c>
    </row>
    <row r="26">
      <c r="A26" s="41" t="str">
        <f>IFERROR(__xludf.DUMMYFUNCTION("""COMPUTED_VALUE"""),"São Paulo")</f>
        <v>São Paulo</v>
      </c>
      <c r="B26" s="41" t="s">
        <v>380</v>
      </c>
      <c r="C26" s="41" t="str">
        <f t="shared" si="1"/>
        <v>en</v>
      </c>
      <c r="D26" s="41" t="s">
        <v>161</v>
      </c>
      <c r="E26" s="41" t="str">
        <f t="shared" si="2"/>
        <v>pt</v>
      </c>
      <c r="F26" s="41" t="s">
        <v>381</v>
      </c>
    </row>
    <row r="27">
      <c r="A27" s="41" t="str">
        <f>IFERROR(__xludf.DUMMYFUNCTION("""COMPUTED_VALUE"""),"Olímpia")</f>
        <v>Olímpia</v>
      </c>
      <c r="B27" s="41" t="s">
        <v>382</v>
      </c>
      <c r="C27" s="41" t="str">
        <f t="shared" si="1"/>
        <v>en</v>
      </c>
      <c r="D27" s="41" t="s">
        <v>164</v>
      </c>
      <c r="E27" s="41" t="str">
        <f t="shared" si="2"/>
        <v>pt</v>
      </c>
      <c r="F27" s="41" t="s">
        <v>355</v>
      </c>
    </row>
    <row r="28">
      <c r="A28" s="41" t="str">
        <f>IFERROR(__xludf.DUMMYFUNCTION("""COMPUTED_VALUE"""),"Vila Velha")</f>
        <v>Vila Velha</v>
      </c>
      <c r="B28" s="41" t="s">
        <v>383</v>
      </c>
      <c r="C28" s="41" t="str">
        <f t="shared" si="1"/>
        <v>en</v>
      </c>
      <c r="D28" s="41" t="s">
        <v>172</v>
      </c>
      <c r="E28" s="41" t="str">
        <f t="shared" si="2"/>
        <v>pt</v>
      </c>
      <c r="F28" s="41" t="s">
        <v>384</v>
      </c>
    </row>
    <row r="29">
      <c r="A29" s="41" t="str">
        <f>IFERROR(__xludf.DUMMYFUNCTION("""COMPUTED_VALUE"""),"Cabreúva")</f>
        <v>Cabreúva</v>
      </c>
      <c r="B29" s="41" t="s">
        <v>385</v>
      </c>
      <c r="C29" s="41" t="str">
        <f t="shared" si="1"/>
        <v>en</v>
      </c>
      <c r="D29" s="41" t="s">
        <v>178</v>
      </c>
      <c r="E29" s="41" t="str">
        <f t="shared" si="2"/>
        <v>pt</v>
      </c>
      <c r="F29" s="41" t="s">
        <v>386</v>
      </c>
    </row>
    <row r="30">
      <c r="A30" s="41" t="str">
        <f>IFERROR(__xludf.DUMMYFUNCTION("""COMPUTED_VALUE"""),"Itatiba")</f>
        <v>Itatiba</v>
      </c>
      <c r="B30" s="41" t="s">
        <v>387</v>
      </c>
      <c r="C30" s="41" t="str">
        <f t="shared" si="1"/>
        <v>en</v>
      </c>
      <c r="D30" s="41" t="s">
        <v>181</v>
      </c>
      <c r="E30" s="41" t="str">
        <f t="shared" si="2"/>
        <v>pt</v>
      </c>
      <c r="F30" s="41" t="s">
        <v>351</v>
      </c>
    </row>
    <row r="31">
      <c r="A31" s="41" t="str">
        <f>IFERROR(__xludf.DUMMYFUNCTION("""COMPUTED_VALUE"""),"Mamanguape")</f>
        <v>Mamanguape</v>
      </c>
      <c r="B31" s="41" t="s">
        <v>388</v>
      </c>
      <c r="C31" s="41" t="str">
        <f t="shared" si="1"/>
        <v>en</v>
      </c>
      <c r="D31" s="41" t="s">
        <v>186</v>
      </c>
      <c r="E31" s="41" t="str">
        <f t="shared" si="2"/>
        <v>pt</v>
      </c>
      <c r="F31" s="41" t="s">
        <v>389</v>
      </c>
    </row>
    <row r="32">
      <c r="A32" s="41" t="str">
        <f>IFERROR(__xludf.DUMMYFUNCTION("""COMPUTED_VALUE"""),"Paranaguá")</f>
        <v>Paranaguá</v>
      </c>
      <c r="B32" s="41" t="s">
        <v>390</v>
      </c>
      <c r="C32" s="41" t="str">
        <f t="shared" si="1"/>
        <v>en</v>
      </c>
      <c r="D32" s="41" t="s">
        <v>190</v>
      </c>
      <c r="E32" s="41" t="str">
        <f t="shared" si="2"/>
        <v>pt</v>
      </c>
      <c r="F32" s="41" t="s">
        <v>374</v>
      </c>
    </row>
    <row r="33">
      <c r="A33" s="41" t="str">
        <f>IFERROR(__xludf.DUMMYFUNCTION("""COMPUTED_VALUE"""),"Pérola")</f>
        <v>Pérola</v>
      </c>
      <c r="B33" s="41" t="s">
        <v>391</v>
      </c>
      <c r="C33" s="41" t="str">
        <f t="shared" si="1"/>
        <v>en</v>
      </c>
      <c r="D33" s="41" t="s">
        <v>193</v>
      </c>
      <c r="E33" s="41" t="str">
        <f t="shared" si="2"/>
        <v>pt</v>
      </c>
      <c r="F33" s="41" t="s">
        <v>392</v>
      </c>
    </row>
    <row r="34">
      <c r="A34" s="41" t="str">
        <f>IFERROR(__xludf.DUMMYFUNCTION("""COMPUTED_VALUE"""),"Petrópolis")</f>
        <v>Petrópolis</v>
      </c>
      <c r="B34" s="41" t="s">
        <v>393</v>
      </c>
      <c r="C34" s="41" t="str">
        <f t="shared" si="1"/>
        <v>en</v>
      </c>
      <c r="D34" s="41" t="s">
        <v>199</v>
      </c>
      <c r="E34" s="41" t="str">
        <f t="shared" si="2"/>
        <v>pt</v>
      </c>
      <c r="F34" s="41" t="s">
        <v>394</v>
      </c>
    </row>
    <row r="35">
      <c r="A35" s="41" t="str">
        <f>IFERROR(__xludf.DUMMYFUNCTION("""COMPUTED_VALUE"""),"Pouso Redondo")</f>
        <v>Pouso Redondo</v>
      </c>
      <c r="B35" s="41" t="s">
        <v>395</v>
      </c>
      <c r="C35" s="41" t="str">
        <f t="shared" si="1"/>
        <v>en</v>
      </c>
      <c r="D35" s="41" t="s">
        <v>204</v>
      </c>
      <c r="E35" s="41" t="str">
        <f t="shared" si="2"/>
        <v>pt</v>
      </c>
      <c r="F35" s="41" t="s">
        <v>396</v>
      </c>
    </row>
    <row r="36">
      <c r="A36" s="41" t="str">
        <f>IFERROR(__xludf.DUMMYFUNCTION("""COMPUTED_VALUE"""),"Rio Branco")</f>
        <v>Rio Branco</v>
      </c>
      <c r="B36" s="41" t="s">
        <v>397</v>
      </c>
      <c r="C36" s="41" t="str">
        <f t="shared" si="1"/>
        <v>en</v>
      </c>
      <c r="D36" s="41" t="s">
        <v>209</v>
      </c>
      <c r="E36" s="41" t="str">
        <f t="shared" si="2"/>
        <v>pt</v>
      </c>
      <c r="F36" s="41" t="s">
        <v>398</v>
      </c>
    </row>
    <row r="37">
      <c r="A37" s="41" t="str">
        <f>IFERROR(__xludf.DUMMYFUNCTION("""COMPUTED_VALUE"""),"Serra Talhada")</f>
        <v>Serra Talhada</v>
      </c>
      <c r="B37" s="41" t="s">
        <v>399</v>
      </c>
      <c r="C37" s="41" t="str">
        <f t="shared" si="1"/>
        <v>en</v>
      </c>
      <c r="D37" s="41" t="s">
        <v>213</v>
      </c>
      <c r="E37" s="41" t="str">
        <f t="shared" si="2"/>
        <v>pt</v>
      </c>
      <c r="F37" s="41" t="s">
        <v>400</v>
      </c>
    </row>
    <row r="38">
      <c r="A38" s="41" t="str">
        <f>IFERROR(__xludf.DUMMYFUNCTION("""COMPUTED_VALUE"""),"Venâncio Aires")</f>
        <v>Venâncio Aires</v>
      </c>
      <c r="B38" s="41" t="s">
        <v>401</v>
      </c>
      <c r="C38" s="41" t="str">
        <f t="shared" si="1"/>
        <v>en</v>
      </c>
      <c r="D38" s="41" t="s">
        <v>216</v>
      </c>
      <c r="E38" s="41" t="str">
        <f t="shared" si="2"/>
        <v>pt</v>
      </c>
      <c r="F38" s="41" t="s">
        <v>343</v>
      </c>
    </row>
    <row r="39">
      <c r="A39" s="41" t="str">
        <f>IFERROR(__xludf.DUMMYFUNCTION("""COMPUTED_VALUE"""),"Vitória")</f>
        <v>Vitória</v>
      </c>
      <c r="B39" s="41" t="s">
        <v>402</v>
      </c>
      <c r="C39" s="41" t="str">
        <f t="shared" si="1"/>
        <v>en</v>
      </c>
      <c r="D39" s="41" t="s">
        <v>403</v>
      </c>
      <c r="E39" s="41" t="str">
        <f t="shared" si="2"/>
        <v>pt</v>
      </c>
      <c r="F39" s="41" t="s">
        <v>404</v>
      </c>
    </row>
    <row r="40">
      <c r="A40" s="41" t="str">
        <f>IFERROR(__xludf.DUMMYFUNCTION("""COMPUTED_VALUE"""),"Barueri")</f>
        <v>Barueri</v>
      </c>
      <c r="B40" s="41" t="s">
        <v>405</v>
      </c>
      <c r="C40" s="41" t="str">
        <f t="shared" si="1"/>
        <v>en</v>
      </c>
      <c r="D40" s="41" t="s">
        <v>235</v>
      </c>
      <c r="E40" s="41" t="str">
        <f t="shared" si="2"/>
        <v>pt</v>
      </c>
      <c r="F40" s="41" t="s">
        <v>406</v>
      </c>
    </row>
    <row r="41">
      <c r="A41" s="41" t="str">
        <f>IFERROR(__xludf.DUMMYFUNCTION("""COMPUTED_VALUE"""),"Três de Maio")</f>
        <v>Três de Maio</v>
      </c>
      <c r="B41" s="41" t="s">
        <v>407</v>
      </c>
      <c r="C41" s="41" t="str">
        <f t="shared" si="1"/>
        <v>en</v>
      </c>
      <c r="D41" s="41" t="s">
        <v>242</v>
      </c>
      <c r="E41" s="41" t="str">
        <f t="shared" si="2"/>
        <v>pt</v>
      </c>
      <c r="F41" s="41" t="s">
        <v>408</v>
      </c>
    </row>
    <row r="42">
      <c r="A42" s="41" t="str">
        <f>IFERROR(__xludf.DUMMYFUNCTION("""COMPUTED_VALUE"""),"Bariri")</f>
        <v>Bariri</v>
      </c>
      <c r="B42" s="41" t="s">
        <v>409</v>
      </c>
      <c r="C42" s="41" t="str">
        <f t="shared" si="1"/>
        <v>en</v>
      </c>
      <c r="D42" s="41" t="s">
        <v>245</v>
      </c>
      <c r="E42" s="41" t="str">
        <f t="shared" si="2"/>
        <v>pt</v>
      </c>
      <c r="F42" s="41" t="s">
        <v>355</v>
      </c>
    </row>
    <row r="43">
      <c r="A43" s="41" t="str">
        <f>IFERROR(__xludf.DUMMYFUNCTION("""COMPUTED_VALUE"""),"Guaratuba")</f>
        <v>Guaratuba</v>
      </c>
      <c r="B43" s="41" t="s">
        <v>410</v>
      </c>
      <c r="C43" s="41" t="str">
        <f t="shared" si="1"/>
        <v>en</v>
      </c>
      <c r="D43" s="41" t="s">
        <v>249</v>
      </c>
      <c r="E43" s="41" t="str">
        <f t="shared" si="2"/>
        <v>pt</v>
      </c>
      <c r="F43" s="41" t="s">
        <v>392</v>
      </c>
    </row>
    <row r="44">
      <c r="A44" s="41" t="str">
        <f>IFERROR(__xludf.DUMMYFUNCTION("""COMPUTED_VALUE"""),"Salvador")</f>
        <v>Salvador</v>
      </c>
      <c r="B44" s="40" t="s">
        <v>411</v>
      </c>
      <c r="C44" s="41" t="str">
        <f t="shared" si="1"/>
        <v>en</v>
      </c>
      <c r="D44" s="41" t="s">
        <v>253</v>
      </c>
      <c r="E44" s="41" t="str">
        <f t="shared" si="2"/>
        <v>pt</v>
      </c>
      <c r="F44" s="41" t="s">
        <v>412</v>
      </c>
    </row>
    <row r="45">
      <c r="A45" s="41" t="str">
        <f>IFERROR(__xludf.DUMMYFUNCTION("""COMPUTED_VALUE"""),"Campinas")</f>
        <v>Campinas</v>
      </c>
      <c r="B45" s="41" t="s">
        <v>413</v>
      </c>
      <c r="C45" s="41" t="str">
        <f t="shared" si="1"/>
        <v>en</v>
      </c>
      <c r="D45" s="41" t="s">
        <v>257</v>
      </c>
      <c r="E45" s="41" t="str">
        <f t="shared" si="2"/>
        <v>pt</v>
      </c>
      <c r="F45" s="41" t="s">
        <v>355</v>
      </c>
    </row>
    <row r="46">
      <c r="A46" s="41" t="str">
        <f>IFERROR(__xludf.DUMMYFUNCTION("""COMPUTED_VALUE"""),"Assis")</f>
        <v>Assis</v>
      </c>
      <c r="B46" s="41" t="s">
        <v>414</v>
      </c>
      <c r="C46" s="41" t="str">
        <f t="shared" si="1"/>
        <v>en</v>
      </c>
      <c r="D46" s="41" t="s">
        <v>261</v>
      </c>
      <c r="E46" s="41" t="str">
        <f t="shared" si="2"/>
        <v>pt</v>
      </c>
      <c r="F46" s="41" t="s">
        <v>415</v>
      </c>
    </row>
    <row r="47">
      <c r="A47" s="41" t="str">
        <f>IFERROR(__xludf.DUMMYFUNCTION("""COMPUTED_VALUE"""),"Piumhi")</f>
        <v>Piumhi</v>
      </c>
      <c r="B47" s="41" t="s">
        <v>416</v>
      </c>
      <c r="C47" s="41" t="str">
        <f t="shared" si="1"/>
        <v>en</v>
      </c>
      <c r="D47" s="41" t="s">
        <v>267</v>
      </c>
      <c r="E47" s="41" t="str">
        <f t="shared" si="2"/>
        <v>pt</v>
      </c>
      <c r="F47" s="41" t="s">
        <v>417</v>
      </c>
    </row>
    <row r="48">
      <c r="A48" s="41" t="str">
        <f>IFERROR(__xludf.DUMMYFUNCTION("""COMPUTED_VALUE"""),"Trindade")</f>
        <v>Trindade</v>
      </c>
      <c r="B48" s="41" t="s">
        <v>418</v>
      </c>
      <c r="C48" s="41" t="str">
        <f t="shared" si="1"/>
        <v>en</v>
      </c>
      <c r="D48" s="41" t="s">
        <v>273</v>
      </c>
      <c r="E48" s="41" t="str">
        <f t="shared" si="2"/>
        <v>pt</v>
      </c>
      <c r="F48" s="41" t="s">
        <v>419</v>
      </c>
    </row>
    <row r="49">
      <c r="A49" s="41" t="str">
        <f>IFERROR(__xludf.DUMMYFUNCTION("""COMPUTED_VALUE"""),"São Lourenço do Oeste")</f>
        <v>São Lourenço do Oeste</v>
      </c>
      <c r="B49" s="41" t="s">
        <v>420</v>
      </c>
      <c r="C49" s="41" t="str">
        <f t="shared" si="1"/>
        <v>en</v>
      </c>
      <c r="D49" s="41" t="s">
        <v>278</v>
      </c>
      <c r="E49" s="41" t="str">
        <f t="shared" si="2"/>
        <v>pt</v>
      </c>
      <c r="F49" s="41" t="s">
        <v>421</v>
      </c>
    </row>
    <row r="50">
      <c r="A50" s="41" t="str">
        <f>IFERROR(__xludf.DUMMYFUNCTION("""COMPUTED_VALUE"""),"Manaus")</f>
        <v>Manaus</v>
      </c>
      <c r="B50" s="41" t="s">
        <v>422</v>
      </c>
      <c r="C50" s="41" t="str">
        <f t="shared" si="1"/>
        <v>en</v>
      </c>
      <c r="D50" s="41" t="s">
        <v>281</v>
      </c>
      <c r="E50" s="41" t="str">
        <f t="shared" si="2"/>
        <v>pt</v>
      </c>
      <c r="F50" s="41" t="s">
        <v>423</v>
      </c>
    </row>
    <row r="51">
      <c r="A51" s="41" t="str">
        <f>IFERROR(__xludf.DUMMYFUNCTION("""COMPUTED_VALUE"""),"Porto Nacional")</f>
        <v>Porto Nacional</v>
      </c>
      <c r="B51" s="41" t="s">
        <v>424</v>
      </c>
      <c r="C51" s="41" t="str">
        <f t="shared" si="1"/>
        <v>en</v>
      </c>
      <c r="D51" s="41" t="s">
        <v>290</v>
      </c>
      <c r="E51" s="41" t="str">
        <f t="shared" si="2"/>
        <v>pt</v>
      </c>
      <c r="F51" s="41" t="s">
        <v>425</v>
      </c>
    </row>
    <row r="52">
      <c r="A52" s="41" t="str">
        <f>IFERROR(__xludf.DUMMYFUNCTION("""COMPUTED_VALUE"""),"Diamantino")</f>
        <v>Diamantino</v>
      </c>
      <c r="B52" s="41" t="s">
        <v>426</v>
      </c>
      <c r="C52" s="41" t="str">
        <f t="shared" si="1"/>
        <v>en</v>
      </c>
      <c r="D52" s="41" t="s">
        <v>297</v>
      </c>
      <c r="E52" s="41" t="str">
        <f t="shared" si="2"/>
        <v>pt</v>
      </c>
      <c r="F52" s="41" t="s">
        <v>427</v>
      </c>
    </row>
    <row r="53">
      <c r="A53" s="41" t="str">
        <f>IFERROR(__xludf.DUMMYFUNCTION("""COMPUTED_VALUE"""),"São José")</f>
        <v>São José</v>
      </c>
      <c r="B53" s="40" t="s">
        <v>428</v>
      </c>
      <c r="C53" s="41" t="str">
        <f t="shared" si="1"/>
        <v>en</v>
      </c>
      <c r="D53" s="41" t="s">
        <v>429</v>
      </c>
      <c r="E53" s="41" t="str">
        <f t="shared" si="2"/>
        <v>pt</v>
      </c>
      <c r="F53" s="41" t="s">
        <v>430</v>
      </c>
    </row>
    <row r="54">
      <c r="A54" s="41" t="str">
        <f>IFERROR(__xludf.DUMMYFUNCTION("""COMPUTED_VALUE"""),"Cerqueira César")</f>
        <v>Cerqueira César</v>
      </c>
      <c r="B54" s="41" t="s">
        <v>431</v>
      </c>
      <c r="C54" s="41" t="str">
        <f t="shared" si="1"/>
        <v>en</v>
      </c>
      <c r="D54" s="41" t="s">
        <v>308</v>
      </c>
      <c r="E54" s="41" t="str">
        <f t="shared" si="2"/>
        <v>pt</v>
      </c>
      <c r="F54" s="41" t="s">
        <v>355</v>
      </c>
    </row>
    <row r="55">
      <c r="A55" s="41" t="str">
        <f>IFERROR(__xludf.DUMMYFUNCTION("""COMPUTED_VALUE"""),"Juazeiro")</f>
        <v>Juazeiro</v>
      </c>
      <c r="B55" s="41" t="s">
        <v>432</v>
      </c>
      <c r="C55" s="41" t="str">
        <f t="shared" si="1"/>
        <v>en</v>
      </c>
      <c r="D55" s="41" t="s">
        <v>320</v>
      </c>
      <c r="E55" s="41" t="str">
        <f t="shared" si="2"/>
        <v>pt</v>
      </c>
      <c r="F55" s="41" t="s">
        <v>433</v>
      </c>
    </row>
    <row r="56">
      <c r="A56" s="41"/>
      <c r="B56" s="41" t="s">
        <v>434</v>
      </c>
      <c r="C56" s="41" t="str">
        <f t="shared" si="1"/>
        <v/>
      </c>
      <c r="E56" s="41" t="str">
        <f t="shared" si="2"/>
        <v/>
      </c>
    </row>
    <row r="57">
      <c r="A57" s="41" t="str">
        <f>IFERROR(__xludf.DUMMYFUNCTION("""COMPUTED_VALUE"""),"UF")</f>
        <v>UF</v>
      </c>
      <c r="B57" s="41" t="s">
        <v>435</v>
      </c>
      <c r="C57" s="41" t="str">
        <f t="shared" si="1"/>
        <v>en</v>
      </c>
      <c r="D57" s="41" t="s">
        <v>436</v>
      </c>
      <c r="E57" s="41" t="str">
        <f t="shared" si="2"/>
        <v/>
      </c>
    </row>
    <row r="58">
      <c r="A58" s="41" t="str">
        <f>IFERROR(__xludf.DUMMYFUNCTION("""COMPUTED_VALUE"""),"DF")</f>
        <v>DF</v>
      </c>
      <c r="B58" s="41" t="s">
        <v>437</v>
      </c>
      <c r="C58" s="41" t="str">
        <f t="shared" si="1"/>
        <v>en</v>
      </c>
      <c r="D58" s="41" t="s">
        <v>438</v>
      </c>
      <c r="E58" s="41" t="str">
        <f t="shared" si="2"/>
        <v>pt</v>
      </c>
      <c r="F58" s="41" t="s">
        <v>439</v>
      </c>
    </row>
    <row r="59">
      <c r="A59" s="41" t="str">
        <f>IFERROR(__xludf.DUMMYFUNCTION("""COMPUTED_VALUE"""),"CE")</f>
        <v>CE</v>
      </c>
      <c r="B59" s="40" t="s">
        <v>440</v>
      </c>
      <c r="C59" s="41" t="str">
        <f t="shared" si="1"/>
        <v>en</v>
      </c>
      <c r="D59" s="41" t="s">
        <v>441</v>
      </c>
      <c r="E59" s="41" t="str">
        <f t="shared" si="2"/>
        <v>pt</v>
      </c>
      <c r="F59" s="41" t="s">
        <v>439</v>
      </c>
    </row>
    <row r="60">
      <c r="A60" s="41" t="str">
        <f>IFERROR(__xludf.DUMMYFUNCTION("""COMPUTED_VALUE"""),"PR")</f>
        <v>PR</v>
      </c>
      <c r="B60" s="40" t="s">
        <v>442</v>
      </c>
      <c r="C60" s="41" t="str">
        <f t="shared" si="1"/>
        <v>en</v>
      </c>
      <c r="D60" s="41" t="s">
        <v>443</v>
      </c>
      <c r="E60" s="41" t="str">
        <f t="shared" si="2"/>
        <v>pt</v>
      </c>
      <c r="F60" s="41" t="s">
        <v>439</v>
      </c>
    </row>
    <row r="61">
      <c r="A61" s="41" t="str">
        <f>IFERROR(__xludf.DUMMYFUNCTION("""COMPUTED_VALUE"""),"RS")</f>
        <v>RS</v>
      </c>
      <c r="B61" s="40" t="s">
        <v>444</v>
      </c>
      <c r="C61" s="41" t="str">
        <f t="shared" si="1"/>
        <v>en</v>
      </c>
      <c r="D61" s="41" t="s">
        <v>445</v>
      </c>
      <c r="E61" s="41" t="str">
        <f t="shared" si="2"/>
        <v>pt</v>
      </c>
      <c r="F61" s="41" t="s">
        <v>439</v>
      </c>
    </row>
    <row r="62">
      <c r="A62" s="41" t="str">
        <f>IFERROR(__xludf.DUMMYFUNCTION("""COMPUTED_VALUE"""),"AL")</f>
        <v>AL</v>
      </c>
      <c r="B62" s="40" t="s">
        <v>446</v>
      </c>
      <c r="C62" s="41" t="str">
        <f t="shared" si="1"/>
        <v>en</v>
      </c>
      <c r="D62" s="41" t="s">
        <v>447</v>
      </c>
      <c r="E62" s="41" t="str">
        <f t="shared" si="2"/>
        <v>pt</v>
      </c>
      <c r="F62" s="41" t="s">
        <v>439</v>
      </c>
    </row>
    <row r="63">
      <c r="A63" s="41" t="str">
        <f>IFERROR(__xludf.DUMMYFUNCTION("""COMPUTED_VALUE"""),"GO")</f>
        <v>GO</v>
      </c>
      <c r="B63" s="40" t="s">
        <v>448</v>
      </c>
      <c r="C63" s="41" t="str">
        <f t="shared" si="1"/>
        <v>en</v>
      </c>
      <c r="D63" s="41" t="s">
        <v>449</v>
      </c>
      <c r="E63" s="41" t="str">
        <f t="shared" si="2"/>
        <v>pt</v>
      </c>
      <c r="F63" s="41" t="s">
        <v>439</v>
      </c>
    </row>
    <row r="64">
      <c r="A64" s="41" t="str">
        <f>IFERROR(__xludf.DUMMYFUNCTION("""COMPUTED_VALUE"""),"MT")</f>
        <v>MT</v>
      </c>
      <c r="B64" s="40" t="s">
        <v>450</v>
      </c>
      <c r="C64" s="41" t="str">
        <f t="shared" si="1"/>
        <v>en</v>
      </c>
      <c r="D64" s="41" t="s">
        <v>451</v>
      </c>
      <c r="E64" s="41" t="str">
        <f t="shared" si="2"/>
        <v>pt</v>
      </c>
      <c r="F64" s="41" t="s">
        <v>439</v>
      </c>
    </row>
    <row r="65">
      <c r="A65" s="41" t="str">
        <f>IFERROR(__xludf.DUMMYFUNCTION("""COMPUTED_VALUE"""),"SP")</f>
        <v>SP</v>
      </c>
      <c r="B65" s="41" t="s">
        <v>452</v>
      </c>
      <c r="C65" s="41" t="str">
        <f t="shared" si="1"/>
        <v>en</v>
      </c>
      <c r="D65" s="41" t="s">
        <v>161</v>
      </c>
      <c r="E65" s="41" t="str">
        <f t="shared" si="2"/>
        <v>pt</v>
      </c>
      <c r="F65" s="41" t="s">
        <v>439</v>
      </c>
    </row>
    <row r="66">
      <c r="A66" s="41" t="str">
        <f>IFERROR(__xludf.DUMMYFUNCTION("""COMPUTED_VALUE"""),"MG")</f>
        <v>MG</v>
      </c>
      <c r="B66" s="40" t="s">
        <v>453</v>
      </c>
      <c r="C66" s="41" t="str">
        <f t="shared" si="1"/>
        <v>en</v>
      </c>
      <c r="D66" s="41" t="s">
        <v>454</v>
      </c>
      <c r="E66" s="41" t="str">
        <f t="shared" si="2"/>
        <v>pt</v>
      </c>
      <c r="F66" s="41" t="s">
        <v>439</v>
      </c>
    </row>
    <row r="67">
      <c r="A67" s="41" t="str">
        <f>IFERROR(__xludf.DUMMYFUNCTION("""COMPUTED_VALUE"""),"PE")</f>
        <v>PE</v>
      </c>
      <c r="B67" s="40" t="s">
        <v>455</v>
      </c>
      <c r="C67" s="41" t="str">
        <f t="shared" si="1"/>
        <v>en</v>
      </c>
      <c r="D67" s="41" t="s">
        <v>456</v>
      </c>
      <c r="E67" s="41" t="str">
        <f t="shared" si="2"/>
        <v>pt</v>
      </c>
      <c r="F67" s="41" t="s">
        <v>439</v>
      </c>
    </row>
    <row r="68">
      <c r="A68" s="41" t="str">
        <f>IFERROR(__xludf.DUMMYFUNCTION("""COMPUTED_VALUE"""),"RJ")</f>
        <v>RJ</v>
      </c>
      <c r="B68" s="41" t="s">
        <v>457</v>
      </c>
      <c r="C68" s="41" t="str">
        <f t="shared" si="1"/>
        <v>en</v>
      </c>
      <c r="D68" s="41" t="s">
        <v>93</v>
      </c>
      <c r="E68" s="41" t="str">
        <f t="shared" si="2"/>
        <v>pt</v>
      </c>
      <c r="F68" s="41" t="s">
        <v>439</v>
      </c>
    </row>
    <row r="69">
      <c r="A69" s="41" t="str">
        <f>IFERROR(__xludf.DUMMYFUNCTION("""COMPUTED_VALUE"""),"MS")</f>
        <v>MS</v>
      </c>
      <c r="B69" s="40" t="s">
        <v>458</v>
      </c>
      <c r="C69" s="41" t="str">
        <f t="shared" si="1"/>
        <v>en</v>
      </c>
      <c r="D69" s="41" t="s">
        <v>459</v>
      </c>
      <c r="E69" s="41" t="str">
        <f t="shared" si="2"/>
        <v>pt</v>
      </c>
      <c r="F69" s="41" t="s">
        <v>439</v>
      </c>
    </row>
    <row r="70">
      <c r="A70" s="41" t="str">
        <f>IFERROR(__xludf.DUMMYFUNCTION("""COMPUTED_VALUE"""),"AM")</f>
        <v>AM</v>
      </c>
      <c r="B70" s="40" t="s">
        <v>460</v>
      </c>
      <c r="C70" s="41" t="str">
        <f t="shared" si="1"/>
        <v>en</v>
      </c>
      <c r="D70" s="41" t="s">
        <v>461</v>
      </c>
      <c r="E70" s="41" t="str">
        <f t="shared" si="2"/>
        <v>pt</v>
      </c>
      <c r="F70" s="41" t="s">
        <v>439</v>
      </c>
    </row>
    <row r="71">
      <c r="A71" s="41" t="str">
        <f>IFERROR(__xludf.DUMMYFUNCTION("""COMPUTED_VALUE"""),"SC")</f>
        <v>SC</v>
      </c>
      <c r="B71" s="40" t="s">
        <v>462</v>
      </c>
      <c r="C71" s="41" t="str">
        <f t="shared" si="1"/>
        <v>en</v>
      </c>
      <c r="D71" s="41" t="s">
        <v>463</v>
      </c>
      <c r="E71" s="41" t="str">
        <f t="shared" si="2"/>
        <v>pt</v>
      </c>
      <c r="F71" s="41" t="s">
        <v>439</v>
      </c>
    </row>
    <row r="72">
      <c r="A72" s="41" t="str">
        <f>IFERROR(__xludf.DUMMYFUNCTION("""COMPUTED_VALUE"""),"RR")</f>
        <v>RR</v>
      </c>
      <c r="B72" s="41" t="s">
        <v>464</v>
      </c>
      <c r="C72" s="41" t="str">
        <f t="shared" si="1"/>
        <v>en</v>
      </c>
      <c r="D72" s="41" t="s">
        <v>465</v>
      </c>
      <c r="E72" s="41" t="str">
        <f t="shared" si="2"/>
        <v>pt</v>
      </c>
      <c r="F72" s="41" t="s">
        <v>439</v>
      </c>
    </row>
    <row r="73">
      <c r="A73" s="41" t="str">
        <f>IFERROR(__xludf.DUMMYFUNCTION("""COMPUTED_VALUE"""),"ES")</f>
        <v>ES</v>
      </c>
      <c r="B73" s="40" t="s">
        <v>466</v>
      </c>
      <c r="C73" s="41" t="str">
        <f t="shared" si="1"/>
        <v>en</v>
      </c>
      <c r="D73" s="41" t="s">
        <v>467</v>
      </c>
      <c r="E73" s="41" t="str">
        <f t="shared" si="2"/>
        <v>pt</v>
      </c>
      <c r="F73" s="41" t="s">
        <v>439</v>
      </c>
    </row>
    <row r="74">
      <c r="A74" s="41" t="str">
        <f>IFERROR(__xludf.DUMMYFUNCTION("""COMPUTED_VALUE"""),"PB")</f>
        <v>PB</v>
      </c>
      <c r="B74" s="40" t="s">
        <v>455</v>
      </c>
      <c r="C74" s="41" t="str">
        <f t="shared" si="1"/>
        <v>en</v>
      </c>
      <c r="D74" s="41" t="s">
        <v>456</v>
      </c>
      <c r="E74" s="41" t="str">
        <f t="shared" si="2"/>
        <v>pt</v>
      </c>
      <c r="F74" s="41" t="s">
        <v>439</v>
      </c>
    </row>
    <row r="75">
      <c r="A75" s="41" t="str">
        <f>IFERROR(__xludf.DUMMYFUNCTION("""COMPUTED_VALUE"""),"AC")</f>
        <v>AC</v>
      </c>
      <c r="B75" s="40" t="s">
        <v>468</v>
      </c>
      <c r="C75" s="41" t="str">
        <f t="shared" si="1"/>
        <v>en</v>
      </c>
      <c r="D75" s="41" t="s">
        <v>469</v>
      </c>
      <c r="E75" s="41" t="str">
        <f t="shared" si="2"/>
        <v>pt</v>
      </c>
      <c r="F75" s="41" t="s">
        <v>439</v>
      </c>
    </row>
    <row r="76">
      <c r="A76" s="41" t="str">
        <f>IFERROR(__xludf.DUMMYFUNCTION("""COMPUTED_VALUE"""),"BA")</f>
        <v>BA</v>
      </c>
      <c r="B76" s="40" t="s">
        <v>470</v>
      </c>
      <c r="C76" s="41" t="str">
        <f t="shared" si="1"/>
        <v>en</v>
      </c>
      <c r="D76" s="41" t="s">
        <v>471</v>
      </c>
      <c r="E76" s="41" t="str">
        <f t="shared" si="2"/>
        <v>pt</v>
      </c>
      <c r="F76" s="41" t="s">
        <v>439</v>
      </c>
    </row>
    <row r="77">
      <c r="A77" s="41" t="str">
        <f>IFERROR(__xludf.DUMMYFUNCTION("""COMPUTED_VALUE"""),"TO")</f>
        <v>TO</v>
      </c>
      <c r="B77" s="40" t="s">
        <v>472</v>
      </c>
      <c r="C77" s="41" t="str">
        <f t="shared" si="1"/>
        <v>en</v>
      </c>
      <c r="D77" s="41" t="s">
        <v>473</v>
      </c>
      <c r="E77" s="41" t="str">
        <f t="shared" si="2"/>
        <v>pt</v>
      </c>
      <c r="F77" s="41" t="s">
        <v>439</v>
      </c>
    </row>
    <row r="78">
      <c r="A78" s="41" t="str">
        <f>IFERROR(__xludf.DUMMYFUNCTION("""COMPUTED_VALUE"""),"Autoria1")</f>
        <v>Autoria1</v>
      </c>
      <c r="B78" s="41" t="s">
        <v>434</v>
      </c>
      <c r="C78" s="41" t="str">
        <f t="shared" si="1"/>
        <v/>
      </c>
      <c r="E78" s="41" t="str">
        <f t="shared" si="2"/>
        <v/>
      </c>
    </row>
    <row r="79">
      <c r="A79" s="41" t="str">
        <f>IFERROR(__xludf.DUMMYFUNCTION("""COMPUTED_VALUE"""),"Vanessa Bhering")</f>
        <v>Vanessa Bhering</v>
      </c>
      <c r="B79" s="40" t="s">
        <v>474</v>
      </c>
      <c r="C79" s="41" t="str">
        <f t="shared" si="1"/>
        <v>en</v>
      </c>
      <c r="D79" s="41" t="s">
        <v>22</v>
      </c>
      <c r="E79" s="41" t="str">
        <f t="shared" si="2"/>
        <v/>
      </c>
    </row>
    <row r="80">
      <c r="A80" s="41" t="str">
        <f>IFERROR(__xludf.DUMMYFUNCTION("""COMPUTED_VALUE"""),"Zakeu Vitor")</f>
        <v>Zakeu Vitor</v>
      </c>
      <c r="B80" s="40" t="s">
        <v>475</v>
      </c>
      <c r="C80" s="41" t="str">
        <f t="shared" si="1"/>
        <v>en</v>
      </c>
      <c r="D80" s="41" t="s">
        <v>28</v>
      </c>
      <c r="E80" s="41" t="str">
        <f t="shared" si="2"/>
        <v/>
      </c>
    </row>
    <row r="81">
      <c r="A81" s="41" t="str">
        <f>IFERROR(__xludf.DUMMYFUNCTION("""COMPUTED_VALUE"""),"João Turin")</f>
        <v>João Turin</v>
      </c>
      <c r="B81" s="41" t="s">
        <v>476</v>
      </c>
      <c r="C81" s="41" t="str">
        <f t="shared" si="1"/>
        <v>en</v>
      </c>
      <c r="D81" s="41" t="s">
        <v>39</v>
      </c>
      <c r="E81" s="41" t="str">
        <f t="shared" ref="E81:E151" si="3">WIKIDATADESCRIPTIONS(B81, "pt-br")</f>
        <v/>
      </c>
    </row>
    <row r="82">
      <c r="A82" s="41" t="str">
        <f>IFERROR(__xludf.DUMMYFUNCTION("""COMPUTED_VALUE"""),"Cristtiano Fabris")</f>
        <v>Cristtiano Fabris</v>
      </c>
      <c r="B82" s="40" t="s">
        <v>477</v>
      </c>
      <c r="C82" s="41" t="str">
        <f t="shared" ref="C82:C151" si="4">WIKIDATALABELS(B82, "pt-br")</f>
        <v>pt-br</v>
      </c>
      <c r="D82" s="41" t="s">
        <v>44</v>
      </c>
      <c r="E82" s="41" t="str">
        <f t="shared" si="3"/>
        <v>pt-br</v>
      </c>
      <c r="F82" s="41" t="s">
        <v>478</v>
      </c>
    </row>
    <row r="83">
      <c r="A83" s="41" t="str">
        <f>IFERROR(__xludf.DUMMYFUNCTION("""COMPUTED_VALUE"""),"Fernando Canalli")</f>
        <v>Fernando Canalli</v>
      </c>
      <c r="B83" s="40" t="s">
        <v>479</v>
      </c>
      <c r="C83" s="41" t="str">
        <f t="shared" si="4"/>
        <v>pt-br</v>
      </c>
      <c r="D83" s="41" t="s">
        <v>66</v>
      </c>
      <c r="E83" s="41" t="str">
        <f t="shared" si="3"/>
        <v>pt-br</v>
      </c>
      <c r="F83" s="41" t="s">
        <v>480</v>
      </c>
    </row>
    <row r="84">
      <c r="A84" s="41" t="str">
        <f>IFERROR(__xludf.DUMMYFUNCTION("""COMPUTED_VALUE"""),"Gesildo Torres")</f>
        <v>Gesildo Torres</v>
      </c>
      <c r="B84" s="40" t="s">
        <v>481</v>
      </c>
      <c r="C84" s="41" t="str">
        <f t="shared" si="4"/>
        <v>pt-br</v>
      </c>
      <c r="D84" s="41" t="s">
        <v>78</v>
      </c>
      <c r="E84" s="41" t="str">
        <f t="shared" si="3"/>
        <v>pt-br</v>
      </c>
      <c r="F84" s="41" t="s">
        <v>482</v>
      </c>
    </row>
    <row r="85">
      <c r="A85" s="41" t="str">
        <f>IFERROR(__xludf.DUMMYFUNCTION("""COMPUTED_VALUE"""),"Alexandre Almeida")</f>
        <v>Alexandre Almeida</v>
      </c>
      <c r="B85" s="40" t="s">
        <v>483</v>
      </c>
      <c r="C85" s="41" t="str">
        <f t="shared" si="4"/>
        <v>pt-br</v>
      </c>
      <c r="D85" s="41" t="s">
        <v>88</v>
      </c>
      <c r="E85" s="41" t="str">
        <f t="shared" si="3"/>
        <v>pt-br</v>
      </c>
      <c r="F85" s="41" t="s">
        <v>484</v>
      </c>
    </row>
    <row r="86">
      <c r="A86" s="41" t="str">
        <f>IFERROR(__xludf.DUMMYFUNCTION("""COMPUTED_VALUE"""),"Manoel Lima")</f>
        <v>Manoel Lima</v>
      </c>
      <c r="B86" s="40" t="s">
        <v>485</v>
      </c>
      <c r="C86" s="41" t="str">
        <f t="shared" si="4"/>
        <v>pt-br</v>
      </c>
      <c r="D86" s="41" t="s">
        <v>105</v>
      </c>
      <c r="E86" s="41" t="str">
        <f t="shared" si="3"/>
        <v>pt-br</v>
      </c>
      <c r="F86" s="41" t="s">
        <v>484</v>
      </c>
    </row>
    <row r="87">
      <c r="A87" s="41" t="str">
        <f>IFERROR(__xludf.DUMMYFUNCTION("""COMPUTED_VALUE"""),"Mateus Paz")</f>
        <v>Mateus Paz</v>
      </c>
      <c r="B87" s="40" t="s">
        <v>486</v>
      </c>
      <c r="C87" s="41" t="str">
        <f t="shared" si="4"/>
        <v>pt-br</v>
      </c>
      <c r="D87" s="41" t="s">
        <v>116</v>
      </c>
      <c r="E87" s="41" t="str">
        <f t="shared" si="3"/>
        <v/>
      </c>
    </row>
    <row r="88">
      <c r="A88" s="41" t="str">
        <f>IFERROR(__xludf.DUMMYFUNCTION("""COMPUTED_VALUE"""),"Amarildo Francisco")</f>
        <v>Amarildo Francisco</v>
      </c>
      <c r="B88" s="40" t="s">
        <v>487</v>
      </c>
      <c r="C88" s="41" t="str">
        <f t="shared" si="4"/>
        <v>pt-br</v>
      </c>
      <c r="D88" s="41" t="s">
        <v>125</v>
      </c>
      <c r="E88" s="41" t="str">
        <f t="shared" si="3"/>
        <v/>
      </c>
    </row>
    <row r="89">
      <c r="A89" s="41" t="str">
        <f>IFERROR(__xludf.DUMMYFUNCTION("""COMPUTED_VALUE"""),"Paulo Favalli")</f>
        <v>Paulo Favalli</v>
      </c>
      <c r="B89" s="40" t="s">
        <v>488</v>
      </c>
      <c r="C89" s="41" t="str">
        <f t="shared" si="4"/>
        <v>pt-br</v>
      </c>
      <c r="D89" s="41" t="s">
        <v>129</v>
      </c>
      <c r="E89" s="41" t="str">
        <f t="shared" si="3"/>
        <v>pt-br</v>
      </c>
      <c r="F89" s="41" t="s">
        <v>489</v>
      </c>
    </row>
    <row r="90">
      <c r="A90" s="41" t="str">
        <f>IFERROR(__xludf.DUMMYFUNCTION("""COMPUTED_VALUE"""),"Fábio Alexandre")</f>
        <v>Fábio Alexandre</v>
      </c>
      <c r="B90" s="40" t="s">
        <v>490</v>
      </c>
      <c r="C90" s="41" t="str">
        <f t="shared" si="4"/>
        <v>pt-br</v>
      </c>
      <c r="D90" s="41" t="s">
        <v>137</v>
      </c>
      <c r="E90" s="41" t="str">
        <f t="shared" si="3"/>
        <v>pt-br</v>
      </c>
      <c r="F90" s="41" t="s">
        <v>484</v>
      </c>
    </row>
    <row r="91">
      <c r="A91" s="41" t="str">
        <f>IFERROR(__xludf.DUMMYFUNCTION("""COMPUTED_VALUE"""),"Leonardo Gimenez")</f>
        <v>Leonardo Gimenez</v>
      </c>
      <c r="B91" s="40" t="s">
        <v>491</v>
      </c>
      <c r="C91" s="41" t="str">
        <f t="shared" si="4"/>
        <v>pt-br</v>
      </c>
      <c r="D91" s="41" t="s">
        <v>165</v>
      </c>
      <c r="E91" s="41" t="str">
        <f t="shared" si="3"/>
        <v>pt-br</v>
      </c>
      <c r="F91" s="41" t="s">
        <v>492</v>
      </c>
    </row>
    <row r="92">
      <c r="A92" s="41" t="str">
        <f>IFERROR(__xludf.DUMMYFUNCTION("""COMPUTED_VALUE"""),"Hippolito Alves")</f>
        <v>Hippolito Alves</v>
      </c>
      <c r="B92" s="40" t="s">
        <v>493</v>
      </c>
      <c r="C92" s="41" t="str">
        <f t="shared" si="4"/>
        <v>pt-br</v>
      </c>
      <c r="D92" s="41" t="s">
        <v>174</v>
      </c>
      <c r="E92" s="41" t="str">
        <f t="shared" si="3"/>
        <v>pt-br</v>
      </c>
      <c r="F92" s="41" t="s">
        <v>494</v>
      </c>
    </row>
    <row r="93">
      <c r="A93" s="41" t="str">
        <f>IFERROR(__xludf.DUMMYFUNCTION("""COMPUTED_VALUE"""),"Rodrigo CB")</f>
        <v>Rodrigo CB</v>
      </c>
      <c r="B93" s="40" t="s">
        <v>495</v>
      </c>
      <c r="C93" s="41" t="str">
        <f t="shared" si="4"/>
        <v>pt-br</v>
      </c>
      <c r="D93" s="41" t="s">
        <v>200</v>
      </c>
      <c r="E93" s="41" t="str">
        <f t="shared" si="3"/>
        <v>pt-br</v>
      </c>
      <c r="F93" s="41" t="s">
        <v>496</v>
      </c>
    </row>
    <row r="94">
      <c r="A94" s="41" t="str">
        <f>IFERROR(__xludf.DUMMYFUNCTION("""COMPUTED_VALUE"""),"Sergio Canale")</f>
        <v>Sergio Canale</v>
      </c>
      <c r="B94" s="40" t="s">
        <v>497</v>
      </c>
      <c r="C94" s="41" t="str">
        <f t="shared" si="4"/>
        <v>pt-br</v>
      </c>
      <c r="D94" s="41" t="s">
        <v>498</v>
      </c>
      <c r="E94" s="41" t="str">
        <f t="shared" si="3"/>
        <v>pt-br</v>
      </c>
      <c r="F94" s="41" t="s">
        <v>499</v>
      </c>
    </row>
    <row r="95">
      <c r="A95" s="41" t="str">
        <f>IFERROR(__xludf.DUMMYFUNCTION("""COMPUTED_VALUE"""),"Celeste Leite dos Santos")</f>
        <v>Celeste Leite dos Santos</v>
      </c>
      <c r="B95" s="40" t="s">
        <v>500</v>
      </c>
      <c r="C95" s="41" t="str">
        <f t="shared" si="4"/>
        <v>pt-br</v>
      </c>
      <c r="D95" s="41" t="s">
        <v>219</v>
      </c>
      <c r="E95" s="41" t="str">
        <f t="shared" si="3"/>
        <v>pt-br</v>
      </c>
      <c r="F95" s="41" t="s">
        <v>501</v>
      </c>
    </row>
    <row r="96">
      <c r="A96" s="41" t="str">
        <f>IFERROR(__xludf.DUMMYFUNCTION("""COMPUTED_VALUE"""),"Zota Coelho")</f>
        <v>Zota Coelho</v>
      </c>
      <c r="B96" s="40" t="s">
        <v>502</v>
      </c>
      <c r="C96" s="41" t="str">
        <f t="shared" si="4"/>
        <v>pt-br</v>
      </c>
      <c r="D96" s="41" t="s">
        <v>225</v>
      </c>
      <c r="E96" s="41" t="str">
        <f t="shared" si="3"/>
        <v>pt-br</v>
      </c>
      <c r="F96" s="41" t="s">
        <v>499</v>
      </c>
    </row>
    <row r="97">
      <c r="A97" s="41" t="str">
        <f>IFERROR(__xludf.DUMMYFUNCTION("""COMPUTED_VALUE"""),"Crisa Santos")</f>
        <v>Crisa Santos</v>
      </c>
      <c r="B97" s="40" t="s">
        <v>503</v>
      </c>
      <c r="C97" s="41" t="str">
        <f t="shared" si="4"/>
        <v>pt-br</v>
      </c>
      <c r="D97" s="41" t="s">
        <v>228</v>
      </c>
      <c r="E97" s="41" t="str">
        <f t="shared" si="3"/>
        <v>pt-br</v>
      </c>
      <c r="F97" s="41" t="s">
        <v>504</v>
      </c>
    </row>
    <row r="98">
      <c r="A98" s="41" t="str">
        <f>IFERROR(__xludf.DUMMYFUNCTION("""COMPUTED_VALUE"""),"Hildebrando de Lima")</f>
        <v>Hildebrando de Lima</v>
      </c>
      <c r="B98" s="40" t="s">
        <v>505</v>
      </c>
      <c r="C98" s="41" t="str">
        <f t="shared" si="4"/>
        <v>pt-br</v>
      </c>
      <c r="D98" s="41" t="s">
        <v>232</v>
      </c>
      <c r="E98" s="41" t="str">
        <f t="shared" si="3"/>
        <v>pt-br</v>
      </c>
      <c r="F98" s="41" t="s">
        <v>499</v>
      </c>
    </row>
    <row r="99">
      <c r="A99" s="41" t="str">
        <f>IFERROR(__xludf.DUMMYFUNCTION("""COMPUTED_VALUE"""),"Marisa Alonso")</f>
        <v>Marisa Alonso</v>
      </c>
      <c r="B99" s="40" t="s">
        <v>506</v>
      </c>
      <c r="C99" s="41" t="str">
        <f t="shared" si="4"/>
        <v>pt-br</v>
      </c>
      <c r="D99" s="41" t="s">
        <v>236</v>
      </c>
      <c r="E99" s="41" t="str">
        <f t="shared" si="3"/>
        <v/>
      </c>
    </row>
    <row r="100">
      <c r="A100" s="41" t="str">
        <f>IFERROR(__xludf.DUMMYFUNCTION("""COMPUTED_VALUE"""),"Priscila Bodin")</f>
        <v>Priscila Bodin</v>
      </c>
      <c r="B100" s="40" t="s">
        <v>507</v>
      </c>
      <c r="C100" s="41" t="str">
        <f t="shared" si="4"/>
        <v>pt-br</v>
      </c>
      <c r="D100" s="41" t="s">
        <v>239</v>
      </c>
      <c r="E100" s="41" t="str">
        <f t="shared" si="3"/>
        <v>pt-br</v>
      </c>
      <c r="F100" s="41" t="s">
        <v>508</v>
      </c>
    </row>
    <row r="101">
      <c r="A101" s="41" t="str">
        <f>IFERROR(__xludf.DUMMYFUNCTION("""COMPUTED_VALUE"""),"Jonas Afonso")</f>
        <v>Jonas Afonso</v>
      </c>
      <c r="B101" s="40" t="s">
        <v>509</v>
      </c>
      <c r="C101" s="41" t="str">
        <f t="shared" si="4"/>
        <v>pt-br</v>
      </c>
      <c r="D101" s="41" t="s">
        <v>246</v>
      </c>
      <c r="E101" s="41" t="str">
        <f t="shared" si="3"/>
        <v>pt-br</v>
      </c>
      <c r="F101" s="41" t="s">
        <v>510</v>
      </c>
    </row>
    <row r="102">
      <c r="A102" s="41" t="str">
        <f>IFERROR(__xludf.DUMMYFUNCTION("""COMPUTED_VALUE"""),"Birgitte Tümmler")</f>
        <v>Birgitte Tümmler</v>
      </c>
      <c r="B102" s="40" t="s">
        <v>511</v>
      </c>
      <c r="C102" s="41" t="str">
        <f t="shared" si="4"/>
        <v>pt-br</v>
      </c>
      <c r="D102" s="41" t="s">
        <v>250</v>
      </c>
      <c r="E102" s="41" t="str">
        <f t="shared" si="3"/>
        <v>pt-br</v>
      </c>
      <c r="F102" s="41" t="s">
        <v>512</v>
      </c>
    </row>
    <row r="103">
      <c r="A103" s="41" t="str">
        <f>IFERROR(__xludf.DUMMYFUNCTION("""COMPUTED_VALUE"""),"Santos Lopes")</f>
        <v>Santos Lopes</v>
      </c>
      <c r="B103" s="41" t="s">
        <v>513</v>
      </c>
      <c r="C103" s="41" t="str">
        <f t="shared" si="4"/>
        <v>pt-br</v>
      </c>
      <c r="D103" s="41" t="s">
        <v>258</v>
      </c>
      <c r="E103" s="41" t="str">
        <f t="shared" si="3"/>
        <v/>
      </c>
      <c r="F103" s="41"/>
    </row>
    <row r="104">
      <c r="A104" s="41" t="str">
        <f>IFERROR(__xludf.DUMMYFUNCTION("""COMPUTED_VALUE"""),"Marcos Paulo Ferreira Gomes")</f>
        <v>Marcos Paulo Ferreira Gomes</v>
      </c>
      <c r="B104" s="40" t="s">
        <v>514</v>
      </c>
      <c r="C104" s="41" t="str">
        <f t="shared" si="4"/>
        <v>pt-br</v>
      </c>
      <c r="D104" s="41" t="s">
        <v>262</v>
      </c>
      <c r="E104" s="41" t="str">
        <f t="shared" si="3"/>
        <v>pt-br</v>
      </c>
      <c r="F104" s="41" t="s">
        <v>515</v>
      </c>
    </row>
    <row r="105">
      <c r="A105" s="41" t="str">
        <f>IFERROR(__xludf.DUMMYFUNCTION("""COMPUTED_VALUE"""),"Welington Melo")</f>
        <v>Welington Melo</v>
      </c>
      <c r="B105" s="40" t="s">
        <v>516</v>
      </c>
      <c r="C105" s="41" t="str">
        <f t="shared" si="4"/>
        <v>pt-br</v>
      </c>
      <c r="D105" s="41" t="s">
        <v>268</v>
      </c>
      <c r="E105" s="41" t="str">
        <f t="shared" si="3"/>
        <v>pt-br</v>
      </c>
      <c r="F105" s="41" t="s">
        <v>484</v>
      </c>
    </row>
    <row r="106">
      <c r="A106" s="41" t="str">
        <f>IFERROR(__xludf.DUMMYFUNCTION("""COMPUTED_VALUE"""),"Silvio Morais")</f>
        <v>Silvio Morais</v>
      </c>
      <c r="B106" s="40" t="s">
        <v>517</v>
      </c>
      <c r="C106" s="41" t="str">
        <f t="shared" si="4"/>
        <v>pt-br</v>
      </c>
      <c r="D106" s="41" t="s">
        <v>274</v>
      </c>
      <c r="E106" s="41" t="str">
        <f t="shared" si="3"/>
        <v>pt-br</v>
      </c>
      <c r="F106" s="41" t="s">
        <v>484</v>
      </c>
    </row>
    <row r="107">
      <c r="A107" s="41" t="str">
        <f>IFERROR(__xludf.DUMMYFUNCTION("""COMPUTED_VALUE"""),"Sérgio Santos")</f>
        <v>Sérgio Santos</v>
      </c>
      <c r="B107" s="40" t="s">
        <v>518</v>
      </c>
      <c r="C107" s="41" t="str">
        <f t="shared" si="4"/>
        <v>pt-br</v>
      </c>
      <c r="D107" s="41" t="s">
        <v>282</v>
      </c>
      <c r="E107" s="41" t="str">
        <f t="shared" si="3"/>
        <v>pt-br</v>
      </c>
      <c r="F107" s="41" t="s">
        <v>510</v>
      </c>
    </row>
    <row r="108">
      <c r="A108" s="41" t="str">
        <f>IFERROR(__xludf.DUMMYFUNCTION("""COMPUTED_VALUE"""),"Maria Bonomi")</f>
        <v>Maria Bonomi</v>
      </c>
      <c r="B108" s="41" t="s">
        <v>519</v>
      </c>
      <c r="C108" s="41" t="str">
        <f t="shared" si="4"/>
        <v>pt-br</v>
      </c>
      <c r="D108" s="41" t="s">
        <v>300</v>
      </c>
      <c r="E108" s="41" t="str">
        <f t="shared" si="3"/>
        <v>pt-br</v>
      </c>
      <c r="F108" s="41" t="s">
        <v>520</v>
      </c>
    </row>
    <row r="109">
      <c r="A109" s="41" t="str">
        <f>IFERROR(__xludf.DUMMYFUNCTION("""COMPUTED_VALUE"""),"Cristina Oliveira")</f>
        <v>Cristina Oliveira</v>
      </c>
      <c r="B109" s="40" t="s">
        <v>521</v>
      </c>
      <c r="C109" s="41" t="str">
        <f t="shared" si="4"/>
        <v>pt-br</v>
      </c>
      <c r="D109" s="41" t="s">
        <v>311</v>
      </c>
      <c r="E109" s="41" t="str">
        <f t="shared" si="3"/>
        <v>pt-br</v>
      </c>
      <c r="F109" s="41" t="s">
        <v>522</v>
      </c>
    </row>
    <row r="110">
      <c r="A110" s="41" t="str">
        <f>IFERROR(__xludf.DUMMYFUNCTION("""COMPUTED_VALUE"""),"Autoria2")</f>
        <v>Autoria2</v>
      </c>
      <c r="B110" s="41" t="s">
        <v>434</v>
      </c>
      <c r="C110" s="41" t="str">
        <f t="shared" si="4"/>
        <v/>
      </c>
      <c r="E110" s="41" t="str">
        <f t="shared" si="3"/>
        <v/>
      </c>
    </row>
    <row r="111">
      <c r="A111" s="41" t="str">
        <f>IFERROR(__xludf.DUMMYFUNCTION("""COMPUTED_VALUE"""),"André Luiz Castro")</f>
        <v>André Luiz Castro</v>
      </c>
      <c r="B111" s="40" t="s">
        <v>523</v>
      </c>
      <c r="C111" s="41" t="str">
        <f t="shared" si="4"/>
        <v>pt-br</v>
      </c>
      <c r="D111" s="41" t="s">
        <v>524</v>
      </c>
      <c r="E111" s="41" t="str">
        <f t="shared" si="3"/>
        <v>pt-br</v>
      </c>
      <c r="F111" s="41" t="s">
        <v>510</v>
      </c>
    </row>
    <row r="112">
      <c r="A112" s="41" t="str">
        <f>IFERROR(__xludf.DUMMYFUNCTION("""COMPUTED_VALUE"""),"Guilherme Klock")</f>
        <v>Guilherme Klock</v>
      </c>
      <c r="B112" s="40" t="s">
        <v>525</v>
      </c>
      <c r="C112" s="41" t="str">
        <f t="shared" si="4"/>
        <v>pt-br</v>
      </c>
      <c r="D112" s="41" t="s">
        <v>67</v>
      </c>
      <c r="E112" s="41" t="str">
        <f t="shared" si="3"/>
        <v>pt-br</v>
      </c>
      <c r="F112" s="41" t="s">
        <v>510</v>
      </c>
    </row>
    <row r="113">
      <c r="A113" s="41" t="str">
        <f>IFERROR(__xludf.DUMMYFUNCTION("""COMPUTED_VALUE"""),"Nélio Fernandes")</f>
        <v>Nélio Fernandes</v>
      </c>
      <c r="B113" s="40" t="s">
        <v>526</v>
      </c>
      <c r="C113" s="41" t="str">
        <f t="shared" si="4"/>
        <v>pt-br</v>
      </c>
      <c r="D113" s="41" t="s">
        <v>117</v>
      </c>
      <c r="E113" s="41" t="str">
        <f t="shared" si="3"/>
        <v/>
      </c>
    </row>
    <row r="114">
      <c r="A114" s="41" t="str">
        <f>IFERROR(__xludf.DUMMYFUNCTION("""COMPUTED_VALUE"""),"Romildo Cardozo")</f>
        <v>Romildo Cardozo</v>
      </c>
      <c r="B114" s="40" t="s">
        <v>527</v>
      </c>
      <c r="C114" s="41" t="str">
        <f t="shared" si="4"/>
        <v>pt-br</v>
      </c>
      <c r="D114" s="41" t="s">
        <v>166</v>
      </c>
      <c r="E114" s="41" t="str">
        <f t="shared" si="3"/>
        <v>pt-br</v>
      </c>
      <c r="F114" s="41" t="s">
        <v>484</v>
      </c>
    </row>
    <row r="115">
      <c r="A115" s="41" t="str">
        <f>IFERROR(__xludf.DUMMYFUNCTION("""COMPUTED_VALUE"""),"Paulo Lima")</f>
        <v>Paulo Lima</v>
      </c>
      <c r="B115" s="40" t="s">
        <v>528</v>
      </c>
      <c r="C115" s="41" t="str">
        <f t="shared" si="4"/>
        <v>pt-br</v>
      </c>
      <c r="D115" s="41" t="s">
        <v>201</v>
      </c>
      <c r="E115" s="41" t="str">
        <f t="shared" si="3"/>
        <v>pt-br</v>
      </c>
      <c r="F115" s="41" t="s">
        <v>529</v>
      </c>
    </row>
    <row r="116">
      <c r="A116" s="41" t="str">
        <f>IFERROR(__xludf.DUMMYFUNCTION("""COMPUTED_VALUE"""),"Fátima Ranaldo")</f>
        <v>Fátima Ranaldo</v>
      </c>
      <c r="B116" s="40" t="s">
        <v>530</v>
      </c>
      <c r="C116" s="41" t="str">
        <f t="shared" si="4"/>
        <v>pt-br</v>
      </c>
      <c r="D116" s="41" t="s">
        <v>531</v>
      </c>
      <c r="E116" s="41" t="str">
        <f t="shared" si="3"/>
        <v>pt-br</v>
      </c>
      <c r="F116" s="41" t="s">
        <v>532</v>
      </c>
    </row>
    <row r="117">
      <c r="A117" s="41" t="str">
        <f>IFERROR(__xludf.DUMMYFUNCTION("""COMPUTED_VALUE"""),"Pedro Isac Arevalos Alves")</f>
        <v>Pedro Isac Arevalos Alves</v>
      </c>
      <c r="B117" s="40" t="s">
        <v>533</v>
      </c>
      <c r="C117" s="41" t="str">
        <f t="shared" si="4"/>
        <v>pt-br</v>
      </c>
      <c r="D117" s="41" t="s">
        <v>263</v>
      </c>
      <c r="E117" s="41" t="str">
        <f t="shared" si="3"/>
        <v>pt-br</v>
      </c>
      <c r="F117" s="41" t="s">
        <v>515</v>
      </c>
    </row>
    <row r="118">
      <c r="A118" s="41" t="str">
        <f>IFERROR(__xludf.DUMMYFUNCTION("""COMPUTED_VALUE"""),"Autoria3")</f>
        <v>Autoria3</v>
      </c>
      <c r="B118" s="41" t="s">
        <v>434</v>
      </c>
      <c r="C118" s="41" t="str">
        <f t="shared" si="4"/>
        <v/>
      </c>
      <c r="E118" s="41" t="str">
        <f t="shared" si="3"/>
        <v/>
      </c>
    </row>
    <row r="119">
      <c r="A119" s="41" t="str">
        <f>IFERROR(__xludf.DUMMYFUNCTION("""COMPUTED_VALUE"""),"Pedro Caribe")</f>
        <v>Pedro Caribe</v>
      </c>
      <c r="B119" s="40" t="s">
        <v>534</v>
      </c>
      <c r="C119" s="41" t="str">
        <f t="shared" si="4"/>
        <v>pt-br</v>
      </c>
      <c r="D119" s="41" t="s">
        <v>221</v>
      </c>
      <c r="E119" s="41" t="str">
        <f t="shared" si="3"/>
        <v/>
      </c>
    </row>
    <row r="120">
      <c r="A120" s="41" t="str">
        <f>IFERROR(__xludf.DUMMYFUNCTION("""COMPUTED_VALUE"""),"Daiana Vaz Vieira")</f>
        <v>Daiana Vaz Vieira</v>
      </c>
      <c r="B120" s="40" t="s">
        <v>535</v>
      </c>
      <c r="C120" s="41" t="str">
        <f t="shared" si="4"/>
        <v>pt-br</v>
      </c>
      <c r="D120" s="41" t="s">
        <v>264</v>
      </c>
      <c r="E120" s="41" t="str">
        <f t="shared" si="3"/>
        <v>pt-br</v>
      </c>
      <c r="F120" s="41" t="s">
        <v>536</v>
      </c>
    </row>
    <row r="121">
      <c r="A121" s="41" t="str">
        <f>IFERROR(__xludf.DUMMYFUNCTION("""COMPUTED_VALUE"""),"Material1")</f>
        <v>Material1</v>
      </c>
      <c r="B121" s="41" t="s">
        <v>434</v>
      </c>
      <c r="C121" s="41" t="str">
        <f t="shared" si="4"/>
        <v/>
      </c>
      <c r="E121" s="41" t="str">
        <f t="shared" si="3"/>
        <v/>
      </c>
    </row>
    <row r="122">
      <c r="A122" s="41" t="str">
        <f>IFERROR(__xludf.DUMMYFUNCTION("""COMPUTED_VALUE"""),"Mármore")</f>
        <v>Mármore</v>
      </c>
      <c r="B122" s="40" t="s">
        <v>537</v>
      </c>
      <c r="C122" s="41" t="str">
        <f t="shared" si="4"/>
        <v>pt-br</v>
      </c>
      <c r="D122" s="41" t="s">
        <v>538</v>
      </c>
      <c r="E122" s="41" t="str">
        <f t="shared" si="3"/>
        <v>pt-br</v>
      </c>
      <c r="F122" s="41" t="s">
        <v>539</v>
      </c>
    </row>
    <row r="123">
      <c r="A123" s="41" t="str">
        <f>IFERROR(__xludf.DUMMYFUNCTION("""COMPUTED_VALUE"""),"Concreto")</f>
        <v>Concreto</v>
      </c>
      <c r="B123" s="40" t="s">
        <v>540</v>
      </c>
      <c r="C123" s="41" t="str">
        <f t="shared" si="4"/>
        <v>pt-br</v>
      </c>
      <c r="D123" s="41" t="s">
        <v>541</v>
      </c>
      <c r="E123" s="41" t="str">
        <f t="shared" si="3"/>
        <v/>
      </c>
    </row>
    <row r="124">
      <c r="A124" s="41" t="str">
        <f>IFERROR(__xludf.DUMMYFUNCTION("""COMPUTED_VALUE"""),"Ferro")</f>
        <v>Ferro</v>
      </c>
      <c r="B124" s="40" t="s">
        <v>542</v>
      </c>
      <c r="C124" s="41" t="str">
        <f t="shared" si="4"/>
        <v>pt-br</v>
      </c>
      <c r="D124" s="41" t="s">
        <v>543</v>
      </c>
      <c r="E124" s="41" t="str">
        <f t="shared" si="3"/>
        <v>pt-br</v>
      </c>
      <c r="F124" s="41" t="s">
        <v>544</v>
      </c>
    </row>
    <row r="125">
      <c r="A125" s="41" t="str">
        <f>IFERROR(__xludf.DUMMYFUNCTION("""COMPUTED_VALUE"""),"Aço Inoxidável")</f>
        <v>Aço Inoxidável</v>
      </c>
      <c r="B125" s="40" t="s">
        <v>545</v>
      </c>
      <c r="C125" s="41" t="str">
        <f t="shared" si="4"/>
        <v>pt-br</v>
      </c>
      <c r="D125" s="41" t="s">
        <v>546</v>
      </c>
      <c r="E125" s="41" t="str">
        <f t="shared" si="3"/>
        <v>pt-br</v>
      </c>
      <c r="F125" s="41" t="s">
        <v>547</v>
      </c>
    </row>
    <row r="126">
      <c r="A126" s="41" t="str">
        <f>IFERROR(__xludf.DUMMYFUNCTION("""COMPUTED_VALUE"""),"Azulejos")</f>
        <v>Azulejos</v>
      </c>
      <c r="B126" s="41" t="s">
        <v>548</v>
      </c>
      <c r="C126" s="41" t="str">
        <f t="shared" si="4"/>
        <v/>
      </c>
      <c r="D126" s="41"/>
      <c r="E126" s="41" t="str">
        <f t="shared" si="3"/>
        <v/>
      </c>
      <c r="F126" s="41"/>
    </row>
    <row r="127">
      <c r="A127" s="41" t="str">
        <f>IFERROR(__xludf.DUMMYFUNCTION("""COMPUTED_VALUE"""),"Fibra de Vidro")</f>
        <v>Fibra de Vidro</v>
      </c>
      <c r="B127" s="41" t="s">
        <v>549</v>
      </c>
      <c r="C127" s="41" t="str">
        <f t="shared" si="4"/>
        <v>pt-br</v>
      </c>
      <c r="D127" s="41" t="s">
        <v>170</v>
      </c>
      <c r="E127" s="41" t="str">
        <f t="shared" si="3"/>
        <v/>
      </c>
    </row>
    <row r="128">
      <c r="A128" s="41" t="str">
        <f>IFERROR(__xludf.DUMMYFUNCTION("""COMPUTED_VALUE"""),"Granito")</f>
        <v>Granito</v>
      </c>
      <c r="B128" s="40" t="s">
        <v>550</v>
      </c>
      <c r="C128" s="41" t="str">
        <f t="shared" si="4"/>
        <v>pt-br</v>
      </c>
      <c r="D128" s="41" t="s">
        <v>551</v>
      </c>
      <c r="E128" s="41" t="str">
        <f t="shared" si="3"/>
        <v>pt-br</v>
      </c>
      <c r="F128" s="41" t="s">
        <v>552</v>
      </c>
    </row>
    <row r="129">
      <c r="A129" s="41" t="str">
        <f>IFERROR(__xludf.DUMMYFUNCTION("""COMPUTED_VALUE"""),"Madeira")</f>
        <v>Madeira</v>
      </c>
      <c r="B129" s="40" t="s">
        <v>553</v>
      </c>
      <c r="C129" s="41" t="str">
        <f t="shared" si="4"/>
        <v>pt-br</v>
      </c>
      <c r="D129" s="41" t="s">
        <v>554</v>
      </c>
      <c r="E129" s="41" t="str">
        <f t="shared" si="3"/>
        <v>pt-br</v>
      </c>
      <c r="F129" s="41" t="s">
        <v>555</v>
      </c>
    </row>
    <row r="130">
      <c r="A130" s="41" t="str">
        <f>IFERROR(__xludf.DUMMYFUNCTION("""COMPUTED_VALUE"""),"Plasticina")</f>
        <v>Plasticina</v>
      </c>
      <c r="B130" s="41" t="s">
        <v>556</v>
      </c>
      <c r="C130" s="41" t="str">
        <f t="shared" si="4"/>
        <v/>
      </c>
      <c r="D130" s="41"/>
      <c r="E130" s="41" t="str">
        <f t="shared" si="3"/>
        <v/>
      </c>
    </row>
    <row r="131">
      <c r="A131" s="41" t="str">
        <f>IFERROR(__xludf.DUMMYFUNCTION("""COMPUTED_VALUE"""),"Aço")</f>
        <v>Aço</v>
      </c>
      <c r="B131" s="40" t="s">
        <v>557</v>
      </c>
      <c r="C131" s="41" t="str">
        <f t="shared" si="4"/>
        <v>pt-br</v>
      </c>
      <c r="D131" s="41" t="s">
        <v>558</v>
      </c>
      <c r="E131" s="41" t="str">
        <f t="shared" si="3"/>
        <v>pt-br</v>
      </c>
      <c r="F131" s="41" t="s">
        <v>559</v>
      </c>
    </row>
    <row r="132">
      <c r="A132" s="41" t="str">
        <f>IFERROR(__xludf.DUMMYFUNCTION("""COMPUTED_VALUE"""),"Petróleo")</f>
        <v>Petróleo</v>
      </c>
      <c r="B132" s="40" t="s">
        <v>560</v>
      </c>
      <c r="C132" s="41" t="str">
        <f t="shared" si="4"/>
        <v/>
      </c>
      <c r="D132" s="41"/>
      <c r="E132" s="41" t="str">
        <f t="shared" si="3"/>
        <v/>
      </c>
      <c r="F132" s="41"/>
    </row>
    <row r="133">
      <c r="A133" s="41" t="str">
        <f>IFERROR(__xludf.DUMMYFUNCTION("""COMPUTED_VALUE"""),"Pedra")</f>
        <v>Pedra</v>
      </c>
      <c r="B133" s="40" t="s">
        <v>561</v>
      </c>
      <c r="C133" s="41" t="str">
        <f t="shared" si="4"/>
        <v>pt-br</v>
      </c>
      <c r="D133" s="41" t="s">
        <v>562</v>
      </c>
      <c r="E133" s="41" t="str">
        <f t="shared" si="3"/>
        <v>pt-br</v>
      </c>
      <c r="F133" s="41" t="s">
        <v>563</v>
      </c>
    </row>
    <row r="134">
      <c r="A134" s="41" t="str">
        <f>IFERROR(__xludf.DUMMYFUNCTION("""COMPUTED_VALUE"""),"Bronze")</f>
        <v>Bronze</v>
      </c>
      <c r="B134" s="40" t="s">
        <v>564</v>
      </c>
      <c r="C134" s="41" t="str">
        <f t="shared" si="4"/>
        <v>pt-br</v>
      </c>
      <c r="D134" s="41" t="s">
        <v>565</v>
      </c>
      <c r="E134" s="41" t="str">
        <f t="shared" si="3"/>
        <v>pt-br</v>
      </c>
      <c r="F134" s="41" t="s">
        <v>566</v>
      </c>
    </row>
    <row r="135">
      <c r="A135" s="41" t="str">
        <f>IFERROR(__xludf.DUMMYFUNCTION("""COMPUTED_VALUE"""),"Chapas metálicas")</f>
        <v>Chapas metálicas</v>
      </c>
      <c r="B135" s="40" t="s">
        <v>567</v>
      </c>
      <c r="C135" s="41" t="str">
        <f t="shared" si="4"/>
        <v>pt-br</v>
      </c>
      <c r="D135" s="41" t="s">
        <v>568</v>
      </c>
      <c r="E135" s="41" t="str">
        <f t="shared" si="3"/>
        <v>pt-br</v>
      </c>
      <c r="F135" s="41" t="s">
        <v>569</v>
      </c>
    </row>
    <row r="136">
      <c r="A136" s="41" t="str">
        <f>IFERROR(__xludf.DUMMYFUNCTION("""COMPUTED_VALUE"""),"Itaúba")</f>
        <v>Itaúba</v>
      </c>
      <c r="B136" s="40" t="s">
        <v>553</v>
      </c>
      <c r="C136" s="41" t="str">
        <f t="shared" si="4"/>
        <v>pt-br</v>
      </c>
      <c r="D136" s="41" t="s">
        <v>554</v>
      </c>
      <c r="E136" s="41" t="str">
        <f t="shared" si="3"/>
        <v>pt-br</v>
      </c>
      <c r="F136" s="41" t="s">
        <v>555</v>
      </c>
    </row>
    <row r="137">
      <c r="A137" s="41" t="str">
        <f>IFERROR(__xludf.DUMMYFUNCTION("""COMPUTED_VALUE"""),"Acrílico")</f>
        <v>Acrílico</v>
      </c>
      <c r="B137" s="40" t="s">
        <v>570</v>
      </c>
      <c r="C137" s="41" t="str">
        <f t="shared" si="4"/>
        <v>pt-br</v>
      </c>
      <c r="D137" s="41" t="s">
        <v>295</v>
      </c>
      <c r="E137" s="41" t="str">
        <f t="shared" si="3"/>
        <v/>
      </c>
    </row>
    <row r="138">
      <c r="A138" s="41" t="str">
        <f>IFERROR(__xludf.DUMMYFUNCTION("""COMPUTED_VALUE"""),"PVC")</f>
        <v>PVC</v>
      </c>
      <c r="B138" s="40" t="s">
        <v>571</v>
      </c>
      <c r="C138" s="41" t="str">
        <f t="shared" si="4"/>
        <v>pt-br</v>
      </c>
      <c r="D138" s="41" t="s">
        <v>572</v>
      </c>
      <c r="E138" s="41" t="str">
        <f t="shared" si="3"/>
        <v>pt-br</v>
      </c>
      <c r="F138" s="41" t="s">
        <v>573</v>
      </c>
    </row>
    <row r="139">
      <c r="A139" s="41" t="str">
        <f>IFERROR(__xludf.DUMMYFUNCTION("""COMPUTED_VALUE"""),"Material2")</f>
        <v>Material2</v>
      </c>
      <c r="C139" s="41" t="str">
        <f t="shared" si="4"/>
        <v/>
      </c>
      <c r="E139" s="41" t="str">
        <f t="shared" si="3"/>
        <v/>
      </c>
    </row>
    <row r="140">
      <c r="A140" s="41" t="str">
        <f>IFERROR(__xludf.DUMMYFUNCTION("""COMPUTED_VALUE"""),"Cimento")</f>
        <v>Cimento</v>
      </c>
      <c r="B140" s="40" t="s">
        <v>574</v>
      </c>
      <c r="C140" s="41" t="str">
        <f t="shared" si="4"/>
        <v/>
      </c>
      <c r="D140" s="41"/>
      <c r="E140" s="41" t="str">
        <f t="shared" si="3"/>
        <v/>
      </c>
    </row>
    <row r="141">
      <c r="A141" s="41" t="str">
        <f>IFERROR(__xludf.DUMMYFUNCTION("""COMPUTED_VALUE"""),"Fibra de vidro")</f>
        <v>Fibra de vidro</v>
      </c>
      <c r="B141" s="41" t="s">
        <v>549</v>
      </c>
      <c r="C141" s="41" t="str">
        <f t="shared" si="4"/>
        <v>pt-br</v>
      </c>
      <c r="D141" s="41" t="s">
        <v>170</v>
      </c>
      <c r="E141" s="41" t="str">
        <f t="shared" si="3"/>
        <v/>
      </c>
    </row>
    <row r="142">
      <c r="A142" s="41" t="str">
        <f>IFERROR(__xludf.DUMMYFUNCTION("""COMPUTED_VALUE"""),"Maçaranduba")</f>
        <v>Maçaranduba</v>
      </c>
      <c r="B142" s="40" t="s">
        <v>575</v>
      </c>
      <c r="C142" s="41" t="str">
        <f t="shared" si="4"/>
        <v/>
      </c>
      <c r="D142" s="41"/>
      <c r="E142" s="41" t="str">
        <f t="shared" si="3"/>
        <v/>
      </c>
    </row>
    <row r="143">
      <c r="A143" s="41" t="str">
        <f>IFERROR(__xludf.DUMMYFUNCTION("""COMPUTED_VALUE"""),"Tipo1")</f>
        <v>Tipo1</v>
      </c>
      <c r="B143" s="41" t="s">
        <v>434</v>
      </c>
      <c r="C143" s="41" t="str">
        <f t="shared" si="4"/>
        <v/>
      </c>
      <c r="E143" s="41" t="str">
        <f t="shared" si="3"/>
        <v/>
      </c>
    </row>
    <row r="144">
      <c r="A144" s="41" t="str">
        <f>IFERROR(__xludf.DUMMYFUNCTION("""COMPUTED_VALUE"""),"Escultura")</f>
        <v>Escultura</v>
      </c>
      <c r="B144" s="40" t="s">
        <v>576</v>
      </c>
      <c r="C144" s="41" t="str">
        <f t="shared" si="4"/>
        <v>pt-br</v>
      </c>
      <c r="D144" s="41" t="s">
        <v>577</v>
      </c>
      <c r="E144" s="41" t="str">
        <f t="shared" si="3"/>
        <v>pt-br</v>
      </c>
      <c r="F144" s="41" t="s">
        <v>578</v>
      </c>
    </row>
    <row r="145">
      <c r="A145" s="41" t="str">
        <f>IFERROR(__xludf.DUMMYFUNCTION("""COMPUTED_VALUE"""),"Plantio de Mudas")</f>
        <v>Plantio de Mudas</v>
      </c>
      <c r="B145" s="40" t="s">
        <v>579</v>
      </c>
      <c r="C145" s="41" t="str">
        <f t="shared" si="4"/>
        <v/>
      </c>
      <c r="D145" s="41"/>
      <c r="E145" s="41" t="str">
        <f t="shared" si="3"/>
        <v/>
      </c>
    </row>
    <row r="146">
      <c r="A146" s="41" t="str">
        <f>IFERROR(__xludf.DUMMYFUNCTION("""COMPUTED_VALUE"""),"Placa")</f>
        <v>Placa</v>
      </c>
      <c r="B146" s="40" t="s">
        <v>580</v>
      </c>
      <c r="C146" s="41" t="str">
        <f t="shared" si="4"/>
        <v>pt-br</v>
      </c>
      <c r="D146" s="41" t="s">
        <v>581</v>
      </c>
      <c r="E146" s="41" t="str">
        <f t="shared" si="3"/>
        <v>pt-br</v>
      </c>
      <c r="F146" s="41" t="s">
        <v>582</v>
      </c>
    </row>
    <row r="147">
      <c r="A147" s="41" t="str">
        <f>IFERROR(__xludf.DUMMYFUNCTION("""COMPUTED_VALUE"""),"Mural")</f>
        <v>Mural</v>
      </c>
      <c r="B147" s="40" t="s">
        <v>583</v>
      </c>
      <c r="C147" s="41" t="str">
        <f t="shared" si="4"/>
        <v/>
      </c>
      <c r="D147" s="41"/>
      <c r="E147" s="41" t="str">
        <f t="shared" si="3"/>
        <v/>
      </c>
    </row>
    <row r="148">
      <c r="A148" s="41" t="str">
        <f>IFERROR(__xludf.DUMMYFUNCTION("""COMPUTED_VALUE"""),"Praça")</f>
        <v>Praça</v>
      </c>
      <c r="B148" s="40" t="s">
        <v>584</v>
      </c>
      <c r="C148" s="41" t="str">
        <f t="shared" si="4"/>
        <v>pt-br</v>
      </c>
      <c r="D148" s="41" t="s">
        <v>585</v>
      </c>
      <c r="E148" s="41" t="str">
        <f t="shared" si="3"/>
        <v>pt-br</v>
      </c>
      <c r="F148" s="41" t="s">
        <v>586</v>
      </c>
    </row>
    <row r="149">
      <c r="A149" s="41" t="str">
        <f>IFERROR(__xludf.DUMMYFUNCTION("""COMPUTED_VALUE"""),"Tipo2")</f>
        <v>Tipo2</v>
      </c>
      <c r="B149" s="41" t="s">
        <v>434</v>
      </c>
      <c r="C149" s="41" t="str">
        <f t="shared" si="4"/>
        <v/>
      </c>
      <c r="E149" s="41" t="str">
        <f t="shared" si="3"/>
        <v/>
      </c>
    </row>
    <row r="150">
      <c r="A150" s="41" t="str">
        <f>IFERROR(__xludf.DUMMYFUNCTION("""COMPUTED_VALUE"""),"Painel de Fotografias")</f>
        <v>Painel de Fotografias</v>
      </c>
      <c r="B150" s="40" t="s">
        <v>587</v>
      </c>
      <c r="C150" s="41" t="str">
        <f t="shared" si="4"/>
        <v/>
      </c>
      <c r="D150" s="41"/>
      <c r="E150" s="41" t="str">
        <f t="shared" si="3"/>
        <v/>
      </c>
    </row>
    <row r="151">
      <c r="A151" s="41" t="str">
        <f>IFERROR(__xludf.DUMMYFUNCTION("""COMPUTED_VALUE"""),"Plantio de mudas")</f>
        <v>Plantio de mudas</v>
      </c>
      <c r="B151" s="40" t="s">
        <v>579</v>
      </c>
      <c r="C151" s="41" t="str">
        <f t="shared" si="4"/>
        <v/>
      </c>
      <c r="D151" s="41"/>
      <c r="E151" s="41" t="str">
        <f t="shared" si="3"/>
        <v/>
      </c>
    </row>
    <row r="152">
      <c r="A152" s="16" t="s">
        <v>271</v>
      </c>
      <c r="B152" s="42" t="s">
        <v>588</v>
      </c>
    </row>
  </sheetData>
  <drawing r:id="rId1"/>
</worksheet>
</file>