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lubinga/PPH-Shiny-App/pph_model/"/>
    </mc:Choice>
  </mc:AlternateContent>
  <xr:revisionPtr revIDLastSave="0" documentId="13_ncr:1_{91D3B340-FD37-C243-81AD-E5E67971ED11}" xr6:coauthVersionLast="47" xr6:coauthVersionMax="47" xr10:uidLastSave="{00000000-0000-0000-0000-000000000000}"/>
  <bookViews>
    <workbookView xWindow="2760" yWindow="3400" windowWidth="27240" windowHeight="16440" xr2:uid="{F6EF234C-9454-9244-80F9-7025D645D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" l="1"/>
  <c r="F50" i="1"/>
  <c r="F48" i="1"/>
  <c r="F92" i="1"/>
  <c r="I89" i="1"/>
  <c r="H89" i="1"/>
  <c r="F89" i="1"/>
  <c r="I84" i="1"/>
  <c r="H84" i="1"/>
  <c r="F84" i="1"/>
  <c r="F78" i="1"/>
  <c r="F79" i="1"/>
  <c r="F80" i="1"/>
  <c r="F81" i="1"/>
  <c r="F82" i="1"/>
  <c r="F77" i="1"/>
  <c r="F71" i="1"/>
  <c r="F72" i="1"/>
  <c r="F73" i="1"/>
  <c r="F74" i="1"/>
  <c r="F75" i="1"/>
  <c r="F70" i="1"/>
  <c r="I49" i="1"/>
  <c r="I48" i="1"/>
  <c r="H48" i="1"/>
  <c r="H50" i="1"/>
  <c r="I50" i="1"/>
  <c r="H49" i="1"/>
  <c r="F106" i="1"/>
  <c r="E106" i="1" s="1"/>
  <c r="I106" i="1"/>
  <c r="J109" i="1"/>
  <c r="F113" i="1"/>
  <c r="H113" i="1" s="1"/>
  <c r="I113" i="1" s="1"/>
  <c r="F114" i="1"/>
  <c r="H114" i="1" s="1"/>
  <c r="I114" i="1" s="1"/>
  <c r="H104" i="1"/>
  <c r="I104" i="1" s="1"/>
  <c r="H102" i="1"/>
  <c r="I102" i="1" s="1"/>
  <c r="H99" i="1"/>
  <c r="I99" i="1" s="1"/>
  <c r="H95" i="1"/>
  <c r="I95" i="1" s="1"/>
  <c r="H93" i="1"/>
  <c r="I93" i="1" s="1"/>
  <c r="H91" i="1"/>
  <c r="I91" i="1" s="1"/>
  <c r="H65" i="1"/>
  <c r="I65" i="1" s="1"/>
  <c r="H66" i="1"/>
  <c r="I66" i="1" s="1"/>
  <c r="H67" i="1"/>
  <c r="I67" i="1" s="1"/>
  <c r="H64" i="1"/>
  <c r="I64" i="1" s="1"/>
  <c r="H61" i="1"/>
  <c r="I61" i="1" s="1"/>
  <c r="H60" i="1"/>
  <c r="I60" i="1" s="1"/>
  <c r="H53" i="1"/>
  <c r="I53" i="1" s="1"/>
  <c r="H52" i="1"/>
  <c r="I52" i="1" s="1"/>
  <c r="H4" i="1"/>
  <c r="I4" i="1" s="1"/>
  <c r="F3" i="1"/>
  <c r="H3" i="1" s="1"/>
  <c r="I3" i="1" s="1"/>
  <c r="F43" i="1"/>
  <c r="H43" i="1" s="1"/>
  <c r="I43" i="1" s="1"/>
  <c r="F42" i="1"/>
  <c r="H42" i="1" s="1"/>
  <c r="I42" i="1" s="1"/>
  <c r="F36" i="1"/>
  <c r="D36" i="1" s="1"/>
  <c r="D37" i="1"/>
  <c r="F37" i="1"/>
  <c r="E37" i="1" s="1"/>
  <c r="F38" i="1"/>
  <c r="H38" i="1" s="1"/>
  <c r="I38" i="1" s="1"/>
  <c r="F39" i="1"/>
  <c r="D39" i="1" s="1"/>
  <c r="F35" i="1"/>
  <c r="D35" i="1" s="1"/>
  <c r="F29" i="1"/>
  <c r="D29" i="1" s="1"/>
  <c r="F30" i="1"/>
  <c r="E30" i="1" s="1"/>
  <c r="F31" i="1"/>
  <c r="D31" i="1" s="1"/>
  <c r="F32" i="1"/>
  <c r="D32" i="1" s="1"/>
  <c r="F28" i="1"/>
  <c r="E28" i="1" s="1"/>
  <c r="F22" i="1"/>
  <c r="H22" i="1" s="1"/>
  <c r="I22" i="1" s="1"/>
  <c r="F23" i="1"/>
  <c r="D23" i="1" s="1"/>
  <c r="F24" i="1"/>
  <c r="D24" i="1" s="1"/>
  <c r="F25" i="1"/>
  <c r="D25" i="1" s="1"/>
  <c r="D22" i="1"/>
  <c r="E23" i="1"/>
  <c r="E24" i="1"/>
  <c r="F21" i="1"/>
  <c r="H21" i="1" s="1"/>
  <c r="I21" i="1" s="1"/>
  <c r="F15" i="1"/>
  <c r="D15" i="1" s="1"/>
  <c r="F16" i="1"/>
  <c r="H16" i="1" s="1"/>
  <c r="I16" i="1" s="1"/>
  <c r="F17" i="1"/>
  <c r="H17" i="1" s="1"/>
  <c r="I17" i="1" s="1"/>
  <c r="F18" i="1"/>
  <c r="H18" i="1" s="1"/>
  <c r="I18" i="1" s="1"/>
  <c r="F14" i="1"/>
  <c r="E14" i="1" s="1"/>
  <c r="D8" i="1"/>
  <c r="F8" i="1"/>
  <c r="H8" i="1" s="1"/>
  <c r="I8" i="1" s="1"/>
  <c r="F9" i="1"/>
  <c r="E9" i="1" s="1"/>
  <c r="F10" i="1"/>
  <c r="D10" i="1" s="1"/>
  <c r="F11" i="1"/>
  <c r="H11" i="1" s="1"/>
  <c r="I11" i="1" s="1"/>
  <c r="F7" i="1"/>
  <c r="H7" i="1" s="1"/>
  <c r="I7" i="1" s="1"/>
  <c r="E8" i="1" l="1"/>
  <c r="D106" i="1"/>
  <c r="D11" i="1"/>
  <c r="E18" i="1"/>
  <c r="H14" i="1"/>
  <c r="I14" i="1" s="1"/>
  <c r="H31" i="1"/>
  <c r="I31" i="1" s="1"/>
  <c r="E35" i="1"/>
  <c r="E38" i="1"/>
  <c r="H29" i="1"/>
  <c r="I29" i="1" s="1"/>
  <c r="E7" i="1"/>
  <c r="D38" i="1"/>
  <c r="H23" i="1"/>
  <c r="I23" i="1" s="1"/>
  <c r="D7" i="1"/>
  <c r="E11" i="1"/>
  <c r="D18" i="1"/>
  <c r="H28" i="1"/>
  <c r="I28" i="1" s="1"/>
  <c r="E16" i="1"/>
  <c r="D21" i="1"/>
  <c r="H35" i="1"/>
  <c r="I35" i="1" s="1"/>
  <c r="H36" i="1"/>
  <c r="I36" i="1" s="1"/>
  <c r="D9" i="1"/>
  <c r="E10" i="1"/>
  <c r="D14" i="1"/>
  <c r="E17" i="1"/>
  <c r="E15" i="1"/>
  <c r="E21" i="1"/>
  <c r="D28" i="1"/>
  <c r="E31" i="1"/>
  <c r="H9" i="1"/>
  <c r="I9" i="1" s="1"/>
  <c r="H15" i="1"/>
  <c r="I15" i="1" s="1"/>
  <c r="H32" i="1"/>
  <c r="I32" i="1" s="1"/>
  <c r="H30" i="1"/>
  <c r="I30" i="1" s="1"/>
  <c r="H10" i="1"/>
  <c r="I10" i="1" s="1"/>
  <c r="D16" i="1"/>
  <c r="D30" i="1"/>
  <c r="H25" i="1"/>
  <c r="I25" i="1" s="1"/>
  <c r="D17" i="1"/>
  <c r="E25" i="1"/>
  <c r="E22" i="1"/>
  <c r="H24" i="1"/>
  <c r="I24" i="1" s="1"/>
  <c r="H39" i="1"/>
  <c r="I39" i="1" s="1"/>
  <c r="H37" i="1"/>
  <c r="I37" i="1" s="1"/>
  <c r="E39" i="1"/>
  <c r="E36" i="1"/>
  <c r="E32" i="1"/>
  <c r="E29" i="1"/>
  <c r="D116" i="1" l="1"/>
  <c r="E116" i="1"/>
  <c r="D117" i="1"/>
  <c r="E117" i="1"/>
  <c r="F117" i="1" s="1"/>
  <c r="D119" i="1"/>
  <c r="E119" i="1"/>
  <c r="D121" i="1"/>
  <c r="E121" i="1"/>
  <c r="F121" i="1" s="1"/>
  <c r="D122" i="1"/>
  <c r="E122" i="1"/>
  <c r="D124" i="1"/>
  <c r="E124" i="1"/>
  <c r="F124" i="1" s="1"/>
  <c r="F122" i="1" l="1"/>
  <c r="F119" i="1"/>
  <c r="F116" i="1"/>
</calcChain>
</file>

<file path=xl/sharedStrings.xml><?xml version="1.0" encoding="utf-8"?>
<sst xmlns="http://schemas.openxmlformats.org/spreadsheetml/2006/main" count="365" uniqueCount="241">
  <si>
    <t>Description</t>
  </si>
  <si>
    <t>alpha</t>
  </si>
  <si>
    <t>Reference</t>
  </si>
  <si>
    <t>Baseline probability of PPH if health facility delivery</t>
  </si>
  <si>
    <t>pHospPPH</t>
  </si>
  <si>
    <t>Mutyaba &amp; Mmiro (2001)</t>
  </si>
  <si>
    <t>Baseline probability of PPH if non-health facility delivery</t>
  </si>
  <si>
    <t>pHomePPH</t>
  </si>
  <si>
    <t>Random effects meta-analysis of placebo controlled trials in home birth settings</t>
  </si>
  <si>
    <t>Wealth quintiles from UDHS data</t>
  </si>
  <si>
    <t>Uganda Demographic and Health Survey, 2011</t>
  </si>
  <si>
    <t>Probability of a health facility delivery</t>
  </si>
  <si>
    <t>Probability of a health facility delivery if in lowest wealth quintile</t>
  </si>
  <si>
    <t>pHfDelLowQ</t>
  </si>
  <si>
    <t>Probability of a health facility delivery if in second lowest wealth quintile</t>
  </si>
  <si>
    <t>pHfDelSecQ</t>
  </si>
  <si>
    <t>Probability of a health facility delivery if in middle wealth quintile</t>
  </si>
  <si>
    <t>pHfDelMidQ</t>
  </si>
  <si>
    <t>Probability of a health facility delivery if in fourth wealth quintile</t>
  </si>
  <si>
    <t>pHfDelFourQ</t>
  </si>
  <si>
    <t>Probability of a health facility delivery if in highest wealth quintile</t>
  </si>
  <si>
    <t>pHfDelHighQ</t>
  </si>
  <si>
    <t>Probability of delivery in hospital (if deliver in HF)</t>
  </si>
  <si>
    <t>If delivery in health facility, probability of delivery in hospital if in lowest wealth quintile</t>
  </si>
  <si>
    <t>pHospDelLowQ</t>
  </si>
  <si>
    <t>If delivery in health facility, probability of delivery in hospital if in second lowest wealth quintile</t>
  </si>
  <si>
    <t>pHospDelSecQ</t>
  </si>
  <si>
    <t>If delivery in health facility, probability of delivery in hospital if in middle wealth quintile</t>
  </si>
  <si>
    <t>pHospDelMidQ</t>
  </si>
  <si>
    <t>If delivery in health facility, probability of delivery in hospital if in fourth wealth quintile</t>
  </si>
  <si>
    <t>pHospDelFourQ</t>
  </si>
  <si>
    <t>If delivery in health facility, probability of delivery in hospital if in highest wealth quintile</t>
  </si>
  <si>
    <t>pHospDelHighQ</t>
  </si>
  <si>
    <t>Probability of (non-HF delivery and) unassisted delivery</t>
  </si>
  <si>
    <t>Probability of (non-HF delivery and) unassisted delivery if in lowest wealth quintile</t>
  </si>
  <si>
    <t>pUnassDelLowQ</t>
  </si>
  <si>
    <t>Probability of (non-HF delivery and) unassisted delivery if in second lowest wealth quintile</t>
  </si>
  <si>
    <t>pUnassDelSecQ</t>
  </si>
  <si>
    <t>Probability of (non-HF delivery and) unassisted delivery if in middle wealth quintile</t>
  </si>
  <si>
    <t>pUnassDelMidQ</t>
  </si>
  <si>
    <t>Probability of (non-HF delivery and) unassisted delivery if in fourth wealth quintile</t>
  </si>
  <si>
    <t>pUnassDelFourQ</t>
  </si>
  <si>
    <t>Probability of (non-HF delivery and) unassisted delivery if in highest wealth quintile</t>
  </si>
  <si>
    <t>pUnassDelHighQ</t>
  </si>
  <si>
    <t>Assisted by friend/relative to deliver</t>
  </si>
  <si>
    <t>Probability of (non-HF delivery and) assisted at delivery by relative/friend if in lowest wealth quintile</t>
  </si>
  <si>
    <t>pFriendRelDelLowQ</t>
  </si>
  <si>
    <t>Probability of (non-HF delivery and) assisted at delivery by relative/friend if in second lowest wealth quintile</t>
  </si>
  <si>
    <t>pFriendRelDelSecQ</t>
  </si>
  <si>
    <t>Probability of (non-HF delivery and) assisted at delivery by relative/friend if in middle wealth quintile</t>
  </si>
  <si>
    <t>pFriendRelDelMidQ</t>
  </si>
  <si>
    <t>Probability of (non-HF delivery and) assisted at delivery by relative/friend if in fourth wealth quintile</t>
  </si>
  <si>
    <t>pFriendRelDelFourQ</t>
  </si>
  <si>
    <t>Probability of (non-HF delivery and) assisted at delivery by relative/friend if in highest wealth quintile</t>
  </si>
  <si>
    <t>pFriendRelDelHighQ</t>
  </si>
  <si>
    <t>Assisted by TBA at delivery</t>
  </si>
  <si>
    <t>Probability of Traditional Birth Attendant delivery if in lowest wealth quintile</t>
  </si>
  <si>
    <t>pTBADelLowQ</t>
  </si>
  <si>
    <t>Probability of Traditional Birth Attendant delivery if in second lowest wealth quintile</t>
  </si>
  <si>
    <t>pTBADelSecQ</t>
  </si>
  <si>
    <t>Probability of Traditional Birth Attendant delivery if in middle wealth quintile</t>
  </si>
  <si>
    <t>pTBADelMidQ</t>
  </si>
  <si>
    <t>Probability of Traditional Birth Attendant delivery if in fourth wealth quintile</t>
  </si>
  <si>
    <t>pTBADelFourQ</t>
  </si>
  <si>
    <t>Probability of Traditional Birth Attendant delivery if in highest wealth quintile</t>
  </si>
  <si>
    <t>pTBADelHighQ</t>
  </si>
  <si>
    <t>Achievable oxytocin coverage rates</t>
  </si>
  <si>
    <t>Oxytocin coverage in Hospital</t>
  </si>
  <si>
    <t>pOxyHosp</t>
  </si>
  <si>
    <t>Mbonye et al, 2007 &amp; USP Survey, 2009</t>
  </si>
  <si>
    <t>Oxytocin coverage in Health Center</t>
  </si>
  <si>
    <t>pOxyHC</t>
  </si>
  <si>
    <t>Oxytocin coverage for Friend assisted home births</t>
  </si>
  <si>
    <t>pOxyHomeFriend</t>
  </si>
  <si>
    <t>Oxytocin coverage for unassisted home births</t>
  </si>
  <si>
    <t>pOxyHomeUnass</t>
  </si>
  <si>
    <t>Oxytocin coverage for TBA assisted home births</t>
  </si>
  <si>
    <t>pOxyHomeTBA</t>
  </si>
  <si>
    <t>Relative Risk of PPH if given oxytocin versus placebo</t>
  </si>
  <si>
    <t>rPPHOxyPlacebo</t>
  </si>
  <si>
    <t>Westhoff et al, 2013</t>
  </si>
  <si>
    <t>Relative Risk of PPH if given misoprostol (versus placebo) in skilled birth</t>
  </si>
  <si>
    <t>rPPHMisoHF</t>
  </si>
  <si>
    <t>Relative Risk of PPH if given misoprostol (versus placebo) in unskilled birth</t>
  </si>
  <si>
    <t>rPPHMisoOxy</t>
  </si>
  <si>
    <t>Gulmezoglu et al, 2001</t>
  </si>
  <si>
    <t>Case fatality rate from PPH for women who access EmOC</t>
  </si>
  <si>
    <t>pDieEmOC</t>
  </si>
  <si>
    <t>Mbonye et al, 2007</t>
  </si>
  <si>
    <t>Case fataility rate from PPH for women who do not access EmOC</t>
  </si>
  <si>
    <t>pDieNoEmOC</t>
  </si>
  <si>
    <t>Assumed a doubling of CFR</t>
  </si>
  <si>
    <t>Probability of death if no PPH</t>
  </si>
  <si>
    <t>pDieNoPPH</t>
  </si>
  <si>
    <t>Assumed no death if no PPH</t>
  </si>
  <si>
    <t>Odds Ratio for Health Facility delivery under misoprostol program</t>
  </si>
  <si>
    <t>orHFDelivery</t>
  </si>
  <si>
    <t>Rajbjandari et al, 2009</t>
  </si>
  <si>
    <t>Acheivable coverage rates for misoprostol</t>
  </si>
  <si>
    <t>Under Oxytocin only policy</t>
  </si>
  <si>
    <t>Coverage rate of misoprostol in hospital under no misoprostol policy</t>
  </si>
  <si>
    <t>pMisoAccessHospOxyPolicy</t>
  </si>
  <si>
    <t>Coverage rate of misoprostol in health center under no misoptostol policy</t>
  </si>
  <si>
    <t>pMisoAccessHCOxyPolicy</t>
  </si>
  <si>
    <t>Coverage rate of misoprostol for deliveries under no misoptostol policy</t>
  </si>
  <si>
    <t>pMisoAccessHomeOxyPolicy</t>
  </si>
  <si>
    <t>Access to EmOC (Probability of referral for EmOC)</t>
  </si>
  <si>
    <t>Access to EmOC if unassisted at delivery</t>
  </si>
  <si>
    <t>Expert opinion (used a lower bound of 50% and upper bound of 120% or 1)</t>
  </si>
  <si>
    <t>Access to EmOC if assisted by friend/relative at birth</t>
  </si>
  <si>
    <t>pAccessEmOCFriend</t>
  </si>
  <si>
    <t>Access to EmOC if birth is assisted by Traditional Birth Attendant</t>
  </si>
  <si>
    <t>pAccessEmOCTBA</t>
  </si>
  <si>
    <t>Access to EmOC if women delivers from Health Center</t>
  </si>
  <si>
    <t>pAccessEmOCHC</t>
  </si>
  <si>
    <t>Access to EmOC if deliver from hospital</t>
  </si>
  <si>
    <t>pAccessEmOCHosp</t>
  </si>
  <si>
    <t>NMS catalogue 2010</t>
  </si>
  <si>
    <t>Hourly pay for a Nurse/Midwife, US$</t>
  </si>
  <si>
    <t>cNurse</t>
  </si>
  <si>
    <t>Matsiko et al, 2003</t>
  </si>
  <si>
    <t>Hourly pay for a Nursing aide, US$</t>
  </si>
  <si>
    <t>cNurseAide</t>
  </si>
  <si>
    <t>Unit cost for Oxytocin 10IU/1mL injection, US$</t>
  </si>
  <si>
    <t>cOxytocin</t>
  </si>
  <si>
    <t>Cost of 600 mcg of Misoprostol, US$</t>
  </si>
  <si>
    <t>cMisoprostol</t>
  </si>
  <si>
    <t>MSH drug price indicator 2013</t>
  </si>
  <si>
    <t>Aggregate unit cost for a vaginal delivery by private midwife, US$</t>
  </si>
  <si>
    <t>cNormalDeliveryHomeNurse</t>
  </si>
  <si>
    <t>Levin et al, 1999; includes labor, materials, other personnel, rent and license dues</t>
  </si>
  <si>
    <t>Aggregate unit cost for a vaginal delivery by TBA, US$</t>
  </si>
  <si>
    <t>cNormDelHomeTBA</t>
  </si>
  <si>
    <t>Friend/Relative time (in days) spent looking after patient</t>
  </si>
  <si>
    <t>avgFriendTime</t>
  </si>
  <si>
    <t>Assumed</t>
  </si>
  <si>
    <t>Average travel costs to Hospital, US$</t>
  </si>
  <si>
    <t>cTravelHospital</t>
  </si>
  <si>
    <t>Levin et al, 1999</t>
  </si>
  <si>
    <t>Average travel to Health Center, US$</t>
  </si>
  <si>
    <t>cTravelHC</t>
  </si>
  <si>
    <t>Average travel to TBA, US$</t>
  </si>
  <si>
    <t>cTravelTBA</t>
  </si>
  <si>
    <t>Assumed same as HC</t>
  </si>
  <si>
    <t>Upkeep costs at Hospital, US$</t>
  </si>
  <si>
    <t>cUpkeepHospital</t>
  </si>
  <si>
    <t>Upkeep costs at Health Center, US$</t>
  </si>
  <si>
    <t>cUpkeepHC</t>
  </si>
  <si>
    <t>GDP per capita, US$</t>
  </si>
  <si>
    <t>cProductivity</t>
  </si>
  <si>
    <t>Babigumira et al, 2012</t>
  </si>
  <si>
    <t>Annual productivity loss from premature mortality, US$</t>
  </si>
  <si>
    <t>cMortality</t>
  </si>
  <si>
    <t>UBOS Statistical abstracts, 2012</t>
  </si>
  <si>
    <t>Cost of collection and destruction of unused misoprostol, $US</t>
  </si>
  <si>
    <t>cDestruction</t>
  </si>
  <si>
    <t>Health resource use variables</t>
  </si>
  <si>
    <t>Average length (in days) of hospital stay for PPH treatment</t>
  </si>
  <si>
    <t>averageLOSPPH</t>
  </si>
  <si>
    <t>Average length (in days) of home stay for normal delivery</t>
  </si>
  <si>
    <t>averageLOSHome</t>
  </si>
  <si>
    <t>Average travel time (in hours) to a hospital for PPH treatment</t>
  </si>
  <si>
    <t>averageTravelTime</t>
  </si>
  <si>
    <t>Duration of PPH (in years)</t>
  </si>
  <si>
    <t>durationPPH</t>
  </si>
  <si>
    <t>Expert opinion</t>
  </si>
  <si>
    <t>Severe anemia disability weight</t>
  </si>
  <si>
    <t>disabilitywtPPH</t>
  </si>
  <si>
    <t>Salomon et al, 2012</t>
  </si>
  <si>
    <t>Life expectancy at birth in years</t>
  </si>
  <si>
    <t>lifeexpectancy</t>
  </si>
  <si>
    <t>Probability of severe anaemia if access to EmOC</t>
  </si>
  <si>
    <t>pSevereAnemiaEmOC</t>
  </si>
  <si>
    <t>Dolea et al, 2001</t>
  </si>
  <si>
    <t>Discount rate</t>
  </si>
  <si>
    <t>cDiscountCosts</t>
  </si>
  <si>
    <t>Probability of severe anaemia if no access to EmOC</t>
  </si>
  <si>
    <t>pSevereAnemianoEmOC</t>
  </si>
  <si>
    <t>Assumed doubling of severe anaemia rate</t>
  </si>
  <si>
    <t>Exchange rate, UGX</t>
  </si>
  <si>
    <t>exchangerate</t>
  </si>
  <si>
    <t>BOU Website (http://www.bou.or.ug/bou/collateral/interbank_forms/interbank_forms.html)</t>
  </si>
  <si>
    <t>Hours worked in a year for a healthworker</t>
  </si>
  <si>
    <t>hours</t>
  </si>
  <si>
    <t>Safemotherhood Package WHO</t>
  </si>
  <si>
    <t>Probability of misuse of misoprostol</t>
  </si>
  <si>
    <t>pMisuseMiso</t>
  </si>
  <si>
    <t>Extrapolayted from Ghana study, MamaMiso study in Uganda (unpublished)</t>
  </si>
  <si>
    <t>Probability of misuse of oxytocin</t>
  </si>
  <si>
    <t>pMisuseOxy</t>
  </si>
  <si>
    <t>Misoprostol probability of uterine rupture (if adverse event)</t>
  </si>
  <si>
    <t>pUterineRuptureMiso</t>
  </si>
  <si>
    <t>Guestimate</t>
  </si>
  <si>
    <t>Misoprostol probability of still birth (if adverse event)</t>
  </si>
  <si>
    <t>Misoprostol probability of adverse event (if misused)</t>
  </si>
  <si>
    <t>pNoMisoAE</t>
  </si>
  <si>
    <t>Probability of death following uterine rupture</t>
  </si>
  <si>
    <t>pDieUterineRupture</t>
  </si>
  <si>
    <t>Kaye et al, 2011</t>
  </si>
  <si>
    <t>Probability of death following still birth</t>
  </si>
  <si>
    <t>pDieStillBirth</t>
  </si>
  <si>
    <t>Average length of hospital stay (in days) for uterine rupture</t>
  </si>
  <si>
    <t>averageLOSUterineRupture</t>
  </si>
  <si>
    <t>Average length of hospital stay (in days) for a normal delivery</t>
  </si>
  <si>
    <t>averageLOSNormDel</t>
  </si>
  <si>
    <t>Babigumira et al</t>
  </si>
  <si>
    <t>Disability duration, vaginal stillbirth</t>
  </si>
  <si>
    <t>durationStillBirth</t>
  </si>
  <si>
    <t>Disability duration, uterine rupture</t>
  </si>
  <si>
    <t>durationUterineRupture</t>
  </si>
  <si>
    <t>Disability weight, vaginal stillbirth</t>
  </si>
  <si>
    <t>disabilitywtStillBirth</t>
  </si>
  <si>
    <t>Disability weight, uterine rupture</t>
  </si>
  <si>
    <t>disabilitywtRupture</t>
  </si>
  <si>
    <t>variable</t>
  </si>
  <si>
    <t>basecase</t>
  </si>
  <si>
    <t>low</t>
  </si>
  <si>
    <t>high</t>
  </si>
  <si>
    <t>sem</t>
  </si>
  <si>
    <t>beta</t>
  </si>
  <si>
    <t>pAccessEmOCUnass</t>
  </si>
  <si>
    <t>Cost of PPH management at a health centre, US$</t>
  </si>
  <si>
    <t>Cost of PPH management at a hospital, US$</t>
  </si>
  <si>
    <t>Cost of management of a uterine rupture, US$</t>
  </si>
  <si>
    <t>Aggregate management cost for managing a stillbirth at a health centre, US$</t>
  </si>
  <si>
    <t>Cost for a Normal delivery by at a health centre, US$</t>
  </si>
  <si>
    <t>Cost for a Normal delivery by at a hospital, US$</t>
  </si>
  <si>
    <t>dist</t>
  </si>
  <si>
    <t>lognormal</t>
  </si>
  <si>
    <t>fixed</t>
  </si>
  <si>
    <t>dir_int_up</t>
  </si>
  <si>
    <t>dir_int_lo</t>
  </si>
  <si>
    <t>Salomon et al, 2015</t>
  </si>
  <si>
    <t>truncnormal</t>
  </si>
  <si>
    <t>uniform</t>
  </si>
  <si>
    <t>cPPHManagementHC</t>
  </si>
  <si>
    <t>cPPHManagementHosp</t>
  </si>
  <si>
    <t>cUterineRupture</t>
  </si>
  <si>
    <t>cNormalDeliveryHC</t>
  </si>
  <si>
    <t>cNormalDeliveryHosp</t>
  </si>
  <si>
    <t>cVaginalStillBirth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</si>
</sst>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D40F-F369-ED48-B97D-7CC92E2351E4}">
  <sheetPr codeName="Sheet1"/>
  <dimension ref="A1:L124"/>
  <sheetViews>
    <sheetView tabSelected="1" topLeftCell="A90" workbookViewId="0">
      <selection activeCell="B103" sqref="B103"/>
    </sheetView>
  </sheetViews>
  <sheetFormatPr baseColWidth="10" defaultRowHeight="16" x14ac:dyDescent="0.2"/>
  <cols>
    <col min="1" max="1" width="92" bestFit="1" customWidth="1"/>
    <col min="2" max="2" width="30.83203125" bestFit="1" customWidth="1"/>
    <col min="6" max="6" width="12.1640625" bestFit="1" customWidth="1"/>
  </cols>
  <sheetData>
    <row r="1" spans="1:12" x14ac:dyDescent="0.2">
      <c r="A1" t="s">
        <v>0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227</v>
      </c>
      <c r="H1" t="s">
        <v>1</v>
      </c>
      <c r="I1" t="s">
        <v>219</v>
      </c>
      <c r="J1" s="1" t="s">
        <v>230</v>
      </c>
      <c r="K1" s="1" t="s">
        <v>231</v>
      </c>
      <c r="L1" t="s">
        <v>2</v>
      </c>
    </row>
    <row r="3" spans="1:12" x14ac:dyDescent="0.2">
      <c r="A3" t="s">
        <v>3</v>
      </c>
      <c r="B3" t="s">
        <v>4</v>
      </c>
      <c r="C3">
        <v>7.8264150943396199E-2</v>
      </c>
      <c r="D3">
        <v>4.3435320754716997E-2</v>
      </c>
      <c r="E3">
        <v>0.113092981132075</v>
      </c>
      <c r="F3">
        <f>(E3-D3)/_xlfn.NORM.S.INV(0.975)</f>
        <v>3.554027570241533E-2</v>
      </c>
      <c r="G3" t="s">
        <v>219</v>
      </c>
      <c r="H3">
        <f>C3*((C3*(1-C3)/F3^2)-1)</f>
        <v>4.3915621852610442</v>
      </c>
      <c r="I3">
        <f>(H3/C3)-H3</f>
        <v>51.720490808672281</v>
      </c>
      <c r="L3" t="s">
        <v>5</v>
      </c>
    </row>
    <row r="4" spans="1:12" x14ac:dyDescent="0.2">
      <c r="A4" t="s">
        <v>6</v>
      </c>
      <c r="B4" t="s">
        <v>7</v>
      </c>
      <c r="C4">
        <v>0.122</v>
      </c>
      <c r="D4">
        <v>6.770799999999999E-2</v>
      </c>
      <c r="E4">
        <v>0.176292</v>
      </c>
      <c r="F4">
        <v>2.7679369999999998E-2</v>
      </c>
      <c r="G4" t="s">
        <v>219</v>
      </c>
      <c r="H4">
        <f>C4*((C4*(1-C4)/F4^2)-1)</f>
        <v>16.934965659365186</v>
      </c>
      <c r="I4">
        <f>(H4/C4)-H4</f>
        <v>121.87622826985765</v>
      </c>
      <c r="L4" t="s">
        <v>8</v>
      </c>
    </row>
    <row r="5" spans="1:12" x14ac:dyDescent="0.2">
      <c r="A5" t="s">
        <v>9</v>
      </c>
    </row>
    <row r="6" spans="1:12" x14ac:dyDescent="0.2">
      <c r="A6" t="s">
        <v>11</v>
      </c>
    </row>
    <row r="7" spans="1:12" x14ac:dyDescent="0.2">
      <c r="A7" t="s">
        <v>12</v>
      </c>
      <c r="B7" t="s">
        <v>13</v>
      </c>
      <c r="C7">
        <v>0.435</v>
      </c>
      <c r="D7">
        <f>C7-_xlfn.NORM.S.INV(0.975)*F7</f>
        <v>0.42072468193937718</v>
      </c>
      <c r="E7">
        <f>C7+_xlfn.NORM.S.INV(0.975)*F7</f>
        <v>0.44927531806062282</v>
      </c>
      <c r="F7">
        <f>SQRT((C7*(1-C7))/4633)</f>
        <v>7.2834593764093221E-3</v>
      </c>
      <c r="G7" t="s">
        <v>219</v>
      </c>
      <c r="H7">
        <f>C7*((C7*(1-C7)/F7^2)-1)</f>
        <v>2014.92</v>
      </c>
      <c r="I7">
        <f>(H7/C7)-H7</f>
        <v>2617.08</v>
      </c>
      <c r="L7" t="s">
        <v>10</v>
      </c>
    </row>
    <row r="8" spans="1:12" x14ac:dyDescent="0.2">
      <c r="A8" t="s">
        <v>14</v>
      </c>
      <c r="B8" t="s">
        <v>15</v>
      </c>
      <c r="C8">
        <v>0.48899999999999999</v>
      </c>
      <c r="D8">
        <f t="shared" ref="D8:D11" si="0">C8-_xlfn.NORM.S.INV(0.975)*F8</f>
        <v>0.47460598932131365</v>
      </c>
      <c r="E8">
        <f t="shared" ref="E8:E11" si="1">C8+_xlfn.NORM.S.INV(0.975)*F8</f>
        <v>0.50339401067868639</v>
      </c>
      <c r="F8">
        <f t="shared" ref="F8:F11" si="2">SQRT((C8*(1-C8))/4633)</f>
        <v>7.3440179473829468E-3</v>
      </c>
      <c r="G8" t="s">
        <v>219</v>
      </c>
      <c r="H8">
        <f t="shared" ref="H8:H11" si="3">C8*((C8*(1-C8)/F8^2)-1)</f>
        <v>2265.0480000000002</v>
      </c>
      <c r="I8">
        <f t="shared" ref="I8:I11" si="4">(H8/C8)-H8</f>
        <v>2366.9520000000007</v>
      </c>
      <c r="L8" t="s">
        <v>10</v>
      </c>
    </row>
    <row r="9" spans="1:12" x14ac:dyDescent="0.2">
      <c r="A9" t="s">
        <v>16</v>
      </c>
      <c r="B9" t="s">
        <v>17</v>
      </c>
      <c r="C9">
        <v>0.54400000000000004</v>
      </c>
      <c r="D9">
        <f t="shared" si="0"/>
        <v>0.52965836015385592</v>
      </c>
      <c r="E9">
        <f t="shared" si="1"/>
        <v>0.55834163984614416</v>
      </c>
      <c r="F9">
        <f t="shared" si="2"/>
        <v>7.3172976438695631E-3</v>
      </c>
      <c r="G9" t="s">
        <v>219</v>
      </c>
      <c r="H9">
        <f t="shared" si="3"/>
        <v>2519.808</v>
      </c>
      <c r="I9">
        <f t="shared" si="4"/>
        <v>2112.192</v>
      </c>
      <c r="L9" t="s">
        <v>10</v>
      </c>
    </row>
    <row r="10" spans="1:12" x14ac:dyDescent="0.2">
      <c r="A10" t="s">
        <v>18</v>
      </c>
      <c r="B10" t="s">
        <v>19</v>
      </c>
      <c r="C10">
        <v>0.59599999999999997</v>
      </c>
      <c r="D10">
        <f t="shared" si="0"/>
        <v>0.5818703711768376</v>
      </c>
      <c r="E10">
        <f t="shared" si="1"/>
        <v>0.61012962882316235</v>
      </c>
      <c r="F10">
        <f t="shared" si="2"/>
        <v>7.2091267669278838E-3</v>
      </c>
      <c r="G10" t="s">
        <v>219</v>
      </c>
      <c r="H10">
        <f t="shared" si="3"/>
        <v>2760.6720000000005</v>
      </c>
      <c r="I10">
        <f t="shared" si="4"/>
        <v>1871.3280000000004</v>
      </c>
      <c r="L10" t="s">
        <v>10</v>
      </c>
    </row>
    <row r="11" spans="1:12" x14ac:dyDescent="0.2">
      <c r="A11" t="s">
        <v>20</v>
      </c>
      <c r="B11" t="s">
        <v>21</v>
      </c>
      <c r="C11">
        <v>0.88400000000000001</v>
      </c>
      <c r="D11">
        <f t="shared" si="0"/>
        <v>0.87477912641493449</v>
      </c>
      <c r="E11">
        <f t="shared" si="1"/>
        <v>0.89322087358506552</v>
      </c>
      <c r="F11">
        <f t="shared" si="2"/>
        <v>4.7046137877014976E-3</v>
      </c>
      <c r="G11" t="s">
        <v>219</v>
      </c>
      <c r="H11">
        <f t="shared" si="3"/>
        <v>4094.688000000001</v>
      </c>
      <c r="I11">
        <f t="shared" si="4"/>
        <v>537.3119999999999</v>
      </c>
      <c r="L11" t="s">
        <v>10</v>
      </c>
    </row>
    <row r="13" spans="1:12" x14ac:dyDescent="0.2">
      <c r="A13" t="s">
        <v>22</v>
      </c>
    </row>
    <row r="14" spans="1:12" x14ac:dyDescent="0.2">
      <c r="A14" t="s">
        <v>23</v>
      </c>
      <c r="B14" t="s">
        <v>24</v>
      </c>
      <c r="C14">
        <v>0.39700000000000002</v>
      </c>
      <c r="D14">
        <f>C14-_xlfn.NORM.S.INV(0.975)*F14</f>
        <v>0.37746589673756314</v>
      </c>
      <c r="E14">
        <f>C14+_xlfn.NORM.S.INV(0.975)*F14</f>
        <v>0.41653410326243689</v>
      </c>
      <c r="F14">
        <f>SQRT((C14*(1-C14))/2410)</f>
        <v>9.966562353451074E-3</v>
      </c>
      <c r="G14" t="s">
        <v>219</v>
      </c>
      <c r="H14">
        <f t="shared" ref="H14" si="5">C14*((C14*(1-C14)/F14^2)-1)</f>
        <v>956.37300000000005</v>
      </c>
      <c r="I14">
        <f t="shared" ref="I14" si="6">(H14/C14)-H14</f>
        <v>1452.627</v>
      </c>
      <c r="L14" t="s">
        <v>10</v>
      </c>
    </row>
    <row r="15" spans="1:12" x14ac:dyDescent="0.2">
      <c r="A15" t="s">
        <v>25</v>
      </c>
      <c r="B15" t="s">
        <v>26</v>
      </c>
      <c r="C15">
        <v>0.45200000000000001</v>
      </c>
      <c r="D15">
        <f t="shared" ref="D15:D18" si="7">C15-_xlfn.NORM.S.INV(0.975)*F15</f>
        <v>0.43212994513044961</v>
      </c>
      <c r="E15">
        <f t="shared" ref="E15:E18" si="8">C15+_xlfn.NORM.S.INV(0.975)*F15</f>
        <v>0.47187005486955041</v>
      </c>
      <c r="F15">
        <f t="shared" ref="F15:F18" si="9">SQRT((C15*(1-C15))/2410)</f>
        <v>1.0137969384275854E-2</v>
      </c>
      <c r="G15" t="s">
        <v>219</v>
      </c>
      <c r="H15">
        <f t="shared" ref="H15:H18" si="10">C15*((C15*(1-C15)/F15^2)-1)</f>
        <v>1088.8679999999999</v>
      </c>
      <c r="I15">
        <f t="shared" ref="I15:I18" si="11">(H15/C15)-H15</f>
        <v>1320.1320000000001</v>
      </c>
      <c r="L15" t="s">
        <v>10</v>
      </c>
    </row>
    <row r="16" spans="1:12" x14ac:dyDescent="0.2">
      <c r="A16" t="s">
        <v>27</v>
      </c>
      <c r="B16" t="s">
        <v>28</v>
      </c>
      <c r="C16">
        <v>0.48399999999999999</v>
      </c>
      <c r="D16">
        <f t="shared" si="7"/>
        <v>0.46404796943834098</v>
      </c>
      <c r="E16">
        <f t="shared" si="8"/>
        <v>0.50395203056165894</v>
      </c>
      <c r="F16">
        <f t="shared" si="9"/>
        <v>1.0179794485530386E-2</v>
      </c>
      <c r="G16" t="s">
        <v>219</v>
      </c>
      <c r="H16">
        <f t="shared" si="10"/>
        <v>1165.9559999999999</v>
      </c>
      <c r="I16">
        <f t="shared" si="11"/>
        <v>1243.0440000000001</v>
      </c>
      <c r="L16" t="s">
        <v>10</v>
      </c>
    </row>
    <row r="17" spans="1:12" x14ac:dyDescent="0.2">
      <c r="A17" t="s">
        <v>29</v>
      </c>
      <c r="B17" t="s">
        <v>30</v>
      </c>
      <c r="C17">
        <v>0.53100000000000003</v>
      </c>
      <c r="D17">
        <f t="shared" si="7"/>
        <v>0.51107615054059963</v>
      </c>
      <c r="E17">
        <f t="shared" si="8"/>
        <v>0.55092384945940043</v>
      </c>
      <c r="F17">
        <f t="shared" si="9"/>
        <v>1.0165416107927058E-2</v>
      </c>
      <c r="G17" t="s">
        <v>219</v>
      </c>
      <c r="H17">
        <f t="shared" si="10"/>
        <v>1279.1790000000003</v>
      </c>
      <c r="I17">
        <f t="shared" si="11"/>
        <v>1129.8210000000001</v>
      </c>
      <c r="L17" t="s">
        <v>10</v>
      </c>
    </row>
    <row r="18" spans="1:12" x14ac:dyDescent="0.2">
      <c r="A18" t="s">
        <v>31</v>
      </c>
      <c r="B18" t="s">
        <v>32</v>
      </c>
      <c r="C18">
        <v>0.68</v>
      </c>
      <c r="D18">
        <f t="shared" si="7"/>
        <v>0.66137616929084087</v>
      </c>
      <c r="E18">
        <f t="shared" si="8"/>
        <v>0.69862383070915923</v>
      </c>
      <c r="F18">
        <f t="shared" si="9"/>
        <v>9.5021290472996241E-3</v>
      </c>
      <c r="G18" t="s">
        <v>219</v>
      </c>
      <c r="H18">
        <f t="shared" si="10"/>
        <v>1638.1200000000001</v>
      </c>
      <c r="I18">
        <f t="shared" si="11"/>
        <v>770.87999999999988</v>
      </c>
      <c r="L18" t="s">
        <v>10</v>
      </c>
    </row>
    <row r="20" spans="1:12" x14ac:dyDescent="0.2">
      <c r="A20" t="s">
        <v>33</v>
      </c>
    </row>
    <row r="21" spans="1:12" x14ac:dyDescent="0.2">
      <c r="A21" t="s">
        <v>34</v>
      </c>
      <c r="B21" t="s">
        <v>35</v>
      </c>
      <c r="C21">
        <v>0.08</v>
      </c>
      <c r="D21">
        <f t="shared" ref="D21" si="12">C21-_xlfn.NORM.S.INV(0.975)*F21</f>
        <v>5.763016533332635E-2</v>
      </c>
      <c r="E21">
        <f t="shared" ref="E21" si="13">C21+_xlfn.NORM.S.INV(0.975)*F21</f>
        <v>0.10236983466667365</v>
      </c>
      <c r="F21">
        <f>SQRT((C21*(1-C21))/565)</f>
        <v>1.141339067611653E-2</v>
      </c>
      <c r="G21" t="s">
        <v>219</v>
      </c>
      <c r="H21">
        <f t="shared" ref="H21" si="14">C21*((C21*(1-C21)/F21^2)-1)</f>
        <v>45.11999999999999</v>
      </c>
      <c r="I21">
        <f t="shared" ref="I21" si="15">(H21/C21)-H21</f>
        <v>518.87999999999988</v>
      </c>
      <c r="L21" t="s">
        <v>10</v>
      </c>
    </row>
    <row r="22" spans="1:12" x14ac:dyDescent="0.2">
      <c r="A22" t="s">
        <v>36</v>
      </c>
      <c r="B22" t="s">
        <v>37</v>
      </c>
      <c r="C22">
        <v>9.5000000000000001E-2</v>
      </c>
      <c r="D22">
        <f t="shared" ref="D22:D25" si="16">C22-_xlfn.NORM.S.INV(0.975)*F22</f>
        <v>7.0822579754019316E-2</v>
      </c>
      <c r="E22">
        <f t="shared" ref="E22:E25" si="17">C22+_xlfn.NORM.S.INV(0.975)*F22</f>
        <v>0.11917742024598069</v>
      </c>
      <c r="F22">
        <f t="shared" ref="F22:F25" si="18">SQRT((C22*(1-C22))/565)</f>
        <v>1.2335645163221921E-2</v>
      </c>
      <c r="G22" t="s">
        <v>219</v>
      </c>
      <c r="H22">
        <f t="shared" ref="H22:H25" si="19">C22*((C22*(1-C22)/F22^2)-1)</f>
        <v>53.58</v>
      </c>
      <c r="I22">
        <f t="shared" ref="I22:I25" si="20">(H22/C22)-H22</f>
        <v>510.42</v>
      </c>
      <c r="L22" t="s">
        <v>10</v>
      </c>
    </row>
    <row r="23" spans="1:12" x14ac:dyDescent="0.2">
      <c r="A23" t="s">
        <v>38</v>
      </c>
      <c r="B23" t="s">
        <v>39</v>
      </c>
      <c r="C23">
        <v>0.104</v>
      </c>
      <c r="D23">
        <f t="shared" si="16"/>
        <v>7.8829343578564554E-2</v>
      </c>
      <c r="E23">
        <f t="shared" si="17"/>
        <v>0.12917065642143544</v>
      </c>
      <c r="F23">
        <f t="shared" si="18"/>
        <v>1.2842407625843318E-2</v>
      </c>
      <c r="G23" t="s">
        <v>219</v>
      </c>
      <c r="H23">
        <f t="shared" si="19"/>
        <v>58.655999999999985</v>
      </c>
      <c r="I23">
        <f t="shared" si="20"/>
        <v>505.34399999999988</v>
      </c>
      <c r="L23" t="s">
        <v>10</v>
      </c>
    </row>
    <row r="24" spans="1:12" x14ac:dyDescent="0.2">
      <c r="A24" t="s">
        <v>40</v>
      </c>
      <c r="B24" t="s">
        <v>41</v>
      </c>
      <c r="C24">
        <v>0.06</v>
      </c>
      <c r="D24">
        <f t="shared" si="16"/>
        <v>4.0417712650117704E-2</v>
      </c>
      <c r="E24">
        <f t="shared" si="17"/>
        <v>7.9582287349882291E-2</v>
      </c>
      <c r="F24">
        <f t="shared" si="18"/>
        <v>9.9911465232753703E-3</v>
      </c>
      <c r="G24" t="s">
        <v>219</v>
      </c>
      <c r="H24">
        <f t="shared" si="19"/>
        <v>33.839999999999996</v>
      </c>
      <c r="I24">
        <f t="shared" si="20"/>
        <v>530.16</v>
      </c>
      <c r="L24" t="s">
        <v>10</v>
      </c>
    </row>
    <row r="25" spans="1:12" x14ac:dyDescent="0.2">
      <c r="A25" t="s">
        <v>42</v>
      </c>
      <c r="B25" t="s">
        <v>43</v>
      </c>
      <c r="C25">
        <v>1.2999999999999999E-2</v>
      </c>
      <c r="D25">
        <f t="shared" si="16"/>
        <v>3.6598442217680629E-3</v>
      </c>
      <c r="E25">
        <f t="shared" si="17"/>
        <v>2.2340155778231938E-2</v>
      </c>
      <c r="F25">
        <f t="shared" si="18"/>
        <v>4.7654731678264993E-3</v>
      </c>
      <c r="G25" t="s">
        <v>219</v>
      </c>
      <c r="H25">
        <f t="shared" si="19"/>
        <v>7.3320000000000007</v>
      </c>
      <c r="I25">
        <f t="shared" si="20"/>
        <v>556.66800000000012</v>
      </c>
      <c r="L25" t="s">
        <v>10</v>
      </c>
    </row>
    <row r="27" spans="1:12" x14ac:dyDescent="0.2">
      <c r="A27" t="s">
        <v>44</v>
      </c>
    </row>
    <row r="28" spans="1:12" x14ac:dyDescent="0.2">
      <c r="A28" t="s">
        <v>45</v>
      </c>
      <c r="B28" t="s">
        <v>46</v>
      </c>
      <c r="C28">
        <v>0.247</v>
      </c>
      <c r="D28">
        <f t="shared" ref="D28" si="21">C28-_xlfn.NORM.S.INV(0.975)*F28</f>
        <v>0.22295721236728408</v>
      </c>
      <c r="E28">
        <f t="shared" ref="E28" si="22">C28+_xlfn.NORM.S.INV(0.975)*F28</f>
        <v>0.27104278763271594</v>
      </c>
      <c r="F28">
        <f>SQRT((C28*(1-C28))/1236)</f>
        <v>1.226695379219331E-2</v>
      </c>
      <c r="G28" t="s">
        <v>219</v>
      </c>
      <c r="H28">
        <f t="shared" ref="H28" si="23">C28*((C28*(1-C28)/F28^2)-1)</f>
        <v>305.04500000000002</v>
      </c>
      <c r="I28">
        <f t="shared" ref="I28" si="24">(H28/C28)-H28</f>
        <v>929.95499999999993</v>
      </c>
      <c r="L28" t="s">
        <v>10</v>
      </c>
    </row>
    <row r="29" spans="1:12" x14ac:dyDescent="0.2">
      <c r="A29" t="s">
        <v>47</v>
      </c>
      <c r="B29" t="s">
        <v>48</v>
      </c>
      <c r="C29">
        <v>0.182</v>
      </c>
      <c r="D29">
        <f t="shared" ref="D29:D32" si="25">C29-_xlfn.NORM.S.INV(0.975)*F29</f>
        <v>0.16048946552599566</v>
      </c>
      <c r="E29">
        <f t="shared" ref="E29:E32" si="26">C29+_xlfn.NORM.S.INV(0.975)*F29</f>
        <v>0.20351053447400433</v>
      </c>
      <c r="F29">
        <f t="shared" ref="F29:F32" si="27">SQRT((C29*(1-C29))/1236)</f>
        <v>1.0974964154278694E-2</v>
      </c>
      <c r="G29" t="s">
        <v>219</v>
      </c>
      <c r="H29">
        <f t="shared" ref="H29:H32" si="28">C29*((C29*(1-C29)/F29^2)-1)</f>
        <v>224.77000000000004</v>
      </c>
      <c r="I29">
        <f t="shared" ref="I29:I32" si="29">(H29/C29)-H29</f>
        <v>1010.2300000000002</v>
      </c>
      <c r="L29" t="s">
        <v>10</v>
      </c>
    </row>
    <row r="30" spans="1:12" x14ac:dyDescent="0.2">
      <c r="A30" t="s">
        <v>49</v>
      </c>
      <c r="B30" t="s">
        <v>50</v>
      </c>
      <c r="C30">
        <v>0.159</v>
      </c>
      <c r="D30">
        <f t="shared" si="25"/>
        <v>0.13861384059756346</v>
      </c>
      <c r="E30">
        <f t="shared" si="26"/>
        <v>0.17938615940243655</v>
      </c>
      <c r="F30">
        <f t="shared" si="27"/>
        <v>1.0401292862134183E-2</v>
      </c>
      <c r="G30" t="s">
        <v>219</v>
      </c>
      <c r="H30">
        <f t="shared" si="28"/>
        <v>196.36500000000001</v>
      </c>
      <c r="I30">
        <f t="shared" si="29"/>
        <v>1038.635</v>
      </c>
      <c r="L30" t="s">
        <v>10</v>
      </c>
    </row>
    <row r="31" spans="1:12" x14ac:dyDescent="0.2">
      <c r="A31" t="s">
        <v>51</v>
      </c>
      <c r="B31" t="s">
        <v>52</v>
      </c>
      <c r="C31">
        <v>0.115</v>
      </c>
      <c r="D31">
        <f t="shared" si="25"/>
        <v>9.7214773059901755E-2</v>
      </c>
      <c r="E31">
        <f t="shared" si="26"/>
        <v>0.13278522694009826</v>
      </c>
      <c r="F31">
        <f t="shared" si="27"/>
        <v>9.0742621192970146E-3</v>
      </c>
      <c r="G31" t="s">
        <v>219</v>
      </c>
      <c r="H31">
        <f t="shared" si="28"/>
        <v>142.02500000000001</v>
      </c>
      <c r="I31">
        <f t="shared" si="29"/>
        <v>1092.9749999999999</v>
      </c>
      <c r="L31" t="s">
        <v>10</v>
      </c>
    </row>
    <row r="32" spans="1:12" x14ac:dyDescent="0.2">
      <c r="A32" t="s">
        <v>53</v>
      </c>
      <c r="B32" t="s">
        <v>54</v>
      </c>
      <c r="C32">
        <v>3.3000000000000002E-2</v>
      </c>
      <c r="D32">
        <f t="shared" si="25"/>
        <v>2.304115294575652E-2</v>
      </c>
      <c r="E32">
        <f t="shared" si="26"/>
        <v>4.2958847054243479E-2</v>
      </c>
      <c r="F32">
        <f t="shared" si="27"/>
        <v>5.0811377825294747E-3</v>
      </c>
      <c r="G32" t="s">
        <v>219</v>
      </c>
      <c r="H32">
        <f t="shared" si="28"/>
        <v>40.755000000000003</v>
      </c>
      <c r="I32">
        <f t="shared" si="29"/>
        <v>1194.2449999999999</v>
      </c>
      <c r="L32" t="s">
        <v>10</v>
      </c>
    </row>
    <row r="34" spans="1:12" x14ac:dyDescent="0.2">
      <c r="A34" t="s">
        <v>55</v>
      </c>
    </row>
    <row r="35" spans="1:12" x14ac:dyDescent="0.2">
      <c r="A35" t="s">
        <v>56</v>
      </c>
      <c r="B35" t="s">
        <v>57</v>
      </c>
      <c r="C35">
        <v>0.23200000000000001</v>
      </c>
      <c r="D35">
        <f t="shared" ref="D35" si="30">C35-_xlfn.NORM.S.INV(0.975)*F35</f>
        <v>0.21048033647982273</v>
      </c>
      <c r="E35">
        <f t="shared" ref="E35" si="31">C35+_xlfn.NORM.S.INV(0.975)*F35</f>
        <v>0.2535196635201773</v>
      </c>
      <c r="F35">
        <f>SQRT((C35*(1-C35))/1478)</f>
        <v>1.0979621916485015E-2</v>
      </c>
      <c r="G35" t="s">
        <v>219</v>
      </c>
      <c r="H35">
        <f t="shared" ref="H35" si="32">C35*((C35*(1-C35)/F35^2)-1)</f>
        <v>342.66399999999999</v>
      </c>
      <c r="I35">
        <f t="shared" ref="I35" si="33">(H35/C35)-H35</f>
        <v>1134.3359999999998</v>
      </c>
      <c r="L35" t="s">
        <v>10</v>
      </c>
    </row>
    <row r="36" spans="1:12" x14ac:dyDescent="0.2">
      <c r="A36" t="s">
        <v>58</v>
      </c>
      <c r="B36" t="s">
        <v>59</v>
      </c>
      <c r="C36">
        <v>0.22</v>
      </c>
      <c r="D36">
        <f t="shared" ref="D36:D39" si="34">C36-_xlfn.NORM.S.INV(0.975)*F36</f>
        <v>0.19888118646156019</v>
      </c>
      <c r="E36">
        <f t="shared" ref="E36:E39" si="35">C36+_xlfn.NORM.S.INV(0.975)*F36</f>
        <v>0.24111881353843981</v>
      </c>
      <c r="F36">
        <f t="shared" ref="F36:F39" si="36">SQRT((C36*(1-C36))/1478)</f>
        <v>1.0775102861594554E-2</v>
      </c>
      <c r="G36" t="s">
        <v>219</v>
      </c>
      <c r="H36">
        <f t="shared" ref="H36:H39" si="37">C36*((C36*(1-C36)/F36^2)-1)</f>
        <v>324.94000000000005</v>
      </c>
      <c r="I36">
        <f t="shared" ref="I36:I39" si="38">(H36/C36)-H36</f>
        <v>1152.0600000000002</v>
      </c>
      <c r="L36" t="s">
        <v>10</v>
      </c>
    </row>
    <row r="37" spans="1:12" x14ac:dyDescent="0.2">
      <c r="A37" t="s">
        <v>60</v>
      </c>
      <c r="B37" t="s">
        <v>61</v>
      </c>
      <c r="C37">
        <v>0.17799999999999999</v>
      </c>
      <c r="D37">
        <f t="shared" si="34"/>
        <v>0.15849900441789472</v>
      </c>
      <c r="E37">
        <f t="shared" si="35"/>
        <v>0.19750099558210527</v>
      </c>
      <c r="F37">
        <f t="shared" si="36"/>
        <v>9.9496703694183352E-3</v>
      </c>
      <c r="G37" t="s">
        <v>219</v>
      </c>
      <c r="H37">
        <f t="shared" si="37"/>
        <v>262.90600000000001</v>
      </c>
      <c r="I37">
        <f t="shared" si="38"/>
        <v>1214.0940000000001</v>
      </c>
      <c r="L37" t="s">
        <v>10</v>
      </c>
    </row>
    <row r="38" spans="1:12" x14ac:dyDescent="0.2">
      <c r="A38" t="s">
        <v>62</v>
      </c>
      <c r="B38" t="s">
        <v>63</v>
      </c>
      <c r="C38">
        <v>0.216</v>
      </c>
      <c r="D38">
        <f t="shared" si="34"/>
        <v>0.19502046872711265</v>
      </c>
      <c r="E38">
        <f t="shared" si="35"/>
        <v>0.23697953127288734</v>
      </c>
      <c r="F38">
        <f t="shared" si="36"/>
        <v>1.0704039175398739E-2</v>
      </c>
      <c r="G38" t="s">
        <v>219</v>
      </c>
      <c r="H38">
        <f t="shared" si="37"/>
        <v>319.03199999999993</v>
      </c>
      <c r="I38">
        <f t="shared" si="38"/>
        <v>1157.9679999999998</v>
      </c>
      <c r="L38" t="s">
        <v>10</v>
      </c>
    </row>
    <row r="39" spans="1:12" x14ac:dyDescent="0.2">
      <c r="A39" t="s">
        <v>64</v>
      </c>
      <c r="B39" t="s">
        <v>65</v>
      </c>
      <c r="C39">
        <v>5.6000000000000001E-2</v>
      </c>
      <c r="D39">
        <f t="shared" si="34"/>
        <v>4.4278292372679294E-2</v>
      </c>
      <c r="E39">
        <f t="shared" si="35"/>
        <v>6.7721707627320715E-2</v>
      </c>
      <c r="F39">
        <f t="shared" si="36"/>
        <v>5.9805729695953831E-3</v>
      </c>
      <c r="G39" t="s">
        <v>219</v>
      </c>
      <c r="H39">
        <f t="shared" si="37"/>
        <v>82.712000000000018</v>
      </c>
      <c r="I39">
        <f t="shared" si="38"/>
        <v>1394.2880000000002</v>
      </c>
      <c r="L39" t="s">
        <v>10</v>
      </c>
    </row>
    <row r="41" spans="1:12" x14ac:dyDescent="0.2">
      <c r="A41" t="s">
        <v>66</v>
      </c>
    </row>
    <row r="42" spans="1:12" x14ac:dyDescent="0.2">
      <c r="A42" t="s">
        <v>67</v>
      </c>
      <c r="B42" t="s">
        <v>68</v>
      </c>
      <c r="C42">
        <v>0.88700000000000001</v>
      </c>
      <c r="D42">
        <v>0.84199999999999997</v>
      </c>
      <c r="E42">
        <v>0.93100000000000005</v>
      </c>
      <c r="F42">
        <f>(E42-D42)/2*_xlfn.NORM.S.INV(0.975)</f>
        <v>8.7218397312032458E-2</v>
      </c>
      <c r="G42" t="s">
        <v>219</v>
      </c>
      <c r="H42">
        <f t="shared" ref="H42" si="39">C42*((C42*(1-C42)/F42^2)-1)</f>
        <v>10.800173171957297</v>
      </c>
      <c r="I42">
        <f t="shared" ref="I42" si="40">(H42/C42)-H42</f>
        <v>1.3758957930452933</v>
      </c>
      <c r="L42" t="s">
        <v>69</v>
      </c>
    </row>
    <row r="43" spans="1:12" x14ac:dyDescent="0.2">
      <c r="A43" t="s">
        <v>70</v>
      </c>
      <c r="B43" t="s">
        <v>71</v>
      </c>
      <c r="C43">
        <v>0.74399999999999999</v>
      </c>
      <c r="D43">
        <v>0.69899999999999995</v>
      </c>
      <c r="E43">
        <v>0.78900000000000003</v>
      </c>
      <c r="F43">
        <f>(E43-D43)/2*_xlfn.NORM.S.INV(0.975)</f>
        <v>8.8198379304302493E-2</v>
      </c>
      <c r="G43" t="s">
        <v>219</v>
      </c>
      <c r="H43">
        <f t="shared" ref="H43" si="41">C43*((C43*(1-C43)/F43^2)-1)</f>
        <v>17.47248694174986</v>
      </c>
      <c r="I43">
        <f t="shared" ref="I43" si="42">(H43/C43)-H43</f>
        <v>6.0120385175913498</v>
      </c>
      <c r="L43" t="s">
        <v>69</v>
      </c>
    </row>
    <row r="44" spans="1:12" x14ac:dyDescent="0.2">
      <c r="A44" t="s">
        <v>72</v>
      </c>
      <c r="B44" t="s">
        <v>73</v>
      </c>
      <c r="C44">
        <v>0</v>
      </c>
      <c r="D44">
        <v>0</v>
      </c>
      <c r="E44">
        <v>0</v>
      </c>
      <c r="G44" t="s">
        <v>229</v>
      </c>
    </row>
    <row r="45" spans="1:12" x14ac:dyDescent="0.2">
      <c r="A45" t="s">
        <v>74</v>
      </c>
      <c r="B45" t="s">
        <v>75</v>
      </c>
      <c r="C45">
        <v>0</v>
      </c>
      <c r="D45">
        <v>0</v>
      </c>
      <c r="E45">
        <v>0</v>
      </c>
      <c r="G45" t="s">
        <v>229</v>
      </c>
    </row>
    <row r="46" spans="1:12" x14ac:dyDescent="0.2">
      <c r="A46" t="s">
        <v>76</v>
      </c>
      <c r="B46" t="s">
        <v>77</v>
      </c>
      <c r="C46">
        <v>0</v>
      </c>
      <c r="D46">
        <v>0</v>
      </c>
      <c r="E46">
        <v>0</v>
      </c>
      <c r="G46" t="s">
        <v>229</v>
      </c>
    </row>
    <row r="48" spans="1:12" x14ac:dyDescent="0.2">
      <c r="A48" t="s">
        <v>78</v>
      </c>
      <c r="B48" t="s">
        <v>79</v>
      </c>
      <c r="C48">
        <v>0.53</v>
      </c>
      <c r="D48">
        <v>0.38</v>
      </c>
      <c r="E48">
        <v>0.74</v>
      </c>
      <c r="F48">
        <f>(LN(E48)-LN(D48))/(_xlfn.NORM.S.INV(0.975)*2)</f>
        <v>0.17002326030857837</v>
      </c>
      <c r="G48" t="s">
        <v>228</v>
      </c>
      <c r="H48">
        <f t="shared" ref="H48" si="43">LN(C48)</f>
        <v>-0.6348782724359695</v>
      </c>
      <c r="I48">
        <f>(LN(E48)-LN(D48))/(_xlfn.NORM.S.INV(0.975)*2)</f>
        <v>0.17002326030857837</v>
      </c>
      <c r="L48" t="s">
        <v>80</v>
      </c>
    </row>
    <row r="49" spans="1:12" x14ac:dyDescent="0.2">
      <c r="A49" t="s">
        <v>81</v>
      </c>
      <c r="B49" t="s">
        <v>82</v>
      </c>
      <c r="C49">
        <v>0.84</v>
      </c>
      <c r="D49">
        <v>0.73299999999999998</v>
      </c>
      <c r="E49">
        <v>0.97199999999999998</v>
      </c>
      <c r="F49">
        <f>(LN(E49)-LN(D49))/(_xlfn.NORM.S.INV(0.975)*2)</f>
        <v>7.1993696006616689E-2</v>
      </c>
      <c r="G49" t="s">
        <v>228</v>
      </c>
      <c r="H49">
        <f t="shared" ref="H49" si="44">LN(C49)</f>
        <v>-0.1743533871447778</v>
      </c>
      <c r="I49">
        <f>LN(F49)</f>
        <v>-2.6311767192629421</v>
      </c>
    </row>
    <row r="50" spans="1:12" x14ac:dyDescent="0.2">
      <c r="A50" t="s">
        <v>83</v>
      </c>
      <c r="B50" t="s">
        <v>84</v>
      </c>
      <c r="C50">
        <v>0.53</v>
      </c>
      <c r="D50">
        <v>0.39</v>
      </c>
      <c r="E50">
        <v>0.74</v>
      </c>
      <c r="F50">
        <f>(LN(E50)-LN(D50))/(_xlfn.NORM.S.INV(0.975)*2)</f>
        <v>0.16339673895202489</v>
      </c>
      <c r="G50" t="s">
        <v>228</v>
      </c>
      <c r="H50">
        <f t="shared" ref="H50" si="45">LN(C50)</f>
        <v>-0.6348782724359695</v>
      </c>
      <c r="I50">
        <f>(LN(E50)-LN(D50))/(_xlfn.NORM.S.INV(0.975)*2)</f>
        <v>0.16339673895202489</v>
      </c>
      <c r="L50" t="s">
        <v>85</v>
      </c>
    </row>
    <row r="52" spans="1:12" x14ac:dyDescent="0.2">
      <c r="A52" t="s">
        <v>86</v>
      </c>
      <c r="B52" t="s">
        <v>87</v>
      </c>
      <c r="C52">
        <v>6.2E-2</v>
      </c>
      <c r="D52">
        <v>5.5500000000000001E-2</v>
      </c>
      <c r="E52">
        <v>6.7900000000000002E-2</v>
      </c>
      <c r="F52">
        <v>3.1632653061224492E-3</v>
      </c>
      <c r="G52" t="s">
        <v>219</v>
      </c>
      <c r="H52">
        <f t="shared" ref="H52" si="46">C52*((C52*(1-C52)/F52^2)-1)</f>
        <v>360.28007999999994</v>
      </c>
      <c r="I52">
        <f t="shared" ref="I52" si="47">(H52/C52)-H52</f>
        <v>5450.6889522580641</v>
      </c>
      <c r="L52" t="s">
        <v>88</v>
      </c>
    </row>
    <row r="53" spans="1:12" x14ac:dyDescent="0.2">
      <c r="A53" t="s">
        <v>89</v>
      </c>
      <c r="B53" t="s">
        <v>90</v>
      </c>
      <c r="C53">
        <v>0.124</v>
      </c>
      <c r="D53">
        <v>6.2E-2</v>
      </c>
      <c r="E53">
        <v>0.186</v>
      </c>
      <c r="F53">
        <v>3.1632653061224487E-2</v>
      </c>
      <c r="G53" t="s">
        <v>219</v>
      </c>
      <c r="H53">
        <f t="shared" ref="H53" si="48">C53*((C53*(1-C53)/F53^2)-1)</f>
        <v>13.336966400000001</v>
      </c>
      <c r="I53">
        <f t="shared" ref="I53" si="49">(H53/C53)-H53</f>
        <v>94.219214245161311</v>
      </c>
      <c r="L53" t="s">
        <v>91</v>
      </c>
    </row>
    <row r="54" spans="1:12" x14ac:dyDescent="0.2">
      <c r="A54" t="s">
        <v>92</v>
      </c>
      <c r="B54" t="s">
        <v>93</v>
      </c>
      <c r="C54">
        <v>0</v>
      </c>
      <c r="D54">
        <v>0</v>
      </c>
      <c r="E54">
        <v>0</v>
      </c>
      <c r="G54" t="s">
        <v>229</v>
      </c>
      <c r="L54" t="s">
        <v>94</v>
      </c>
    </row>
    <row r="56" spans="1:12" x14ac:dyDescent="0.2">
      <c r="A56" t="s">
        <v>95</v>
      </c>
      <c r="B56" t="s">
        <v>96</v>
      </c>
      <c r="C56">
        <v>1</v>
      </c>
      <c r="D56">
        <v>1</v>
      </c>
      <c r="E56">
        <v>1</v>
      </c>
      <c r="G56" t="s">
        <v>229</v>
      </c>
      <c r="H56">
        <v>0</v>
      </c>
      <c r="I56">
        <v>0</v>
      </c>
      <c r="L56" t="s">
        <v>97</v>
      </c>
    </row>
    <row r="58" spans="1:12" x14ac:dyDescent="0.2">
      <c r="A58" t="s">
        <v>98</v>
      </c>
    </row>
    <row r="59" spans="1:12" x14ac:dyDescent="0.2">
      <c r="A59" t="s">
        <v>99</v>
      </c>
    </row>
    <row r="60" spans="1:12" x14ac:dyDescent="0.2">
      <c r="A60" t="s">
        <v>100</v>
      </c>
      <c r="B60" t="s">
        <v>101</v>
      </c>
      <c r="C60">
        <v>0.95</v>
      </c>
      <c r="D60">
        <v>0.76</v>
      </c>
      <c r="E60">
        <v>1</v>
      </c>
      <c r="F60">
        <v>6.1224489795918366E-2</v>
      </c>
      <c r="G60" t="s">
        <v>219</v>
      </c>
      <c r="H60">
        <f t="shared" ref="H60" si="50">C60*((C60*(1-C60)/F60^2)-1)</f>
        <v>11.088347222222232</v>
      </c>
      <c r="I60">
        <f t="shared" ref="I60" si="51">(H60/C60)-H60</f>
        <v>0.58359722222222388</v>
      </c>
    </row>
    <row r="61" spans="1:12" x14ac:dyDescent="0.2">
      <c r="A61" t="s">
        <v>102</v>
      </c>
      <c r="B61" t="s">
        <v>103</v>
      </c>
      <c r="C61">
        <v>0.95</v>
      </c>
      <c r="D61">
        <v>0.76</v>
      </c>
      <c r="E61">
        <v>1</v>
      </c>
      <c r="F61">
        <v>6.1224489795918366E-2</v>
      </c>
      <c r="G61" t="s">
        <v>219</v>
      </c>
      <c r="H61">
        <f t="shared" ref="H61" si="52">C61*((C61*(1-C61)/F61^2)-1)</f>
        <v>11.088347222222232</v>
      </c>
      <c r="I61">
        <f t="shared" ref="I61" si="53">(H61/C61)-H61</f>
        <v>0.58359722222222388</v>
      </c>
    </row>
    <row r="62" spans="1:12" x14ac:dyDescent="0.2">
      <c r="A62" t="s">
        <v>104</v>
      </c>
      <c r="B62" t="s">
        <v>105</v>
      </c>
      <c r="C62">
        <v>0</v>
      </c>
      <c r="G62" t="s">
        <v>229</v>
      </c>
    </row>
    <row r="63" spans="1:12" x14ac:dyDescent="0.2">
      <c r="A63" t="s">
        <v>106</v>
      </c>
    </row>
    <row r="64" spans="1:12" x14ac:dyDescent="0.2">
      <c r="A64" t="s">
        <v>107</v>
      </c>
      <c r="B64" t="s">
        <v>220</v>
      </c>
      <c r="C64">
        <v>0.9</v>
      </c>
      <c r="D64">
        <v>0.85</v>
      </c>
      <c r="E64">
        <v>0.95</v>
      </c>
      <c r="F64">
        <v>2.5510204081632647E-2</v>
      </c>
      <c r="G64" t="s">
        <v>219</v>
      </c>
      <c r="H64">
        <f t="shared" ref="H64" si="54">C64*((C64*(1-C64)/F64^2)-1)</f>
        <v>123.56784000000005</v>
      </c>
      <c r="I64">
        <f t="shared" ref="I64" si="55">(H64/C64)-H64</f>
        <v>13.729759999999999</v>
      </c>
      <c r="L64" t="s">
        <v>108</v>
      </c>
    </row>
    <row r="65" spans="1:12" x14ac:dyDescent="0.2">
      <c r="A65" t="s">
        <v>109</v>
      </c>
      <c r="B65" t="s">
        <v>110</v>
      </c>
      <c r="C65">
        <v>0.9</v>
      </c>
      <c r="D65">
        <v>0.85</v>
      </c>
      <c r="E65">
        <v>0.95</v>
      </c>
      <c r="F65">
        <v>2.5510204081632647E-2</v>
      </c>
      <c r="G65" t="s">
        <v>219</v>
      </c>
      <c r="H65">
        <f t="shared" ref="H65:H67" si="56">C65*((C65*(1-C65)/F65^2)-1)</f>
        <v>123.56784000000005</v>
      </c>
      <c r="I65">
        <f t="shared" ref="I65:I67" si="57">(H65/C65)-H65</f>
        <v>13.729759999999999</v>
      </c>
      <c r="L65" t="s">
        <v>108</v>
      </c>
    </row>
    <row r="66" spans="1:12" x14ac:dyDescent="0.2">
      <c r="A66" t="s">
        <v>111</v>
      </c>
      <c r="B66" t="s">
        <v>112</v>
      </c>
      <c r="C66">
        <v>0.9</v>
      </c>
      <c r="D66">
        <v>0.85</v>
      </c>
      <c r="E66">
        <v>0.95</v>
      </c>
      <c r="F66">
        <v>2.5510204081632647E-2</v>
      </c>
      <c r="G66" t="s">
        <v>219</v>
      </c>
      <c r="H66">
        <f t="shared" si="56"/>
        <v>123.56784000000005</v>
      </c>
      <c r="I66">
        <f t="shared" si="57"/>
        <v>13.729759999999999</v>
      </c>
      <c r="L66" t="s">
        <v>108</v>
      </c>
    </row>
    <row r="67" spans="1:12" x14ac:dyDescent="0.2">
      <c r="A67" t="s">
        <v>113</v>
      </c>
      <c r="B67" t="s">
        <v>114</v>
      </c>
      <c r="C67">
        <v>0.95</v>
      </c>
      <c r="D67">
        <v>0.9</v>
      </c>
      <c r="E67">
        <v>1</v>
      </c>
      <c r="F67">
        <v>2.5510204081632647E-2</v>
      </c>
      <c r="G67" t="s">
        <v>219</v>
      </c>
      <c r="H67">
        <f t="shared" si="56"/>
        <v>68.390880000000095</v>
      </c>
      <c r="I67">
        <f t="shared" si="57"/>
        <v>3.5995200000000125</v>
      </c>
      <c r="L67" t="s">
        <v>108</v>
      </c>
    </row>
    <row r="68" spans="1:12" x14ac:dyDescent="0.2">
      <c r="A68" t="s">
        <v>115</v>
      </c>
      <c r="B68" t="s">
        <v>116</v>
      </c>
      <c r="C68">
        <v>1</v>
      </c>
      <c r="G68" t="s">
        <v>229</v>
      </c>
      <c r="L68" t="s">
        <v>108</v>
      </c>
    </row>
    <row r="70" spans="1:12" x14ac:dyDescent="0.2">
      <c r="A70" t="s">
        <v>118</v>
      </c>
      <c r="B70" t="s">
        <v>119</v>
      </c>
      <c r="C70">
        <v>1.0747354497354498</v>
      </c>
      <c r="D70">
        <v>0.85978835978835988</v>
      </c>
      <c r="E70">
        <v>1.2896825396825398</v>
      </c>
      <c r="F70">
        <f>(E70-D70)/(2*_xlfn.NORM.S.INV(0.975))</f>
        <v>0.10966889781779932</v>
      </c>
      <c r="G70" t="s">
        <v>233</v>
      </c>
      <c r="L70" t="s">
        <v>120</v>
      </c>
    </row>
    <row r="71" spans="1:12" x14ac:dyDescent="0.2">
      <c r="A71" t="s">
        <v>121</v>
      </c>
      <c r="B71" t="s">
        <v>122</v>
      </c>
      <c r="C71">
        <v>0.82671957671957674</v>
      </c>
      <c r="D71">
        <v>0.66137566137566139</v>
      </c>
      <c r="E71">
        <v>0.99206349206349209</v>
      </c>
      <c r="F71">
        <f t="shared" ref="F71:F82" si="58">(E71-D71)/(2*_xlfn.NORM.S.INV(0.975))</f>
        <v>8.4360690629076404E-2</v>
      </c>
      <c r="G71" t="s">
        <v>233</v>
      </c>
      <c r="L71" t="s">
        <v>120</v>
      </c>
    </row>
    <row r="72" spans="1:12" x14ac:dyDescent="0.2">
      <c r="A72" t="s">
        <v>123</v>
      </c>
      <c r="B72" t="s">
        <v>124</v>
      </c>
      <c r="C72">
        <v>4.4186350497612749E-2</v>
      </c>
      <c r="D72">
        <v>3.5349080398090198E-2</v>
      </c>
      <c r="E72">
        <v>5.30236205971353E-2</v>
      </c>
      <c r="F72">
        <f t="shared" si="58"/>
        <v>4.5088941272542829E-3</v>
      </c>
      <c r="G72" t="s">
        <v>233</v>
      </c>
      <c r="L72" t="s">
        <v>117</v>
      </c>
    </row>
    <row r="73" spans="1:12" x14ac:dyDescent="0.2">
      <c r="A73" t="s">
        <v>125</v>
      </c>
      <c r="B73" t="s">
        <v>126</v>
      </c>
      <c r="C73">
        <v>0.35760000000000003</v>
      </c>
      <c r="D73">
        <v>0.30000000000000004</v>
      </c>
      <c r="E73">
        <v>1.3740000000000001</v>
      </c>
      <c r="F73">
        <f t="shared" si="58"/>
        <v>0.27398462636853926</v>
      </c>
      <c r="G73" t="s">
        <v>233</v>
      </c>
      <c r="L73" t="s">
        <v>127</v>
      </c>
    </row>
    <row r="74" spans="1:12" x14ac:dyDescent="0.2">
      <c r="A74" t="s">
        <v>128</v>
      </c>
      <c r="B74" t="s">
        <v>129</v>
      </c>
      <c r="C74">
        <v>12.276315063414467</v>
      </c>
      <c r="D74">
        <v>9.8210520507315735</v>
      </c>
      <c r="E74">
        <v>14.73157807609736</v>
      </c>
      <c r="F74">
        <f t="shared" si="58"/>
        <v>1.2527082293601799</v>
      </c>
      <c r="G74" t="s">
        <v>233</v>
      </c>
      <c r="L74" t="s">
        <v>130</v>
      </c>
    </row>
    <row r="75" spans="1:12" x14ac:dyDescent="0.2">
      <c r="A75" t="s">
        <v>131</v>
      </c>
      <c r="B75" t="s">
        <v>132</v>
      </c>
      <c r="C75">
        <v>11.768154384694311</v>
      </c>
      <c r="D75">
        <v>9.4145235077554492</v>
      </c>
      <c r="E75">
        <v>14.121785261633173</v>
      </c>
      <c r="F75">
        <f t="shared" si="58"/>
        <v>1.2008541460475819</v>
      </c>
      <c r="G75" t="s">
        <v>233</v>
      </c>
      <c r="L75" t="s">
        <v>130</v>
      </c>
    </row>
    <row r="76" spans="1:12" x14ac:dyDescent="0.2">
      <c r="A76" t="s">
        <v>133</v>
      </c>
      <c r="B76" t="s">
        <v>134</v>
      </c>
      <c r="C76">
        <v>3</v>
      </c>
      <c r="D76">
        <v>2</v>
      </c>
      <c r="E76">
        <v>5</v>
      </c>
      <c r="G76" t="s">
        <v>234</v>
      </c>
      <c r="L76" t="s">
        <v>135</v>
      </c>
    </row>
    <row r="77" spans="1:12" x14ac:dyDescent="0.2">
      <c r="A77" t="s">
        <v>136</v>
      </c>
      <c r="B77" t="s">
        <v>137</v>
      </c>
      <c r="C77">
        <v>3.83</v>
      </c>
      <c r="D77">
        <v>3.0640000000000001</v>
      </c>
      <c r="E77">
        <v>4.5960000000000001</v>
      </c>
      <c r="F77">
        <f t="shared" si="58"/>
        <v>0.390823508004285</v>
      </c>
      <c r="G77" t="s">
        <v>233</v>
      </c>
      <c r="L77" t="s">
        <v>138</v>
      </c>
    </row>
    <row r="78" spans="1:12" x14ac:dyDescent="0.2">
      <c r="A78" t="s">
        <v>139</v>
      </c>
      <c r="B78" t="s">
        <v>140</v>
      </c>
      <c r="C78">
        <v>1.3872786529060295</v>
      </c>
      <c r="D78">
        <v>1.1098229223248237</v>
      </c>
      <c r="E78">
        <v>1.6647343834872352</v>
      </c>
      <c r="F78">
        <f t="shared" si="58"/>
        <v>0.14156164744339245</v>
      </c>
      <c r="G78" t="s">
        <v>233</v>
      </c>
      <c r="L78" t="s">
        <v>138</v>
      </c>
    </row>
    <row r="79" spans="1:12" x14ac:dyDescent="0.2">
      <c r="A79" t="s">
        <v>141</v>
      </c>
      <c r="B79" t="s">
        <v>142</v>
      </c>
      <c r="C79">
        <v>1.3872786529060295</v>
      </c>
      <c r="D79">
        <v>1.1098229223248237</v>
      </c>
      <c r="E79">
        <v>1.6647343834872352</v>
      </c>
      <c r="F79">
        <f t="shared" si="58"/>
        <v>0.14156164744339245</v>
      </c>
      <c r="G79" t="s">
        <v>233</v>
      </c>
      <c r="L79" t="s">
        <v>143</v>
      </c>
    </row>
    <row r="80" spans="1:12" x14ac:dyDescent="0.2">
      <c r="A80" t="s">
        <v>144</v>
      </c>
      <c r="B80" t="s">
        <v>145</v>
      </c>
      <c r="C80">
        <v>8.0835659967409015</v>
      </c>
      <c r="D80">
        <v>6.4668527973927219</v>
      </c>
      <c r="E80">
        <v>9.7002791960890811</v>
      </c>
      <c r="F80">
        <f t="shared" si="58"/>
        <v>0.82486883029515212</v>
      </c>
      <c r="G80" t="s">
        <v>233</v>
      </c>
      <c r="L80" t="s">
        <v>138</v>
      </c>
    </row>
    <row r="81" spans="1:12" x14ac:dyDescent="0.2">
      <c r="A81" t="s">
        <v>146</v>
      </c>
      <c r="B81" t="s">
        <v>147</v>
      </c>
      <c r="C81">
        <v>2.7745573058120589</v>
      </c>
      <c r="D81">
        <v>2.2196458446496474</v>
      </c>
      <c r="E81">
        <v>3.3294687669744705</v>
      </c>
      <c r="F81">
        <f t="shared" si="58"/>
        <v>0.28312329488678489</v>
      </c>
      <c r="G81" t="s">
        <v>233</v>
      </c>
      <c r="L81" t="s">
        <v>138</v>
      </c>
    </row>
    <row r="82" spans="1:12" x14ac:dyDescent="0.2">
      <c r="A82" t="s">
        <v>148</v>
      </c>
      <c r="B82" t="s">
        <v>149</v>
      </c>
      <c r="C82">
        <v>547</v>
      </c>
      <c r="D82">
        <v>437.6</v>
      </c>
      <c r="E82">
        <v>656.4</v>
      </c>
      <c r="F82">
        <f t="shared" si="58"/>
        <v>55.817352187557141</v>
      </c>
      <c r="G82" t="s">
        <v>233</v>
      </c>
      <c r="L82" t="s">
        <v>150</v>
      </c>
    </row>
    <row r="83" spans="1:12" x14ac:dyDescent="0.2">
      <c r="A83" t="s">
        <v>151</v>
      </c>
      <c r="B83" t="s">
        <v>152</v>
      </c>
      <c r="C83">
        <v>0</v>
      </c>
      <c r="D83">
        <v>0</v>
      </c>
      <c r="E83">
        <v>0</v>
      </c>
      <c r="F83">
        <v>0</v>
      </c>
      <c r="G83" t="s">
        <v>229</v>
      </c>
      <c r="L83" t="s">
        <v>153</v>
      </c>
    </row>
    <row r="84" spans="1:12" x14ac:dyDescent="0.2">
      <c r="A84" t="s">
        <v>154</v>
      </c>
      <c r="B84" t="s">
        <v>155</v>
      </c>
      <c r="C84">
        <v>0.05</v>
      </c>
      <c r="D84">
        <v>4.0000000000000008E-2</v>
      </c>
      <c r="E84">
        <v>0.06</v>
      </c>
      <c r="F84">
        <f t="shared" ref="F84" si="59">(E84-D84)/(2*_xlfn.NORM.S.INV(0.975))</f>
        <v>5.1021345692465383E-3</v>
      </c>
      <c r="G84" t="s">
        <v>233</v>
      </c>
      <c r="H84">
        <f t="shared" ref="H84" si="60">LN(C84)</f>
        <v>-2.9957322735539909</v>
      </c>
      <c r="I84">
        <f t="shared" ref="I84" si="61">(LN(E84)-LN(D84))/(1.96*2)</f>
        <v>0.10343497655820515</v>
      </c>
    </row>
    <row r="86" spans="1:12" x14ac:dyDescent="0.2">
      <c r="A86" t="s">
        <v>156</v>
      </c>
    </row>
    <row r="87" spans="1:12" x14ac:dyDescent="0.2">
      <c r="A87" t="s">
        <v>157</v>
      </c>
      <c r="B87" t="s">
        <v>158</v>
      </c>
      <c r="C87">
        <v>7</v>
      </c>
      <c r="D87">
        <v>3</v>
      </c>
      <c r="E87">
        <v>10</v>
      </c>
      <c r="G87" t="s">
        <v>234</v>
      </c>
    </row>
    <row r="88" spans="1:12" x14ac:dyDescent="0.2">
      <c r="A88" t="s">
        <v>159</v>
      </c>
      <c r="B88" t="s">
        <v>160</v>
      </c>
      <c r="C88">
        <v>3</v>
      </c>
      <c r="D88">
        <v>2</v>
      </c>
      <c r="E88">
        <v>5</v>
      </c>
      <c r="G88" t="s">
        <v>234</v>
      </c>
    </row>
    <row r="89" spans="1:12" x14ac:dyDescent="0.2">
      <c r="A89" t="s">
        <v>161</v>
      </c>
      <c r="B89" t="s">
        <v>162</v>
      </c>
      <c r="C89">
        <v>0.75</v>
      </c>
      <c r="D89">
        <v>0.375</v>
      </c>
      <c r="E89">
        <v>1.125</v>
      </c>
      <c r="F89">
        <f t="shared" ref="F89" si="62">(E89-D89)/(2*_xlfn.NORM.S.INV(0.975))</f>
        <v>0.19133004634674527</v>
      </c>
      <c r="G89" t="s">
        <v>233</v>
      </c>
      <c r="H89">
        <f t="shared" ref="H89" si="63">LN(C89)</f>
        <v>-0.2876820724517809</v>
      </c>
      <c r="I89">
        <f t="shared" ref="I89" si="64">(LN(E89)-LN(D89))/(1.96*2)</f>
        <v>0.28025823690513002</v>
      </c>
    </row>
    <row r="90" spans="1:12" x14ac:dyDescent="0.2">
      <c r="A90" t="s">
        <v>163</v>
      </c>
      <c r="B90" t="s">
        <v>164</v>
      </c>
      <c r="C90">
        <v>8.3333333333333329E-2</v>
      </c>
      <c r="D90">
        <v>4.1666666666666664E-2</v>
      </c>
      <c r="E90">
        <v>0.125</v>
      </c>
      <c r="G90" t="s">
        <v>234</v>
      </c>
      <c r="L90" t="s">
        <v>165</v>
      </c>
    </row>
    <row r="91" spans="1:12" x14ac:dyDescent="0.2">
      <c r="A91" t="s">
        <v>166</v>
      </c>
      <c r="B91" t="s">
        <v>167</v>
      </c>
      <c r="C91">
        <v>0.14899999999999999</v>
      </c>
      <c r="D91">
        <v>0.10100000000000001</v>
      </c>
      <c r="E91">
        <v>0.20899999999999999</v>
      </c>
      <c r="F91">
        <v>2.9591836734693878E-2</v>
      </c>
      <c r="G91" t="s">
        <v>219</v>
      </c>
      <c r="H91">
        <f t="shared" ref="H91" si="65">C91*((C91*(1-C91)/F91^2)-1)</f>
        <v>21.426370012366228</v>
      </c>
      <c r="I91">
        <f t="shared" ref="I91" si="66">(H91/C91)-H91</f>
        <v>122.37477101022591</v>
      </c>
      <c r="L91" t="s">
        <v>232</v>
      </c>
    </row>
    <row r="92" spans="1:12" x14ac:dyDescent="0.2">
      <c r="A92" t="s">
        <v>169</v>
      </c>
      <c r="B92" t="s">
        <v>170</v>
      </c>
      <c r="C92">
        <v>62.5</v>
      </c>
      <c r="D92">
        <v>59.8</v>
      </c>
      <c r="E92">
        <v>65.099999999999994</v>
      </c>
      <c r="F92">
        <f t="shared" ref="F92" si="67">(E92-D92)/(2*_xlfn.NORM.S.INV(0.975))</f>
        <v>1.3520656608503325</v>
      </c>
      <c r="G92" t="s">
        <v>233</v>
      </c>
      <c r="L92" t="s">
        <v>168</v>
      </c>
    </row>
    <row r="93" spans="1:12" x14ac:dyDescent="0.2">
      <c r="A93" t="s">
        <v>171</v>
      </c>
      <c r="B93" t="s">
        <v>172</v>
      </c>
      <c r="C93">
        <v>0.17</v>
      </c>
      <c r="D93">
        <v>8.5000000000000006E-2</v>
      </c>
      <c r="E93">
        <v>0.255</v>
      </c>
      <c r="F93">
        <v>4.336734693877551E-2</v>
      </c>
      <c r="G93" t="s">
        <v>219</v>
      </c>
      <c r="H93">
        <f t="shared" ref="H93" si="68">C93*((C93*(1-C93)/F93^2)-1)</f>
        <v>12.584112000000001</v>
      </c>
      <c r="I93">
        <f t="shared" ref="I93" si="69">(H93/C93)-H93</f>
        <v>61.440076235294114</v>
      </c>
      <c r="L93" t="s">
        <v>173</v>
      </c>
    </row>
    <row r="94" spans="1:12" x14ac:dyDescent="0.2">
      <c r="A94" t="s">
        <v>174</v>
      </c>
      <c r="B94" t="s">
        <v>175</v>
      </c>
      <c r="C94">
        <v>0.03</v>
      </c>
      <c r="D94">
        <v>0</v>
      </c>
      <c r="E94">
        <v>0.05</v>
      </c>
      <c r="G94" s="1" t="s">
        <v>229</v>
      </c>
      <c r="L94" t="s">
        <v>135</v>
      </c>
    </row>
    <row r="95" spans="1:12" x14ac:dyDescent="0.2">
      <c r="A95" t="s">
        <v>176</v>
      </c>
      <c r="B95" t="s">
        <v>177</v>
      </c>
      <c r="C95">
        <v>0.34</v>
      </c>
      <c r="D95">
        <v>0.17</v>
      </c>
      <c r="E95">
        <v>0.51</v>
      </c>
      <c r="F95">
        <v>8.673469387755102E-2</v>
      </c>
      <c r="G95" t="s">
        <v>219</v>
      </c>
      <c r="H95">
        <f t="shared" ref="H95" si="70">C95*((C95*(1-C95)/F95^2)-1)</f>
        <v>9.8018239999999999</v>
      </c>
      <c r="I95">
        <f t="shared" ref="I95" si="71">(H95/C95)-H95</f>
        <v>19.027070117647057</v>
      </c>
      <c r="L95" t="s">
        <v>178</v>
      </c>
    </row>
    <row r="96" spans="1:12" x14ac:dyDescent="0.2">
      <c r="A96" t="s">
        <v>179</v>
      </c>
      <c r="B96" t="s">
        <v>180</v>
      </c>
      <c r="C96">
        <v>2520</v>
      </c>
      <c r="D96">
        <v>2520</v>
      </c>
      <c r="E96">
        <v>2520</v>
      </c>
      <c r="G96" s="1" t="s">
        <v>229</v>
      </c>
      <c r="L96" t="s">
        <v>181</v>
      </c>
    </row>
    <row r="97" spans="1:12" x14ac:dyDescent="0.2">
      <c r="A97" t="s">
        <v>182</v>
      </c>
      <c r="B97" t="s">
        <v>183</v>
      </c>
      <c r="C97">
        <v>1200</v>
      </c>
      <c r="D97">
        <v>1200</v>
      </c>
      <c r="E97">
        <v>1200</v>
      </c>
      <c r="G97" s="1" t="s">
        <v>229</v>
      </c>
      <c r="L97" t="s">
        <v>184</v>
      </c>
    </row>
    <row r="99" spans="1:12" x14ac:dyDescent="0.2">
      <c r="A99" t="s">
        <v>185</v>
      </c>
      <c r="B99" t="s">
        <v>186</v>
      </c>
      <c r="C99">
        <v>2.8571428571428571E-3</v>
      </c>
      <c r="D99">
        <v>0</v>
      </c>
      <c r="E99">
        <v>4.2857142857142859E-3</v>
      </c>
      <c r="F99">
        <v>1.0932944606413995E-3</v>
      </c>
      <c r="G99" t="s">
        <v>219</v>
      </c>
      <c r="H99">
        <f t="shared" ref="H99" si="72">C99*((C99*(1-C99)/F99^2)-1)</f>
        <v>6.8071410793650795</v>
      </c>
      <c r="I99">
        <f t="shared" ref="I99" si="73">(H99/C99)-H99</f>
        <v>2375.6922366984127</v>
      </c>
      <c r="L99" t="s">
        <v>187</v>
      </c>
    </row>
    <row r="100" spans="1:12" x14ac:dyDescent="0.2">
      <c r="A100" t="s">
        <v>188</v>
      </c>
      <c r="B100" t="s">
        <v>189</v>
      </c>
      <c r="C100">
        <v>0</v>
      </c>
      <c r="G100" s="1" t="s">
        <v>229</v>
      </c>
    </row>
    <row r="102" spans="1:12" x14ac:dyDescent="0.2">
      <c r="A102" t="s">
        <v>190</v>
      </c>
      <c r="B102" t="s">
        <v>191</v>
      </c>
      <c r="C102">
        <v>0.7</v>
      </c>
      <c r="D102">
        <v>0.55999999999999994</v>
      </c>
      <c r="E102">
        <v>0.84</v>
      </c>
      <c r="F102">
        <v>7.1428571428571438E-2</v>
      </c>
      <c r="G102" t="s">
        <v>219</v>
      </c>
      <c r="H102">
        <f t="shared" ref="H102" si="74">C102*((C102*(1-C102)/F102^2)-1)</f>
        <v>28.111999999999995</v>
      </c>
      <c r="I102">
        <f t="shared" ref="I102" si="75">(H102/C102)-H102</f>
        <v>12.048000000000002</v>
      </c>
      <c r="L102" t="s">
        <v>192</v>
      </c>
    </row>
    <row r="103" spans="1:12" x14ac:dyDescent="0.2">
      <c r="A103" t="s">
        <v>193</v>
      </c>
      <c r="C103">
        <v>0.30000000000000004</v>
      </c>
      <c r="L103" t="s">
        <v>192</v>
      </c>
    </row>
    <row r="104" spans="1:12" x14ac:dyDescent="0.2">
      <c r="A104" t="s">
        <v>194</v>
      </c>
      <c r="B104" t="s">
        <v>195</v>
      </c>
      <c r="C104">
        <v>1.3793103448276001E-2</v>
      </c>
      <c r="D104">
        <v>6.8965517241380003E-3</v>
      </c>
      <c r="E104">
        <v>2.0689655172414001E-2</v>
      </c>
      <c r="F104">
        <v>3.5186488388459186E-3</v>
      </c>
      <c r="G104" t="s">
        <v>219</v>
      </c>
      <c r="H104">
        <f t="shared" ref="H104" si="76">C104*((C104*(1-C104)/F104^2)-1)</f>
        <v>15.140656551724136</v>
      </c>
      <c r="I104">
        <f t="shared" ref="I104" si="77">(H104/C104)-H104</f>
        <v>1082.5569434482647</v>
      </c>
      <c r="L104" t="s">
        <v>192</v>
      </c>
    </row>
    <row r="106" spans="1:12" x14ac:dyDescent="0.2">
      <c r="A106" t="s">
        <v>196</v>
      </c>
      <c r="B106" t="s">
        <v>197</v>
      </c>
      <c r="C106">
        <v>0.11799999999999999</v>
      </c>
      <c r="D106">
        <f>C106-1.96*F106</f>
        <v>5.7155757325227007E-2</v>
      </c>
      <c r="E106">
        <f>C106+1.96*F106</f>
        <v>0.17884424267477297</v>
      </c>
      <c r="F106">
        <f>SQRT(C106*(1-C106)/108)</f>
        <v>3.1042980956516832E-2</v>
      </c>
      <c r="G106" t="s">
        <v>219</v>
      </c>
      <c r="H106">
        <v>12</v>
      </c>
      <c r="I106">
        <f>108-12</f>
        <v>96</v>
      </c>
      <c r="L106" t="s">
        <v>198</v>
      </c>
    </row>
    <row r="107" spans="1:12" x14ac:dyDescent="0.2">
      <c r="A107" t="s">
        <v>199</v>
      </c>
      <c r="B107" t="s">
        <v>200</v>
      </c>
      <c r="C107">
        <v>0</v>
      </c>
      <c r="G107" t="s">
        <v>229</v>
      </c>
    </row>
    <row r="109" spans="1:12" x14ac:dyDescent="0.2">
      <c r="A109" t="s">
        <v>201</v>
      </c>
      <c r="B109" t="s">
        <v>202</v>
      </c>
      <c r="C109">
        <v>14</v>
      </c>
      <c r="D109">
        <v>7</v>
      </c>
      <c r="E109">
        <v>21</v>
      </c>
      <c r="G109" t="s">
        <v>234</v>
      </c>
      <c r="J109">
        <f>C106*108</f>
        <v>12.744</v>
      </c>
    </row>
    <row r="110" spans="1:12" x14ac:dyDescent="0.2">
      <c r="A110" t="s">
        <v>203</v>
      </c>
      <c r="B110" t="s">
        <v>204</v>
      </c>
      <c r="C110">
        <v>3</v>
      </c>
      <c r="D110">
        <v>1</v>
      </c>
      <c r="E110">
        <v>5</v>
      </c>
      <c r="G110" t="s">
        <v>234</v>
      </c>
      <c r="L110" t="s">
        <v>205</v>
      </c>
    </row>
    <row r="111" spans="1:12" x14ac:dyDescent="0.2">
      <c r="A111" t="s">
        <v>206</v>
      </c>
      <c r="B111" t="s">
        <v>207</v>
      </c>
      <c r="C111">
        <v>8.3333333333333329E-2</v>
      </c>
      <c r="D111">
        <v>8.3333333333333329E-2</v>
      </c>
      <c r="E111">
        <v>0.16666666666666666</v>
      </c>
      <c r="G111" t="s">
        <v>234</v>
      </c>
    </row>
    <row r="112" spans="1:12" x14ac:dyDescent="0.2">
      <c r="A112" t="s">
        <v>208</v>
      </c>
      <c r="B112" t="s">
        <v>209</v>
      </c>
      <c r="C112">
        <v>0.25</v>
      </c>
      <c r="D112">
        <v>8.3333333333333329E-2</v>
      </c>
      <c r="E112">
        <v>0.25</v>
      </c>
      <c r="G112" t="s">
        <v>234</v>
      </c>
    </row>
    <row r="113" spans="1:9" x14ac:dyDescent="0.2">
      <c r="A113" t="s">
        <v>210</v>
      </c>
      <c r="B113" t="s">
        <v>211</v>
      </c>
      <c r="C113">
        <v>0.123</v>
      </c>
      <c r="D113">
        <v>8.3000000000000004E-2</v>
      </c>
      <c r="E113">
        <v>0.17599999999999999</v>
      </c>
      <c r="F113">
        <f t="shared" ref="F113:F114" si="78">(E113-D113)/_xlfn.NORM.S.INV(0.975)</f>
        <v>4.744985149399282E-2</v>
      </c>
      <c r="G113" t="s">
        <v>219</v>
      </c>
      <c r="H113">
        <f t="shared" ref="H113:H114" si="79">C113*((C113*(1-C113)/F113^2)-1)</f>
        <v>5.7700496643534285</v>
      </c>
      <c r="I113">
        <f t="shared" ref="I113:I114" si="80">(H113/C113)-H113</f>
        <v>41.140923216568751</v>
      </c>
    </row>
    <row r="114" spans="1:9" x14ac:dyDescent="0.2">
      <c r="A114" t="s">
        <v>212</v>
      </c>
      <c r="B114" t="s">
        <v>213</v>
      </c>
      <c r="C114">
        <v>0.32600000000000001</v>
      </c>
      <c r="D114">
        <v>0.219</v>
      </c>
      <c r="E114">
        <v>0.45100000000000001</v>
      </c>
      <c r="F114">
        <f t="shared" si="78"/>
        <v>0.11836952200651975</v>
      </c>
      <c r="G114" t="s">
        <v>219</v>
      </c>
      <c r="H114">
        <f t="shared" si="79"/>
        <v>4.7862879667310443</v>
      </c>
      <c r="I114">
        <f t="shared" si="80"/>
        <v>9.8955769618917913</v>
      </c>
    </row>
    <row r="116" spans="1:9" x14ac:dyDescent="0.2">
      <c r="A116" t="s">
        <v>221</v>
      </c>
      <c r="B116" t="s">
        <v>235</v>
      </c>
      <c r="C116">
        <v>41.317699327335504</v>
      </c>
      <c r="D116">
        <f t="shared" ref="D116:D124" si="81">0.8*C116</f>
        <v>33.054159461868402</v>
      </c>
      <c r="E116">
        <f t="shared" ref="E116:E124" si="82">1.2*C116</f>
        <v>49.581239192802606</v>
      </c>
      <c r="F116">
        <f t="shared" ref="F116" si="83">(E116-D116)/(2*_xlfn.NORM.S.INV(0.975))</f>
        <v>4.2161692411946614</v>
      </c>
      <c r="G116" t="s">
        <v>233</v>
      </c>
    </row>
    <row r="117" spans="1:9" x14ac:dyDescent="0.2">
      <c r="A117" t="s">
        <v>222</v>
      </c>
      <c r="B117" t="s">
        <v>236</v>
      </c>
      <c r="C117">
        <v>64.700808276210807</v>
      </c>
      <c r="D117">
        <f t="shared" si="81"/>
        <v>51.76064662096865</v>
      </c>
      <c r="E117">
        <f t="shared" si="82"/>
        <v>77.640969931452972</v>
      </c>
      <c r="F117">
        <f t="shared" ref="F117" si="84">(E117-D117)/(2*_xlfn.NORM.S.INV(0.975))</f>
        <v>6.6022446112849567</v>
      </c>
      <c r="G117" t="s">
        <v>233</v>
      </c>
    </row>
    <row r="119" spans="1:9" x14ac:dyDescent="0.2">
      <c r="A119" t="s">
        <v>223</v>
      </c>
      <c r="B119" t="s">
        <v>237</v>
      </c>
      <c r="C119">
        <v>118.90957830356024</v>
      </c>
      <c r="D119">
        <f t="shared" si="81"/>
        <v>95.127662642848193</v>
      </c>
      <c r="E119">
        <f t="shared" si="82"/>
        <v>142.69149396427227</v>
      </c>
      <c r="F119">
        <f t="shared" ref="F119" si="85">(E119-D119)/(2*_xlfn.NORM.S.INV(0.975))</f>
        <v>12.133853401542458</v>
      </c>
      <c r="G119" t="s">
        <v>233</v>
      </c>
    </row>
    <row r="121" spans="1:9" x14ac:dyDescent="0.2">
      <c r="A121" t="s">
        <v>225</v>
      </c>
      <c r="B121" t="s">
        <v>238</v>
      </c>
      <c r="C121">
        <v>15.234378183743031</v>
      </c>
      <c r="D121">
        <f t="shared" si="81"/>
        <v>12.187502546994425</v>
      </c>
      <c r="E121">
        <f t="shared" si="82"/>
        <v>18.281253820491635</v>
      </c>
      <c r="F121">
        <f t="shared" ref="F121:F122" si="86">(E121-D121)/(2*_xlfn.NORM.S.INV(0.975))</f>
        <v>1.5545569514450124</v>
      </c>
      <c r="G121" t="s">
        <v>233</v>
      </c>
    </row>
    <row r="122" spans="1:9" x14ac:dyDescent="0.2">
      <c r="A122" t="s">
        <v>226</v>
      </c>
      <c r="B122" t="s">
        <v>239</v>
      </c>
      <c r="C122">
        <v>15.472712440576935</v>
      </c>
      <c r="D122">
        <f t="shared" si="81"/>
        <v>12.378169952461548</v>
      </c>
      <c r="E122">
        <f t="shared" si="82"/>
        <v>18.567254928692321</v>
      </c>
      <c r="F122">
        <f t="shared" si="86"/>
        <v>1.5788772204615718</v>
      </c>
      <c r="G122" t="s">
        <v>233</v>
      </c>
    </row>
    <row r="124" spans="1:9" x14ac:dyDescent="0.2">
      <c r="A124" s="1" t="s">
        <v>224</v>
      </c>
      <c r="B124" t="s">
        <v>240</v>
      </c>
      <c r="C124">
        <v>15.472712440576935</v>
      </c>
      <c r="D124">
        <f t="shared" si="81"/>
        <v>12.378169952461548</v>
      </c>
      <c r="E124">
        <f t="shared" si="82"/>
        <v>18.567254928692321</v>
      </c>
      <c r="F124">
        <f t="shared" ref="F124" si="87">(E124-D124)/(2*_xlfn.NORM.S.INV(0.975))</f>
        <v>1.5788772204615718</v>
      </c>
      <c r="G124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J Lubinga</dc:creator>
  <cp:lastModifiedBy>Solomon J Lubinga</cp:lastModifiedBy>
  <dcterms:created xsi:type="dcterms:W3CDTF">2022-05-21T20:15:50Z</dcterms:created>
  <dcterms:modified xsi:type="dcterms:W3CDTF">2022-05-29T02:13:39Z</dcterms:modified>
</cp:coreProperties>
</file>