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lubinga/Schizo-Model/"/>
    </mc:Choice>
  </mc:AlternateContent>
  <xr:revisionPtr revIDLastSave="0" documentId="13_ncr:1_{2B5EEBCD-056C-C243-8E5F-108D2D57A093}" xr6:coauthVersionLast="47" xr6:coauthVersionMax="47" xr10:uidLastSave="{00000000-0000-0000-0000-000000000000}"/>
  <bookViews>
    <workbookView xWindow="6980" yWindow="2480" windowWidth="24120" windowHeight="16940" activeTab="2" xr2:uid="{9F0E14F8-923F-1246-B76B-540853E7C5A2}"/>
  </bookViews>
  <sheets>
    <sheet name="Inputs" sheetId="1" r:id="rId1"/>
    <sheet name="CPI" sheetId="2" r:id="rId2"/>
    <sheet name="Uganda Life Tables" sheetId="4" r:id="rId3"/>
    <sheet name="Schizo Death Probability" sheetId="5" r:id="rId4"/>
    <sheet name="Life Expectancy" sheetId="6" r:id="rId5"/>
  </sheets>
  <externalReferences>
    <externalReference r:id="rId6"/>
  </externalReferences>
  <definedNames>
    <definedName name="cpi">'[1]CPI table'!$F$5:$G$38</definedName>
    <definedName name="exchangerate_dollar">Inputs!$E$161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10" i="1" l="1"/>
  <c r="C109" i="1"/>
  <c r="H8" i="1"/>
  <c r="C31" i="1"/>
  <c r="C25" i="1"/>
  <c r="C19" i="1"/>
  <c r="I31" i="1"/>
  <c r="K31" i="1" s="1"/>
  <c r="I30" i="1"/>
  <c r="J30" i="1" s="1"/>
  <c r="I29" i="1"/>
  <c r="K29" i="1" s="1"/>
  <c r="I28" i="1"/>
  <c r="J28" i="1" s="1"/>
  <c r="I27" i="1"/>
  <c r="K27" i="1" s="1"/>
  <c r="I25" i="1"/>
  <c r="K25" i="1" s="1"/>
  <c r="I24" i="1"/>
  <c r="K24" i="1" s="1"/>
  <c r="I23" i="1"/>
  <c r="K23" i="1" s="1"/>
  <c r="I22" i="1"/>
  <c r="K22" i="1" s="1"/>
  <c r="I21" i="1"/>
  <c r="J21" i="1" s="1"/>
  <c r="I19" i="1"/>
  <c r="K19" i="1" s="1"/>
  <c r="I18" i="1"/>
  <c r="J18" i="1" s="1"/>
  <c r="I17" i="1"/>
  <c r="K17" i="1" s="1"/>
  <c r="I16" i="1"/>
  <c r="K16" i="1" s="1"/>
  <c r="I15" i="1"/>
  <c r="K15" i="1" s="1"/>
  <c r="I13" i="1"/>
  <c r="K13" i="1" s="1"/>
  <c r="I12" i="1"/>
  <c r="K12" i="1" s="1"/>
  <c r="I11" i="1"/>
  <c r="J11" i="1" s="1"/>
  <c r="I10" i="1"/>
  <c r="K10" i="1" s="1"/>
  <c r="I9" i="1"/>
  <c r="K9" i="1" s="1"/>
  <c r="I4" i="1"/>
  <c r="K4" i="1" s="1"/>
  <c r="I5" i="1"/>
  <c r="J5" i="1" s="1"/>
  <c r="I6" i="1"/>
  <c r="J6" i="1" s="1"/>
  <c r="I7" i="1"/>
  <c r="K7" i="1" s="1"/>
  <c r="I3" i="1"/>
  <c r="J3" i="1" s="1"/>
  <c r="H52" i="1"/>
  <c r="I52" i="1"/>
  <c r="H53" i="1"/>
  <c r="I53" i="1"/>
  <c r="H54" i="1"/>
  <c r="I54" i="1"/>
  <c r="H55" i="1"/>
  <c r="I55" i="1"/>
  <c r="H56" i="1"/>
  <c r="I56" i="1"/>
  <c r="I51" i="1"/>
  <c r="H51" i="1"/>
  <c r="I166" i="1"/>
  <c r="I167" i="1"/>
  <c r="I168" i="1"/>
  <c r="I169" i="1"/>
  <c r="I165" i="1"/>
  <c r="E162" i="1"/>
  <c r="D162" i="1"/>
  <c r="F162" i="1" s="1"/>
  <c r="D161" i="1"/>
  <c r="E161" i="1"/>
  <c r="E160" i="1"/>
  <c r="D160" i="1"/>
  <c r="E159" i="1"/>
  <c r="D159" i="1"/>
  <c r="E157" i="1"/>
  <c r="D157" i="1"/>
  <c r="E156" i="1"/>
  <c r="F156" i="1" s="1"/>
  <c r="H156" i="1" s="1"/>
  <c r="I156" i="1" s="1"/>
  <c r="D156" i="1"/>
  <c r="E155" i="1"/>
  <c r="D155" i="1"/>
  <c r="F155" i="1" s="1"/>
  <c r="H155" i="1" s="1"/>
  <c r="I155" i="1" s="1"/>
  <c r="E153" i="1"/>
  <c r="D153" i="1"/>
  <c r="E152" i="1"/>
  <c r="D152" i="1"/>
  <c r="E149" i="1"/>
  <c r="D149" i="1"/>
  <c r="E146" i="1"/>
  <c r="D146" i="1"/>
  <c r="E143" i="1"/>
  <c r="D143" i="1"/>
  <c r="E142" i="1"/>
  <c r="D142" i="1"/>
  <c r="D128" i="1"/>
  <c r="E128" i="1"/>
  <c r="D129" i="1"/>
  <c r="E129" i="1"/>
  <c r="F129" i="1" s="1"/>
  <c r="D130" i="1"/>
  <c r="E130" i="1"/>
  <c r="D131" i="1"/>
  <c r="E131" i="1"/>
  <c r="D132" i="1"/>
  <c r="E132" i="1"/>
  <c r="E127" i="1"/>
  <c r="D127" i="1"/>
  <c r="D110" i="1"/>
  <c r="E110" i="1"/>
  <c r="D111" i="1"/>
  <c r="E111" i="1"/>
  <c r="D112" i="1"/>
  <c r="E112" i="1"/>
  <c r="D113" i="1"/>
  <c r="E113" i="1"/>
  <c r="F113" i="1" s="1"/>
  <c r="D114" i="1"/>
  <c r="E114" i="1"/>
  <c r="E109" i="1"/>
  <c r="D109" i="1"/>
  <c r="D103" i="1"/>
  <c r="E103" i="1"/>
  <c r="D104" i="1"/>
  <c r="E104" i="1"/>
  <c r="D105" i="1"/>
  <c r="E105" i="1"/>
  <c r="D106" i="1"/>
  <c r="E106" i="1"/>
  <c r="E102" i="1"/>
  <c r="D102" i="1"/>
  <c r="E97" i="1"/>
  <c r="D97" i="1"/>
  <c r="D92" i="1"/>
  <c r="E92" i="1"/>
  <c r="E91" i="1"/>
  <c r="D91" i="1"/>
  <c r="D81" i="1"/>
  <c r="E81" i="1"/>
  <c r="D82" i="1"/>
  <c r="E82" i="1"/>
  <c r="E80" i="1"/>
  <c r="D80" i="1"/>
  <c r="E74" i="1"/>
  <c r="D74" i="1"/>
  <c r="E73" i="1"/>
  <c r="D73" i="1"/>
  <c r="H71" i="1"/>
  <c r="I71" i="1"/>
  <c r="H72" i="1"/>
  <c r="I72" i="1"/>
  <c r="I70" i="1"/>
  <c r="H70" i="1"/>
  <c r="H68" i="1"/>
  <c r="E68" i="1"/>
  <c r="D68" i="1"/>
  <c r="F64" i="1"/>
  <c r="H64" i="1" s="1"/>
  <c r="I64" i="1" s="1"/>
  <c r="F63" i="1"/>
  <c r="H63" i="1" s="1"/>
  <c r="I63" i="1" s="1"/>
  <c r="F62" i="1"/>
  <c r="E62" i="1" s="1"/>
  <c r="F61" i="1"/>
  <c r="E61" i="1" s="1"/>
  <c r="I50" i="1"/>
  <c r="I37" i="1"/>
  <c r="I36" i="1"/>
  <c r="E33" i="1"/>
  <c r="D33" i="1"/>
  <c r="K30" i="1" l="1"/>
  <c r="I26" i="1"/>
  <c r="F159" i="1"/>
  <c r="H159" i="1" s="1"/>
  <c r="I159" i="1" s="1"/>
  <c r="I20" i="1"/>
  <c r="K11" i="1"/>
  <c r="E11" i="1" s="1"/>
  <c r="I8" i="1"/>
  <c r="I14" i="1"/>
  <c r="E63" i="1"/>
  <c r="F92" i="1"/>
  <c r="F105" i="1"/>
  <c r="F103" i="1"/>
  <c r="F112" i="1"/>
  <c r="F110" i="1"/>
  <c r="F132" i="1"/>
  <c r="H132" i="1" s="1"/>
  <c r="I132" i="1" s="1"/>
  <c r="F130" i="1"/>
  <c r="F128" i="1"/>
  <c r="E10" i="1"/>
  <c r="K21" i="1"/>
  <c r="K26" i="1" s="1"/>
  <c r="I32" i="1"/>
  <c r="E24" i="1"/>
  <c r="J16" i="1"/>
  <c r="J25" i="1"/>
  <c r="K18" i="1"/>
  <c r="E18" i="1" s="1"/>
  <c r="K28" i="1"/>
  <c r="E28" i="1" s="1"/>
  <c r="E64" i="1"/>
  <c r="F104" i="1"/>
  <c r="F109" i="1"/>
  <c r="J9" i="1"/>
  <c r="J13" i="1"/>
  <c r="J23" i="1"/>
  <c r="D64" i="1"/>
  <c r="F161" i="1"/>
  <c r="H161" i="1" s="1"/>
  <c r="I161" i="1" s="1"/>
  <c r="J10" i="1"/>
  <c r="J12" i="1"/>
  <c r="J15" i="1"/>
  <c r="J17" i="1"/>
  <c r="J19" i="1"/>
  <c r="J22" i="1"/>
  <c r="J26" i="1" s="1"/>
  <c r="J24" i="1"/>
  <c r="J27" i="1"/>
  <c r="J29" i="1"/>
  <c r="J31" i="1"/>
  <c r="F111" i="1"/>
  <c r="F131" i="1"/>
  <c r="F157" i="1"/>
  <c r="I68" i="1"/>
  <c r="F127" i="1"/>
  <c r="F106" i="1"/>
  <c r="F143" i="1"/>
  <c r="F149" i="1"/>
  <c r="F153" i="1"/>
  <c r="F160" i="1"/>
  <c r="H160" i="1" s="1"/>
  <c r="I160" i="1" s="1"/>
  <c r="K5" i="1"/>
  <c r="H61" i="1"/>
  <c r="I61" i="1" s="1"/>
  <c r="D63" i="1"/>
  <c r="F91" i="1"/>
  <c r="F102" i="1"/>
  <c r="F142" i="1"/>
  <c r="F146" i="1"/>
  <c r="F152" i="1"/>
  <c r="J4" i="1"/>
  <c r="D4" i="1" s="1"/>
  <c r="K6" i="1"/>
  <c r="D62" i="1"/>
  <c r="J7" i="1"/>
  <c r="K3" i="1"/>
  <c r="H62" i="1"/>
  <c r="I62" i="1" s="1"/>
  <c r="F114" i="1"/>
  <c r="D61" i="1"/>
  <c r="D28" i="1" l="1"/>
  <c r="J32" i="1"/>
  <c r="J14" i="1"/>
  <c r="E21" i="1"/>
  <c r="E9" i="1"/>
  <c r="J8" i="1"/>
  <c r="D18" i="1"/>
  <c r="J20" i="1"/>
  <c r="D22" i="1"/>
  <c r="E22" i="1"/>
  <c r="E12" i="1"/>
  <c r="E25" i="1"/>
  <c r="K14" i="1"/>
  <c r="E3" i="1"/>
  <c r="K8" i="1"/>
  <c r="D29" i="1"/>
  <c r="D19" i="1"/>
  <c r="D10" i="1"/>
  <c r="E23" i="1"/>
  <c r="E13" i="1"/>
  <c r="K32" i="1"/>
  <c r="K20" i="1"/>
  <c r="E6" i="1"/>
  <c r="D31" i="1"/>
  <c r="D12" i="1"/>
  <c r="D23" i="1"/>
  <c r="D25" i="1"/>
  <c r="E31" i="1"/>
  <c r="E27" i="1"/>
  <c r="D5" i="1"/>
  <c r="E5" i="1"/>
  <c r="D13" i="1"/>
  <c r="D16" i="1"/>
  <c r="E19" i="1"/>
  <c r="E17" i="1"/>
  <c r="D21" i="1"/>
  <c r="D7" i="1"/>
  <c r="D27" i="1"/>
  <c r="D17" i="1"/>
  <c r="D9" i="1"/>
  <c r="E15" i="1"/>
  <c r="E4" i="1"/>
  <c r="D3" i="1"/>
  <c r="E30" i="1"/>
  <c r="D24" i="1"/>
  <c r="D15" i="1"/>
  <c r="E29" i="1"/>
  <c r="D6" i="1"/>
  <c r="D11" i="1"/>
  <c r="E7" i="1"/>
  <c r="D30" i="1"/>
  <c r="E16" i="1"/>
  <c r="C115" i="1" l="1"/>
  <c r="F177" i="1"/>
  <c r="H177" i="1" s="1"/>
  <c r="I177" i="1" s="1"/>
  <c r="F176" i="1"/>
  <c r="H176" i="1" s="1"/>
  <c r="I176" i="1" s="1"/>
  <c r="F175" i="1"/>
  <c r="H175" i="1" s="1"/>
  <c r="I175" i="1" s="1"/>
  <c r="F174" i="1"/>
  <c r="H174" i="1" s="1"/>
  <c r="I174" i="1" s="1"/>
  <c r="F173" i="1"/>
  <c r="H173" i="1" s="1"/>
  <c r="I173" i="1" s="1"/>
  <c r="F172" i="1"/>
  <c r="H172" i="1" s="1"/>
  <c r="I172" i="1" s="1"/>
  <c r="F82" i="1"/>
  <c r="F80" i="1"/>
  <c r="F72" i="1"/>
  <c r="F71" i="1"/>
  <c r="F70" i="1"/>
  <c r="F67" i="1"/>
  <c r="H67" i="1" s="1"/>
  <c r="I67" i="1" s="1"/>
  <c r="E59" i="1"/>
  <c r="F56" i="1"/>
  <c r="F55" i="1"/>
  <c r="F54" i="1"/>
  <c r="F53" i="1"/>
  <c r="F52" i="1"/>
  <c r="F51" i="1"/>
  <c r="F48" i="1"/>
  <c r="H48" i="1" s="1"/>
  <c r="I48" i="1" s="1"/>
  <c r="F47" i="1"/>
  <c r="H47" i="1" s="1"/>
  <c r="I47" i="1" s="1"/>
  <c r="F46" i="1"/>
  <c r="H46" i="1" s="1"/>
  <c r="I46" i="1" s="1"/>
  <c r="F45" i="1"/>
  <c r="H45" i="1" s="1"/>
  <c r="I45" i="1" s="1"/>
  <c r="C169" i="1"/>
  <c r="C168" i="1"/>
  <c r="C167" i="1"/>
  <c r="C166" i="1"/>
  <c r="C165" i="1"/>
  <c r="C60" i="1"/>
  <c r="C59" i="1"/>
  <c r="C50" i="1"/>
  <c r="C37" i="1"/>
  <c r="C36" i="1"/>
  <c r="C12" i="1"/>
  <c r="C11" i="1"/>
  <c r="C10" i="1"/>
  <c r="C9" i="1"/>
  <c r="C3" i="1"/>
  <c r="C7" i="1" s="1"/>
  <c r="C13" i="1" l="1"/>
  <c r="D167" i="1"/>
  <c r="F167" i="1"/>
  <c r="E167" i="1"/>
  <c r="F50" i="1"/>
  <c r="D50" i="1" s="1"/>
  <c r="E166" i="1"/>
  <c r="F166" i="1"/>
  <c r="D166" i="1"/>
  <c r="F168" i="1"/>
  <c r="E168" i="1"/>
  <c r="D168" i="1"/>
  <c r="F37" i="1"/>
  <c r="E37" i="1" s="1"/>
  <c r="D165" i="1"/>
  <c r="E165" i="1"/>
  <c r="F165" i="1"/>
  <c r="F169" i="1"/>
  <c r="D169" i="1"/>
  <c r="E169" i="1"/>
  <c r="D115" i="1"/>
  <c r="E115" i="1"/>
  <c r="F36" i="1"/>
  <c r="E36" i="1" s="1"/>
  <c r="F81" i="1"/>
  <c r="F73" i="1"/>
  <c r="H73" i="1" s="1"/>
  <c r="I73" i="1" s="1"/>
  <c r="F97" i="1"/>
  <c r="H97" i="1" s="1"/>
  <c r="I97" i="1" s="1"/>
  <c r="D59" i="1"/>
  <c r="F59" i="1" s="1"/>
  <c r="H59" i="1" s="1"/>
  <c r="I59" i="1" s="1"/>
  <c r="F74" i="1"/>
  <c r="F33" i="1"/>
  <c r="H33" i="1" s="1"/>
  <c r="I33" i="1" s="1"/>
  <c r="F68" i="1"/>
  <c r="E60" i="1"/>
  <c r="F115" i="1" l="1"/>
  <c r="D37" i="1"/>
  <c r="E50" i="1"/>
  <c r="D36" i="1"/>
  <c r="D60" i="1"/>
  <c r="F60" i="1" s="1"/>
  <c r="H60" i="1" s="1"/>
  <c r="I60" i="1" s="1"/>
</calcChain>
</file>

<file path=xl/sharedStrings.xml><?xml version="1.0" encoding="utf-8"?>
<sst xmlns="http://schemas.openxmlformats.org/spreadsheetml/2006/main" count="449" uniqueCount="312">
  <si>
    <t>pHospCPZ</t>
  </si>
  <si>
    <t>disAECPZ</t>
  </si>
  <si>
    <t>disEffCPZ</t>
  </si>
  <si>
    <t>disOtherCPZ</t>
  </si>
  <si>
    <t>pHospHAL</t>
  </si>
  <si>
    <t>disAEHAL</t>
  </si>
  <si>
    <t>disEffHAL</t>
  </si>
  <si>
    <t>disOtherHAL</t>
  </si>
  <si>
    <t>pHospOLA</t>
  </si>
  <si>
    <t>disAEOLA</t>
  </si>
  <si>
    <t>disEffOLA</t>
  </si>
  <si>
    <t>disOtherOLA</t>
  </si>
  <si>
    <t>pHospRIS</t>
  </si>
  <si>
    <t>disAERIS</t>
  </si>
  <si>
    <t>disEffRIS</t>
  </si>
  <si>
    <t>disOtherRIS</t>
  </si>
  <si>
    <t>pHospQUE</t>
  </si>
  <si>
    <t>disAEQUE</t>
  </si>
  <si>
    <t>disOtherQUE</t>
  </si>
  <si>
    <t>disEffQUE</t>
  </si>
  <si>
    <t>pHospUntrt</t>
  </si>
  <si>
    <t>pRemitCPZ</t>
  </si>
  <si>
    <t>pRemitHAL</t>
  </si>
  <si>
    <t>age</t>
  </si>
  <si>
    <t>time</t>
  </si>
  <si>
    <t>cohort</t>
  </si>
  <si>
    <t>acuteDALY</t>
  </si>
  <si>
    <t>residualDALY</t>
  </si>
  <si>
    <t>disutilEPS</t>
  </si>
  <si>
    <t>pEPSPLA</t>
  </si>
  <si>
    <t>epsCPZ</t>
  </si>
  <si>
    <t>epsHAL</t>
  </si>
  <si>
    <t>epsOLA</t>
  </si>
  <si>
    <t>epsRIS</t>
  </si>
  <si>
    <t>epsQUE</t>
  </si>
  <si>
    <t>epsFLU</t>
  </si>
  <si>
    <t>durEPS</t>
  </si>
  <si>
    <t>pDiabetesHAL</t>
  </si>
  <si>
    <t>diabCPZ</t>
  </si>
  <si>
    <t>diabOLA</t>
  </si>
  <si>
    <t>diabRIS</t>
  </si>
  <si>
    <t>diabQUE</t>
  </si>
  <si>
    <t>pDiabetesFLU</t>
  </si>
  <si>
    <t>cDiabetes</t>
  </si>
  <si>
    <t>PSY</t>
  </si>
  <si>
    <t>PCO</t>
  </si>
  <si>
    <t>nurse</t>
  </si>
  <si>
    <t>pharm</t>
  </si>
  <si>
    <t>LOS</t>
  </si>
  <si>
    <t>every</t>
  </si>
  <si>
    <t>pDieHosp</t>
  </si>
  <si>
    <t>laborforcerate</t>
  </si>
  <si>
    <t>unemploymentrate</t>
  </si>
  <si>
    <t>pFoot</t>
  </si>
  <si>
    <t>pNeuro</t>
  </si>
  <si>
    <t>pImpotent</t>
  </si>
  <si>
    <t>pNephro</t>
  </si>
  <si>
    <t>pIHD</t>
  </si>
  <si>
    <t>dDiabetes</t>
  </si>
  <si>
    <t>dFoot</t>
  </si>
  <si>
    <t>dNeuro</t>
  </si>
  <si>
    <t>dImpotent</t>
  </si>
  <si>
    <t>dNephro</t>
  </si>
  <si>
    <t>dIHD</t>
  </si>
  <si>
    <t>Probability of hospitalization - Chlorpromazine</t>
  </si>
  <si>
    <t>Probability of discontinuation due to AE - Chlorpromazine</t>
  </si>
  <si>
    <t>Probability of discontinuation due to lack of efficacy - Chlorpromazine</t>
  </si>
  <si>
    <t>Probability of discontinuation due to other reasons - Chlorpromazine</t>
  </si>
  <si>
    <t>Haloperidol</t>
  </si>
  <si>
    <t>Probability of hospitalization - Haloperidol</t>
  </si>
  <si>
    <t>Probability of discontinuation due to AE - Haloperidol</t>
  </si>
  <si>
    <t>Probability of discontinuation due to lack of efficacy - Haloperidol</t>
  </si>
  <si>
    <t>Probability of discontinuation due to other reasons - Haloperidol</t>
  </si>
  <si>
    <t>Olanzapine</t>
  </si>
  <si>
    <t>Probability of hospitalization - Olanzapine</t>
  </si>
  <si>
    <t>Probability of discontinuation due to AE - Olanzapine</t>
  </si>
  <si>
    <t>Probability of discontinuation due to lack of efficacy - Olanzapine</t>
  </si>
  <si>
    <t>Probability of discontinuation due to other reasons - Olanzapine</t>
  </si>
  <si>
    <t>Risperidone</t>
  </si>
  <si>
    <t>Probability of hospitalization - Risperidone</t>
  </si>
  <si>
    <t>Probability of discontinuation due to AE - Risperidone</t>
  </si>
  <si>
    <t>Probability of discontinuation due to lack of efficacy - Risperidone</t>
  </si>
  <si>
    <t>Probability of discontinuation due to other reasons - Risperidone</t>
  </si>
  <si>
    <t>Quetiapine</t>
  </si>
  <si>
    <t>Probability of hospitalization - Quetiapine</t>
  </si>
  <si>
    <t>Probability of discontinuation due to AE - Quetiapine</t>
  </si>
  <si>
    <t>Probability of discontinuation due to other reasons - Quetiapine</t>
  </si>
  <si>
    <t>Probability of discontinuation due to lack of efficacy - Quetiapine</t>
  </si>
  <si>
    <t>Probability of hospitalization - if not on treatment</t>
  </si>
  <si>
    <t>Recover/Remission</t>
  </si>
  <si>
    <t>Probability of recovery and discharge - Chlorpromazine</t>
  </si>
  <si>
    <t>Probability of recovery and discharge - Haloperidol</t>
  </si>
  <si>
    <t>Age of onset</t>
  </si>
  <si>
    <t>Cycle time</t>
  </si>
  <si>
    <t>Cohort</t>
  </si>
  <si>
    <t>Disability weight - acute state</t>
  </si>
  <si>
    <t xml:space="preserve">Disability weight - residual state </t>
  </si>
  <si>
    <t>Additional disability from extrapyramidal symptoms</t>
  </si>
  <si>
    <t>Additional disability from weight gain</t>
  </si>
  <si>
    <t>Placebo EPS probability</t>
  </si>
  <si>
    <t>Chlorpromazine EPS OR</t>
  </si>
  <si>
    <t>Haloperidol EPS OR</t>
  </si>
  <si>
    <t>Olanzapine EPS OR</t>
  </si>
  <si>
    <t>Risperidone EPS OR</t>
  </si>
  <si>
    <t>Quetiapine EPS OR</t>
  </si>
  <si>
    <t>Fluphenazine decanoate EPS OR</t>
  </si>
  <si>
    <t>EPS duration</t>
  </si>
  <si>
    <t>Weight gain (&gt;7%) probabilities</t>
  </si>
  <si>
    <t>Probability of (&gt;7%) weight gain - Chlorpromazine</t>
  </si>
  <si>
    <t>Probability of (&gt;7%) weight gain - Haloperidol</t>
  </si>
  <si>
    <t>Probability of (&gt;7%) weight gain - Olanzapine</t>
  </si>
  <si>
    <t>Probability of (&gt;7%) weight gain - Risperidone</t>
  </si>
  <si>
    <t>Probability of (&gt;7%) weight gain - Quetiapine</t>
  </si>
  <si>
    <t>Probability of (&gt;7%) weight gain - Fluphenazine decanoate</t>
  </si>
  <si>
    <t>Diabetes</t>
  </si>
  <si>
    <t>Haloperidol diabetes probability</t>
  </si>
  <si>
    <t>Chlorpromazine diabetes relative risk</t>
  </si>
  <si>
    <t>Olanzapine diabetes relative risk</t>
  </si>
  <si>
    <t>Risperidone diabetes relative risk</t>
  </si>
  <si>
    <t>Quetiapine diabetes relative risk</t>
  </si>
  <si>
    <t>Fluphenazine decanoate diabetes probability</t>
  </si>
  <si>
    <t>Diabetes treatment cost, US$</t>
  </si>
  <si>
    <t>Personnel costs inputs</t>
  </si>
  <si>
    <t>Personnel inputs for inpatient services</t>
  </si>
  <si>
    <t>Major ward rounds per week</t>
  </si>
  <si>
    <t>Minor ward rounds per week</t>
  </si>
  <si>
    <t>Duration of major ward round</t>
  </si>
  <si>
    <t>Duration of minor ward round</t>
  </si>
  <si>
    <t>Duration of drug administration</t>
  </si>
  <si>
    <t>Number of Psychiatrists at major ward round</t>
  </si>
  <si>
    <t>Number of Psychiatric Clinical Officers at major ward round</t>
  </si>
  <si>
    <t>Number of Psychiatric Nurses at major ward round</t>
  </si>
  <si>
    <t>Number of Psychiatric Clinical Officers at minor ward round</t>
  </si>
  <si>
    <t>Number of Psychiatric Nurses at minor ward round</t>
  </si>
  <si>
    <t>Number of Psychiatric Nurses for drug administration</t>
  </si>
  <si>
    <t>Personnel inputs for outpatient services</t>
  </si>
  <si>
    <t>Duration of outpatient consultation</t>
  </si>
  <si>
    <t>Duration of drug dispensing</t>
  </si>
  <si>
    <t>Number of Psychiatrists at outpatient consultation</t>
  </si>
  <si>
    <t>Number of Psychiatric Clinical Officers at outpatient consultation</t>
  </si>
  <si>
    <t>Number of Psychiatric Nurse at outpatient consultation</t>
  </si>
  <si>
    <t>Number of Pharmacy Assistants at outpatient consultation</t>
  </si>
  <si>
    <t>Proportion of patients seen by Psychiatrist</t>
  </si>
  <si>
    <t>Proportion of patients seen by Nurse</t>
  </si>
  <si>
    <t>Proportion of patients seen by Pharmacy Assistant</t>
  </si>
  <si>
    <t>Personnel wages</t>
  </si>
  <si>
    <t>Work hours in a year</t>
  </si>
  <si>
    <t>Annual salary for Psychiatrist, US$</t>
  </si>
  <si>
    <t>Annual salary for Psychiatric Clinical Officer, US$</t>
  </si>
  <si>
    <t>Annual salary for Psychiatric Nurse, US$</t>
  </si>
  <si>
    <t>Annual salary for Pharmacy Assistant, US$</t>
  </si>
  <si>
    <t>Drug unit costs (per dosage unit)</t>
  </si>
  <si>
    <t>Chlorpromazine 100mg tab cost, US$</t>
  </si>
  <si>
    <t>Haloperidol 10mg tab cost, US$</t>
  </si>
  <si>
    <t>Quetiapine 200mg tab cost, US$</t>
  </si>
  <si>
    <t>Olanzapine 10mg tab cost, US$</t>
  </si>
  <si>
    <t>Risperidone 2mg tab cost, US$</t>
  </si>
  <si>
    <t>Fluphenazine decanoate cost, US$</t>
  </si>
  <si>
    <t>Artane cost, US$</t>
  </si>
  <si>
    <t>Dosage units consumed per day</t>
  </si>
  <si>
    <t>Chlorpromazine 100mg</t>
  </si>
  <si>
    <t>Haloperidol 10mg</t>
  </si>
  <si>
    <t>Quetiapine 200mg</t>
  </si>
  <si>
    <t>Olanzapine 10mg</t>
  </si>
  <si>
    <t>Risperidone 2mg</t>
  </si>
  <si>
    <t>Fluphenazine Decanoate</t>
  </si>
  <si>
    <t>Artane</t>
  </si>
  <si>
    <t>Unit laboratory costs</t>
  </si>
  <si>
    <t>FBC cost, US$</t>
  </si>
  <si>
    <t>ESR cost, US$</t>
  </si>
  <si>
    <t>TPHA cost, US$</t>
  </si>
  <si>
    <t>VDRL cost, US$</t>
  </si>
  <si>
    <t>HIV cost, US$</t>
  </si>
  <si>
    <t>TPHA proportion</t>
  </si>
  <si>
    <t>test frequency in a 3 month cycle</t>
  </si>
  <si>
    <t>FBC test frequency</t>
  </si>
  <si>
    <t>ESR test frequency</t>
  </si>
  <si>
    <t>TPHA test frequency</t>
  </si>
  <si>
    <t>VDRL test frequency</t>
  </si>
  <si>
    <t>HIV test frequency</t>
  </si>
  <si>
    <t>Capital and overhead costs</t>
  </si>
  <si>
    <t>Capital and overhead costs per inpatient per day, US$</t>
  </si>
  <si>
    <t>Capital and overhead costs per outpatient visit, US$</t>
  </si>
  <si>
    <t>Travel costs</t>
  </si>
  <si>
    <t>Average travel cost to hospital, US$</t>
  </si>
  <si>
    <t>GDP per capita</t>
  </si>
  <si>
    <t>GDP per capita, US$</t>
  </si>
  <si>
    <t>General parameters</t>
  </si>
  <si>
    <t>Length of stay for hospitalized patients, days</t>
  </si>
  <si>
    <t>Number of visits in 1 month</t>
  </si>
  <si>
    <t>Exchange rate</t>
  </si>
  <si>
    <t>Proportion of hospitalized patients visited by care giver</t>
  </si>
  <si>
    <t>Proportion of outpatients who come to clinic with care giver</t>
  </si>
  <si>
    <t>Number of caretaker visits for inpatients in 7 days</t>
  </si>
  <si>
    <t>Inhospital mortality</t>
  </si>
  <si>
    <t>Labor force participation rate</t>
  </si>
  <si>
    <t>Unemployment rate</t>
  </si>
  <si>
    <t>Proportionate caretaker productivity loss</t>
  </si>
  <si>
    <t>Prevalence of diabetes complications</t>
  </si>
  <si>
    <t>Prevalence of diabetic foot</t>
  </si>
  <si>
    <t>Prevalence of diabetic neuropathy</t>
  </si>
  <si>
    <t>Prevalence of impotence</t>
  </si>
  <si>
    <t>Prevalence of nephropathy</t>
  </si>
  <si>
    <t>Prevalence of ischaemic Heart Disease</t>
  </si>
  <si>
    <t>Disability weights for complications</t>
  </si>
  <si>
    <t>Diabetes disability weight (no complications)</t>
  </si>
  <si>
    <t>Disability weight - diabetic foot</t>
  </si>
  <si>
    <t>Disability weight - diabetic neuropathy</t>
  </si>
  <si>
    <t>Disability weight - impotence due to diabetes</t>
  </si>
  <si>
    <t>Disability weight - diabetic nephropathy</t>
  </si>
  <si>
    <t>Disability weight - Ischaemic Heart Disease</t>
  </si>
  <si>
    <t>discCosts</t>
  </si>
  <si>
    <t>Discount rate - Outcomes</t>
  </si>
  <si>
    <t>Discount rate - Costs</t>
  </si>
  <si>
    <t>discOutcomes</t>
  </si>
  <si>
    <t>disutilWeight</t>
  </si>
  <si>
    <t>pWtCPZ</t>
  </si>
  <si>
    <t>pWtHAL</t>
  </si>
  <si>
    <t>pWtOLA</t>
  </si>
  <si>
    <t>pWtRIS</t>
  </si>
  <si>
    <t>pWtQUE</t>
  </si>
  <si>
    <t>pWtFLU</t>
  </si>
  <si>
    <t>diabHAL</t>
  </si>
  <si>
    <t>Haloperidol diabetes relative risk</t>
  </si>
  <si>
    <t>major_week</t>
  </si>
  <si>
    <t>minor_week</t>
  </si>
  <si>
    <t>duration_major</t>
  </si>
  <si>
    <t>duration_minor</t>
  </si>
  <si>
    <t>duration_drugadmin</t>
  </si>
  <si>
    <t>PSY_major</t>
  </si>
  <si>
    <t>PCO_major</t>
  </si>
  <si>
    <t>PNO_major</t>
  </si>
  <si>
    <t>PCO_minor</t>
  </si>
  <si>
    <t>PNO_minor</t>
  </si>
  <si>
    <t>PNO_drugadmin</t>
  </si>
  <si>
    <t>duration_consult</t>
  </si>
  <si>
    <t>duration_drugdisp</t>
  </si>
  <si>
    <t>PSY_prop</t>
  </si>
  <si>
    <t>nurse_prop</t>
  </si>
  <si>
    <t>pharm_prop</t>
  </si>
  <si>
    <t>workhours_year</t>
  </si>
  <si>
    <t>rate_psy</t>
  </si>
  <si>
    <t>rate_pco</t>
  </si>
  <si>
    <t>rate_pno</t>
  </si>
  <si>
    <t>rate_pharm</t>
  </si>
  <si>
    <t>chlorpromazine_cost</t>
  </si>
  <si>
    <t>haloperidol_cost</t>
  </si>
  <si>
    <t>quetiapine_cost</t>
  </si>
  <si>
    <t>olanzapine_cost</t>
  </si>
  <si>
    <t>risperidone_cost</t>
  </si>
  <si>
    <t>artane_cost</t>
  </si>
  <si>
    <t>visitation_frequency</t>
  </si>
  <si>
    <t>exchangerate_dollar</t>
  </si>
  <si>
    <t>caregiver_prop</t>
  </si>
  <si>
    <t>caregiver_visit</t>
  </si>
  <si>
    <t>caregiver_freq</t>
  </si>
  <si>
    <t>GDP_percapita</t>
  </si>
  <si>
    <t>averagetravel_cost</t>
  </si>
  <si>
    <t>capital_costs_per_inpatient_per_day</t>
  </si>
  <si>
    <t>capital_costs_per_outpatient_visit</t>
  </si>
  <si>
    <t>HIV_freq</t>
  </si>
  <si>
    <t>FBC_freq</t>
  </si>
  <si>
    <t>ESR_freq</t>
  </si>
  <si>
    <t>TPHA_freq</t>
  </si>
  <si>
    <t>VDRL_freq</t>
  </si>
  <si>
    <t>FBC_cost</t>
  </si>
  <si>
    <t>ESR_cost</t>
  </si>
  <si>
    <t>TPHA_cost</t>
  </si>
  <si>
    <t>VDRL_cost</t>
  </si>
  <si>
    <t>HIV_cost</t>
  </si>
  <si>
    <t>TPHA_proportion</t>
  </si>
  <si>
    <t>chlorpromazine_qty</t>
  </si>
  <si>
    <t>haloperidol_qty</t>
  </si>
  <si>
    <t>quetiapine_qty</t>
  </si>
  <si>
    <t>olanzapine_qty</t>
  </si>
  <si>
    <t>risperidone_qty</t>
  </si>
  <si>
    <t>artane_qty</t>
  </si>
  <si>
    <t>variable</t>
  </si>
  <si>
    <t>Parameter</t>
  </si>
  <si>
    <t>input</t>
  </si>
  <si>
    <t>low</t>
  </si>
  <si>
    <t>high</t>
  </si>
  <si>
    <t>sem</t>
  </si>
  <si>
    <t>DALY_caretaker</t>
  </si>
  <si>
    <t>fluphenazine_cost</t>
  </si>
  <si>
    <t>fluphenazine_qty</t>
  </si>
  <si>
    <t>Chlorpromazine</t>
  </si>
  <si>
    <t>alpha</t>
  </si>
  <si>
    <t>beta</t>
  </si>
  <si>
    <t>normal</t>
  </si>
  <si>
    <t>lognormal</t>
  </si>
  <si>
    <t>dirichlet</t>
  </si>
  <si>
    <t>dist</t>
  </si>
  <si>
    <t>Probability of remaining in state - Chlorpromazine</t>
  </si>
  <si>
    <t>Probability of remaining in state - Haloperidol</t>
  </si>
  <si>
    <t>Probability of remaining in state - Olanzapine</t>
  </si>
  <si>
    <t>Probability of remaining in state - Risperidone</t>
  </si>
  <si>
    <t>Probability of remaining in state - Quetiapine</t>
  </si>
  <si>
    <t>remCPZ</t>
  </si>
  <si>
    <t>remHAL</t>
  </si>
  <si>
    <t>remOLA</t>
  </si>
  <si>
    <t>remRIS</t>
  </si>
  <si>
    <t>remQUE</t>
  </si>
  <si>
    <t>dir_int_up</t>
  </si>
  <si>
    <t>dir_int_lo</t>
  </si>
  <si>
    <t>fixed</t>
  </si>
  <si>
    <t>Year</t>
  </si>
  <si>
    <t>Value</t>
  </si>
  <si>
    <t>index</t>
  </si>
  <si>
    <t>ages</t>
  </si>
  <si>
    <t>p.death</t>
  </si>
  <si>
    <t>yrs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</si>
</sst>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lubinga/Dropbox/Babijo-Solo%20Shared%20Resources/Schizophrenia%20CEA%20Model/Applied%20Health%20Econ%20Submission/new_model_10_21_1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l diagram"/>
      <sheetName val="Inputs"/>
      <sheetName val="Incremental Analysis"/>
      <sheetName val="TP Matrix"/>
      <sheetName val="USA"/>
      <sheetName val="PSA"/>
      <sheetName val="Chlorpromazine"/>
      <sheetName val="Haloperidol"/>
      <sheetName val="Risperidone"/>
      <sheetName val="Olanzapine"/>
      <sheetName val="Quetiapine"/>
      <sheetName val="Drug Cost Model"/>
      <sheetName val="Personnel Cost Model"/>
      <sheetName val="Laboratory Costs Model"/>
      <sheetName val="Capital and Overhead Cost Model"/>
      <sheetName val="Travel Cost Model"/>
      <sheetName val="Indirect Costs"/>
      <sheetName val="LE VLOOKUPs"/>
      <sheetName val="CPI table"/>
      <sheetName val="Intermediate Calculation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5">
          <cell r="F5" t="str">
            <v>Year</v>
          </cell>
          <cell r="G5" t="str">
            <v>Value</v>
          </cell>
        </row>
        <row r="6">
          <cell r="F6">
            <v>1980</v>
          </cell>
          <cell r="G6">
            <v>0.05</v>
          </cell>
        </row>
        <row r="7">
          <cell r="F7">
            <v>1981</v>
          </cell>
          <cell r="G7">
            <v>0.1</v>
          </cell>
        </row>
        <row r="8">
          <cell r="F8">
            <v>1982</v>
          </cell>
          <cell r="G8">
            <v>0.14000000000000001</v>
          </cell>
        </row>
        <row r="9">
          <cell r="F9">
            <v>1983</v>
          </cell>
          <cell r="G9">
            <v>0.18</v>
          </cell>
        </row>
        <row r="10">
          <cell r="F10">
            <v>1984</v>
          </cell>
          <cell r="G10">
            <v>0.25</v>
          </cell>
        </row>
        <row r="11">
          <cell r="F11">
            <v>1985</v>
          </cell>
          <cell r="G11">
            <v>0.65</v>
          </cell>
        </row>
        <row r="12">
          <cell r="F12">
            <v>1986</v>
          </cell>
          <cell r="G12">
            <v>1.69</v>
          </cell>
        </row>
        <row r="13">
          <cell r="F13">
            <v>1987</v>
          </cell>
          <cell r="G13">
            <v>5.07</v>
          </cell>
        </row>
        <row r="14">
          <cell r="F14">
            <v>1988</v>
          </cell>
          <cell r="G14">
            <v>15.01</v>
          </cell>
        </row>
        <row r="15">
          <cell r="F15">
            <v>1989</v>
          </cell>
          <cell r="G15">
            <v>24.23</v>
          </cell>
        </row>
        <row r="16">
          <cell r="F16">
            <v>1990</v>
          </cell>
          <cell r="G16">
            <v>32.25</v>
          </cell>
        </row>
        <row r="17">
          <cell r="F17">
            <v>1991</v>
          </cell>
          <cell r="G17">
            <v>41.31</v>
          </cell>
        </row>
        <row r="18">
          <cell r="F18">
            <v>1992</v>
          </cell>
          <cell r="G18">
            <v>54.04</v>
          </cell>
        </row>
        <row r="19">
          <cell r="F19">
            <v>1993</v>
          </cell>
          <cell r="G19">
            <v>54.13</v>
          </cell>
        </row>
        <row r="20">
          <cell r="F20">
            <v>1994</v>
          </cell>
          <cell r="G20">
            <v>59.56</v>
          </cell>
        </row>
        <row r="21">
          <cell r="F21">
            <v>1995</v>
          </cell>
          <cell r="G21">
            <v>63.47</v>
          </cell>
        </row>
        <row r="22">
          <cell r="F22">
            <v>1996</v>
          </cell>
          <cell r="G22">
            <v>68.03</v>
          </cell>
        </row>
        <row r="23">
          <cell r="F23">
            <v>1997</v>
          </cell>
          <cell r="G23">
            <v>73.59</v>
          </cell>
        </row>
        <row r="24">
          <cell r="F24">
            <v>1998</v>
          </cell>
          <cell r="G24">
            <v>73.64</v>
          </cell>
        </row>
        <row r="25">
          <cell r="F25">
            <v>1999</v>
          </cell>
          <cell r="G25">
            <v>77.89</v>
          </cell>
        </row>
        <row r="26">
          <cell r="F26">
            <v>2000</v>
          </cell>
          <cell r="G26">
            <v>80.53</v>
          </cell>
        </row>
        <row r="27">
          <cell r="F27">
            <v>2001</v>
          </cell>
          <cell r="G27">
            <v>82.04</v>
          </cell>
        </row>
        <row r="28">
          <cell r="F28">
            <v>2002</v>
          </cell>
          <cell r="G28">
            <v>81.8</v>
          </cell>
        </row>
        <row r="29">
          <cell r="F29">
            <v>2003</v>
          </cell>
          <cell r="G29">
            <v>88.9</v>
          </cell>
        </row>
        <row r="30">
          <cell r="F30">
            <v>2004</v>
          </cell>
          <cell r="G30">
            <v>92.21</v>
          </cell>
        </row>
        <row r="31">
          <cell r="F31">
            <v>2005</v>
          </cell>
          <cell r="G31">
            <v>100</v>
          </cell>
        </row>
        <row r="32">
          <cell r="F32">
            <v>2006</v>
          </cell>
          <cell r="G32">
            <v>107.31</v>
          </cell>
        </row>
        <row r="33">
          <cell r="F33">
            <v>2007</v>
          </cell>
          <cell r="G33">
            <v>113.9</v>
          </cell>
        </row>
        <row r="34">
          <cell r="F34">
            <v>2008</v>
          </cell>
          <cell r="G34">
            <v>127.62</v>
          </cell>
        </row>
        <row r="35">
          <cell r="F35">
            <v>2009</v>
          </cell>
          <cell r="G35">
            <v>144.24</v>
          </cell>
        </row>
        <row r="36">
          <cell r="F36">
            <v>2010</v>
          </cell>
          <cell r="G36">
            <v>149.97</v>
          </cell>
        </row>
        <row r="37">
          <cell r="F37">
            <v>2011</v>
          </cell>
          <cell r="G37">
            <v>178.01</v>
          </cell>
        </row>
        <row r="38">
          <cell r="F38">
            <v>2012</v>
          </cell>
          <cell r="G38">
            <v>196.46</v>
          </cell>
        </row>
      </sheetData>
      <sheetData sheetId="1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5211E-5372-0B4F-B7F3-A49833378F33}">
  <dimension ref="A1:K177"/>
  <sheetViews>
    <sheetView topLeftCell="A81" workbookViewId="0">
      <selection activeCell="C109" sqref="C109"/>
    </sheetView>
  </sheetViews>
  <sheetFormatPr baseColWidth="10" defaultRowHeight="16" x14ac:dyDescent="0.2"/>
  <cols>
    <col min="1" max="1" width="59.33203125" bestFit="1" customWidth="1"/>
  </cols>
  <sheetData>
    <row r="1" spans="1:11" x14ac:dyDescent="0.2">
      <c r="A1" t="s">
        <v>278</v>
      </c>
      <c r="B1" t="s">
        <v>277</v>
      </c>
      <c r="C1" t="s">
        <v>279</v>
      </c>
      <c r="D1" t="s">
        <v>280</v>
      </c>
      <c r="E1" t="s">
        <v>281</v>
      </c>
      <c r="F1" t="s">
        <v>282</v>
      </c>
      <c r="G1" t="s">
        <v>292</v>
      </c>
      <c r="H1" t="s">
        <v>287</v>
      </c>
      <c r="I1" t="s">
        <v>288</v>
      </c>
      <c r="J1" t="s">
        <v>303</v>
      </c>
      <c r="K1" t="s">
        <v>304</v>
      </c>
    </row>
    <row r="2" spans="1:11" x14ac:dyDescent="0.2">
      <c r="A2" t="s">
        <v>286</v>
      </c>
    </row>
    <row r="3" spans="1:11" x14ac:dyDescent="0.2">
      <c r="A3" t="s">
        <v>64</v>
      </c>
      <c r="B3" t="s">
        <v>0</v>
      </c>
      <c r="C3">
        <f>63/207</f>
        <v>0.30434782608695654</v>
      </c>
      <c r="D3">
        <f>J3/SUM(J$3:J$7)</f>
        <v>0.31916796683276727</v>
      </c>
      <c r="E3">
        <f>K3/SUM(K$3:K$7)</f>
        <v>0.2901617433410314</v>
      </c>
      <c r="G3" t="s">
        <v>291</v>
      </c>
      <c r="H3" s="2">
        <v>78</v>
      </c>
      <c r="I3" s="2">
        <f>H3+1</f>
        <v>79</v>
      </c>
      <c r="J3">
        <f>_xlfn.GAMMA.INV(0.025,I3,1)</f>
        <v>62.545043959594871</v>
      </c>
      <c r="K3">
        <f>_xlfn.GAMMA.INV(0.975,I3,1)</f>
        <v>97.347530050869779</v>
      </c>
    </row>
    <row r="4" spans="1:11" x14ac:dyDescent="0.2">
      <c r="A4" t="s">
        <v>65</v>
      </c>
      <c r="B4" t="s">
        <v>1</v>
      </c>
      <c r="C4" s="1">
        <v>0.10665802519519851</v>
      </c>
      <c r="D4">
        <f t="shared" ref="D4:E6" si="0">J4/SUM(J$3:J$7)</f>
        <v>9.4945561055009189E-2</v>
      </c>
      <c r="E4">
        <f t="shared" si="0"/>
        <v>0.11709175118272583</v>
      </c>
      <c r="G4" t="s">
        <v>291</v>
      </c>
      <c r="H4" s="2">
        <v>27</v>
      </c>
      <c r="I4" s="2">
        <f t="shared" ref="I4:I7" si="1">H4+1</f>
        <v>28</v>
      </c>
      <c r="J4">
        <f>_xlfn.GAMMA.INV(0.025,I4,1)</f>
        <v>18.605796655857528</v>
      </c>
      <c r="K4">
        <f>_xlfn.GAMMA.INV(0.975,I4,1)</f>
        <v>39.283582445162089</v>
      </c>
    </row>
    <row r="5" spans="1:11" x14ac:dyDescent="0.2">
      <c r="A5" t="s">
        <v>66</v>
      </c>
      <c r="B5" t="s">
        <v>2</v>
      </c>
      <c r="C5" s="1">
        <v>0.17666090651051802</v>
      </c>
      <c r="D5">
        <f t="shared" si="0"/>
        <v>0.17185804564601265</v>
      </c>
      <c r="E5">
        <f t="shared" si="0"/>
        <v>0.17947723865416407</v>
      </c>
      <c r="G5" t="s">
        <v>291</v>
      </c>
      <c r="H5" s="2">
        <v>45</v>
      </c>
      <c r="I5" s="2">
        <f t="shared" si="1"/>
        <v>46</v>
      </c>
      <c r="J5">
        <f>_xlfn.GAMMA.INV(0.025,I5,1)</f>
        <v>33.677781408971875</v>
      </c>
      <c r="K5">
        <f>_xlfn.GAMMA.INV(0.975,I5,1)</f>
        <v>60.213540496958814</v>
      </c>
    </row>
    <row r="6" spans="1:11" x14ac:dyDescent="0.2">
      <c r="A6" t="s">
        <v>67</v>
      </c>
      <c r="B6" t="s">
        <v>3</v>
      </c>
      <c r="C6" s="1">
        <v>0.2113343582508157</v>
      </c>
      <c r="D6">
        <f t="shared" si="0"/>
        <v>0.21143569058369727</v>
      </c>
      <c r="E6">
        <f t="shared" si="0"/>
        <v>0.2100135381158354</v>
      </c>
      <c r="G6" t="s">
        <v>291</v>
      </c>
      <c r="H6" s="2">
        <v>54</v>
      </c>
      <c r="I6" s="2">
        <f t="shared" si="1"/>
        <v>55</v>
      </c>
      <c r="J6">
        <f>_xlfn.GAMMA.INV(0.025,I6,1)</f>
        <v>41.433526971438475</v>
      </c>
      <c r="K6">
        <f>_xlfn.GAMMA.INV(0.975,I6,1)</f>
        <v>70.458286393710708</v>
      </c>
    </row>
    <row r="7" spans="1:11" x14ac:dyDescent="0.2">
      <c r="A7" t="s">
        <v>293</v>
      </c>
      <c r="B7" t="s">
        <v>298</v>
      </c>
      <c r="C7">
        <f>1-SUM(C$3:C$6)</f>
        <v>0.20099888395651122</v>
      </c>
      <c r="D7">
        <f t="shared" ref="D7" si="2">J7/SUM(J$3:J$7)</f>
        <v>0.20259273588251359</v>
      </c>
      <c r="E7">
        <f t="shared" ref="E7" si="3">K7/SUM(K$3:K$7)</f>
        <v>0.20325572870624328</v>
      </c>
      <c r="G7" t="s">
        <v>291</v>
      </c>
      <c r="H7" s="2">
        <v>52</v>
      </c>
      <c r="I7" s="2">
        <f t="shared" si="1"/>
        <v>53</v>
      </c>
      <c r="J7">
        <f>_xlfn.GAMMA.INV(0.025,I7,1)</f>
        <v>39.700636932357469</v>
      </c>
      <c r="K7">
        <f>_xlfn.GAMMA.INV(0.975,I7,1)</f>
        <v>68.191081740872889</v>
      </c>
    </row>
    <row r="8" spans="1:11" x14ac:dyDescent="0.2">
      <c r="A8" t="s">
        <v>68</v>
      </c>
      <c r="H8" s="2">
        <f>SUM(H3:H7)</f>
        <v>256</v>
      </c>
      <c r="I8">
        <f>SUM(I3:I7)</f>
        <v>261</v>
      </c>
      <c r="J8">
        <f>SUM(J3:J7)</f>
        <v>195.96278592822023</v>
      </c>
      <c r="K8">
        <f>SUM(K3:K7)</f>
        <v>335.49402112757429</v>
      </c>
    </row>
    <row r="9" spans="1:11" x14ac:dyDescent="0.2">
      <c r="A9" t="s">
        <v>69</v>
      </c>
      <c r="B9" t="s">
        <v>4</v>
      </c>
      <c r="C9">
        <f>14/64</f>
        <v>0.21875</v>
      </c>
      <c r="D9">
        <f>J9/SUM(J$9:J$13)</f>
        <v>0.22606839920618946</v>
      </c>
      <c r="E9">
        <f>K9/SUM(K$9:K$13)</f>
        <v>0.21923732128401727</v>
      </c>
      <c r="G9" t="s">
        <v>291</v>
      </c>
      <c r="H9" s="2">
        <v>23</v>
      </c>
      <c r="I9" s="2">
        <f>H9+1</f>
        <v>24</v>
      </c>
      <c r="J9">
        <f>_xlfn.GAMMA.INV(0.025,I9,1)</f>
        <v>15.377252854686462</v>
      </c>
      <c r="K9">
        <f>_xlfn.GAMMA.INV(0.975,I9,1)</f>
        <v>34.511292894833026</v>
      </c>
    </row>
    <row r="10" spans="1:11" x14ac:dyDescent="0.2">
      <c r="A10" t="s">
        <v>70</v>
      </c>
      <c r="B10" t="s">
        <v>5</v>
      </c>
      <c r="C10" s="1">
        <f>12/103</f>
        <v>0.11650485436893204</v>
      </c>
      <c r="D10">
        <f t="shared" ref="D10:E13" si="4">J10/SUM(J$9:J$13)</f>
        <v>0.10176295686947863</v>
      </c>
      <c r="E10">
        <f t="shared" si="4"/>
        <v>0.13316110091365088</v>
      </c>
      <c r="G10" t="s">
        <v>291</v>
      </c>
      <c r="H10" s="2">
        <v>12</v>
      </c>
      <c r="I10" s="2">
        <f t="shared" ref="I10:I13" si="5">H10+1</f>
        <v>13</v>
      </c>
      <c r="J10">
        <f>_xlfn.GAMMA.INV(0.025,I10,1)</f>
        <v>6.9219524910038039</v>
      </c>
      <c r="K10">
        <f>_xlfn.GAMMA.INV(0.975,I10,1)</f>
        <v>20.961585048176953</v>
      </c>
    </row>
    <row r="11" spans="1:11" x14ac:dyDescent="0.2">
      <c r="A11" t="s">
        <v>71</v>
      </c>
      <c r="B11" t="s">
        <v>6</v>
      </c>
      <c r="C11" s="1">
        <f>34/103</f>
        <v>0.3300970873786408</v>
      </c>
      <c r="D11">
        <f t="shared" si="4"/>
        <v>0.3584042198183674</v>
      </c>
      <c r="E11">
        <f t="shared" si="4"/>
        <v>0.30182335424619022</v>
      </c>
      <c r="G11" t="s">
        <v>291</v>
      </c>
      <c r="H11" s="2">
        <v>34</v>
      </c>
      <c r="I11" s="2">
        <f t="shared" si="5"/>
        <v>35</v>
      </c>
      <c r="J11">
        <f>_xlfn.GAMMA.INV(0.025,I11,1)</f>
        <v>24.378782402519761</v>
      </c>
      <c r="K11">
        <f>_xlfn.GAMMA.INV(0.975,I11,1)</f>
        <v>47.511592095203099</v>
      </c>
    </row>
    <row r="12" spans="1:11" x14ac:dyDescent="0.2">
      <c r="A12" t="s">
        <v>72</v>
      </c>
      <c r="B12" t="s">
        <v>7</v>
      </c>
      <c r="C12" s="1">
        <f>16/103</f>
        <v>0.1553398058252427</v>
      </c>
      <c r="D12">
        <f t="shared" si="4"/>
        <v>0.14559063112747456</v>
      </c>
      <c r="E12">
        <f t="shared" si="4"/>
        <v>0.16506025461222815</v>
      </c>
      <c r="G12" t="s">
        <v>291</v>
      </c>
      <c r="H12" s="2">
        <v>16</v>
      </c>
      <c r="I12" s="2">
        <f t="shared" si="5"/>
        <v>17</v>
      </c>
      <c r="J12">
        <f>_xlfn.GAMMA.INV(0.025,I12,1)</f>
        <v>9.9031264696072867</v>
      </c>
      <c r="K12">
        <f>_xlfn.GAMMA.INV(0.975,I12,1)</f>
        <v>25.982997597560953</v>
      </c>
    </row>
    <row r="13" spans="1:11" x14ac:dyDescent="0.2">
      <c r="A13" t="s">
        <v>294</v>
      </c>
      <c r="B13" t="s">
        <v>299</v>
      </c>
      <c r="C13">
        <f>1-SUM(C$9:C$12)</f>
        <v>0.17930825242718451</v>
      </c>
      <c r="D13">
        <f t="shared" si="4"/>
        <v>0.16817379297848992</v>
      </c>
      <c r="E13">
        <f t="shared" si="4"/>
        <v>0.1807179689439134</v>
      </c>
      <c r="G13" t="s">
        <v>291</v>
      </c>
      <c r="H13" s="2">
        <v>18</v>
      </c>
      <c r="I13" s="2">
        <f t="shared" si="5"/>
        <v>19</v>
      </c>
      <c r="J13">
        <f>_xlfn.GAMMA.INV(0.025,I13,1)</f>
        <v>11.439241164366733</v>
      </c>
      <c r="K13">
        <f>_xlfn.GAMMA.INV(0.975,I13,1)</f>
        <v>28.447760267527986</v>
      </c>
    </row>
    <row r="14" spans="1:11" x14ac:dyDescent="0.2">
      <c r="A14" t="s">
        <v>73</v>
      </c>
      <c r="H14" s="2"/>
      <c r="I14">
        <f>SUM(I9:I13)</f>
        <v>108</v>
      </c>
      <c r="J14">
        <f>SUM(J9:J13)</f>
        <v>68.02035538218405</v>
      </c>
      <c r="K14">
        <f>SUM(K9:K13)</f>
        <v>157.41522790330202</v>
      </c>
    </row>
    <row r="15" spans="1:11" x14ac:dyDescent="0.2">
      <c r="A15" t="s">
        <v>74</v>
      </c>
      <c r="B15" t="s">
        <v>8</v>
      </c>
      <c r="C15">
        <v>7.6894529987817872E-2</v>
      </c>
      <c r="D15">
        <f>J15/SUM(J$15:J$19)</f>
        <v>6.5851523198462894E-2</v>
      </c>
      <c r="E15">
        <f>K15/SUM(K$15:K$19)</f>
        <v>9.0434642807521018E-2</v>
      </c>
      <c r="G15" t="s">
        <v>291</v>
      </c>
      <c r="H15" s="2">
        <v>26</v>
      </c>
      <c r="I15" s="2">
        <f>H15+1</f>
        <v>27</v>
      </c>
      <c r="J15">
        <f>_xlfn.GAMMA.INV(0.025,I15,1)</f>
        <v>17.793170131764768</v>
      </c>
      <c r="K15">
        <f>_xlfn.GAMMA.INV(0.975,I15,1)</f>
        <v>38.096024083125023</v>
      </c>
    </row>
    <row r="16" spans="1:11" x14ac:dyDescent="0.2">
      <c r="A16" t="s">
        <v>75</v>
      </c>
      <c r="B16" t="s">
        <v>9</v>
      </c>
      <c r="C16" s="1">
        <v>0.12954317241501467</v>
      </c>
      <c r="D16">
        <f t="shared" ref="D16:E19" si="6">J16/SUM(J$15:J$19)</f>
        <v>0.1214772221089505</v>
      </c>
      <c r="E16">
        <f t="shared" si="6"/>
        <v>0.14021905833474271</v>
      </c>
      <c r="G16" t="s">
        <v>291</v>
      </c>
      <c r="H16" s="2">
        <v>44</v>
      </c>
      <c r="I16" s="2">
        <f t="shared" ref="I16:I19" si="7">H16+1</f>
        <v>45</v>
      </c>
      <c r="J16">
        <f>_xlfn.GAMMA.INV(0.025,I16,1)</f>
        <v>32.823308788234463</v>
      </c>
      <c r="K16">
        <f>_xlfn.GAMMA.INV(0.975,I16,1)</f>
        <v>59.067946280307751</v>
      </c>
    </row>
    <row r="17" spans="1:11" x14ac:dyDescent="0.2">
      <c r="A17" t="s">
        <v>76</v>
      </c>
      <c r="B17" t="s">
        <v>10</v>
      </c>
      <c r="C17" s="1">
        <v>9.9486739723627315E-2</v>
      </c>
      <c r="D17">
        <f t="shared" si="6"/>
        <v>8.7142380410860046E-2</v>
      </c>
      <c r="E17">
        <f t="shared" si="6"/>
        <v>0.11001482538933494</v>
      </c>
      <c r="G17" t="s">
        <v>291</v>
      </c>
      <c r="H17" s="2">
        <v>33</v>
      </c>
      <c r="I17" s="2">
        <f t="shared" si="7"/>
        <v>34</v>
      </c>
      <c r="J17">
        <f>_xlfn.GAMMA.INV(0.025,I17,1)</f>
        <v>23.545988384572265</v>
      </c>
      <c r="K17">
        <f>_xlfn.GAMMA.INV(0.975,I17,1)</f>
        <v>46.344269269169288</v>
      </c>
    </row>
    <row r="18" spans="1:11" x14ac:dyDescent="0.2">
      <c r="A18" t="s">
        <v>77</v>
      </c>
      <c r="B18" t="s">
        <v>11</v>
      </c>
      <c r="C18" s="1">
        <v>0.16454242590748136</v>
      </c>
      <c r="D18">
        <f t="shared" si="6"/>
        <v>0.15655657894189332</v>
      </c>
      <c r="E18">
        <f t="shared" si="6"/>
        <v>0.1699448081082747</v>
      </c>
      <c r="G18" t="s">
        <v>291</v>
      </c>
      <c r="H18" s="2">
        <v>55</v>
      </c>
      <c r="I18" s="2">
        <f t="shared" si="7"/>
        <v>56</v>
      </c>
      <c r="J18">
        <f>_xlfn.GAMMA.INV(0.025,I18,1)</f>
        <v>42.301798182630215</v>
      </c>
      <c r="K18">
        <f>_xlfn.GAMMA.INV(0.975,I18,1)</f>
        <v>71.590059975959377</v>
      </c>
    </row>
    <row r="19" spans="1:11" x14ac:dyDescent="0.2">
      <c r="A19" t="s">
        <v>295</v>
      </c>
      <c r="B19" t="s">
        <v>300</v>
      </c>
      <c r="C19">
        <f>1-SUM(C$15:C$18)</f>
        <v>0.52953313196605878</v>
      </c>
      <c r="D19">
        <f t="shared" si="6"/>
        <v>0.56897229533983318</v>
      </c>
      <c r="E19">
        <f t="shared" si="6"/>
        <v>0.48938666536012659</v>
      </c>
      <c r="G19" t="s">
        <v>291</v>
      </c>
      <c r="H19" s="2">
        <v>178</v>
      </c>
      <c r="I19" s="2">
        <f t="shared" si="7"/>
        <v>179</v>
      </c>
      <c r="J19">
        <f>_xlfn.GAMMA.INV(0.025,I19,1)</f>
        <v>153.73707941016423</v>
      </c>
      <c r="K19">
        <f>_xlfn.GAMMA.INV(0.975,I19,1)</f>
        <v>206.15646405769982</v>
      </c>
    </row>
    <row r="20" spans="1:11" x14ac:dyDescent="0.2">
      <c r="A20" t="s">
        <v>78</v>
      </c>
      <c r="H20" s="2"/>
      <c r="I20">
        <f>SUM(I15:I19)</f>
        <v>341</v>
      </c>
      <c r="J20">
        <f>SUM(J15:J19)</f>
        <v>270.20134489736597</v>
      </c>
      <c r="K20">
        <f>SUM(K15:K19)</f>
        <v>421.25476366626128</v>
      </c>
    </row>
    <row r="21" spans="1:11" x14ac:dyDescent="0.2">
      <c r="A21" t="s">
        <v>79</v>
      </c>
      <c r="B21" t="s">
        <v>12</v>
      </c>
      <c r="C21">
        <v>0.10237333369259216</v>
      </c>
      <c r="D21">
        <f>J21/SUM(J$21:J$25)</f>
        <v>9.1696907724835922E-2</v>
      </c>
      <c r="E21">
        <f>K21/SUM(K$21:K$25)</f>
        <v>0.11323223588092181</v>
      </c>
      <c r="G21" t="s">
        <v>291</v>
      </c>
      <c r="H21" s="2">
        <v>34</v>
      </c>
      <c r="I21" s="2">
        <f>H21+1</f>
        <v>35</v>
      </c>
      <c r="J21">
        <f>_xlfn.GAMMA.INV(0.025,I21,1)</f>
        <v>24.378782402519761</v>
      </c>
      <c r="K21">
        <f>_xlfn.GAMMA.INV(0.975,I21,1)</f>
        <v>47.511592095203099</v>
      </c>
    </row>
    <row r="22" spans="1:11" x14ac:dyDescent="0.2">
      <c r="A22" t="s">
        <v>80</v>
      </c>
      <c r="B22" t="s">
        <v>13</v>
      </c>
      <c r="C22" s="1">
        <v>6.9282307165295154E-2</v>
      </c>
      <c r="D22">
        <f t="shared" ref="D22:E25" si="8">J22/SUM(J$21:J$25)</f>
        <v>5.7839087809894628E-2</v>
      </c>
      <c r="E22">
        <f t="shared" si="8"/>
        <v>8.2249208778205837E-2</v>
      </c>
      <c r="G22" t="s">
        <v>291</v>
      </c>
      <c r="H22" s="2">
        <v>23</v>
      </c>
      <c r="I22" s="2">
        <f t="shared" ref="I22:I25" si="9">H22+1</f>
        <v>24</v>
      </c>
      <c r="J22">
        <f>_xlfn.GAMMA.INV(0.025,I22,1)</f>
        <v>15.377252854686462</v>
      </c>
      <c r="K22">
        <f>_xlfn.GAMMA.INV(0.975,I22,1)</f>
        <v>34.511292894833026</v>
      </c>
    </row>
    <row r="23" spans="1:11" x14ac:dyDescent="0.2">
      <c r="A23" t="s">
        <v>81</v>
      </c>
      <c r="B23" t="s">
        <v>14</v>
      </c>
      <c r="C23" s="1">
        <v>0.19168478251010213</v>
      </c>
      <c r="D23">
        <f t="shared" si="8"/>
        <v>0.1886900199072539</v>
      </c>
      <c r="E23">
        <f t="shared" si="8"/>
        <v>0.19477525338069523</v>
      </c>
      <c r="G23" t="s">
        <v>291</v>
      </c>
      <c r="H23" s="2">
        <v>64</v>
      </c>
      <c r="I23" s="2">
        <f t="shared" si="9"/>
        <v>65</v>
      </c>
      <c r="J23">
        <f>_xlfn.GAMMA.INV(0.025,I23,1)</f>
        <v>50.165627729234266</v>
      </c>
      <c r="K23">
        <f>_xlfn.GAMMA.INV(0.975,I23,1)</f>
        <v>81.726571208885005</v>
      </c>
    </row>
    <row r="24" spans="1:11" x14ac:dyDescent="0.2">
      <c r="A24" t="s">
        <v>82</v>
      </c>
      <c r="B24" t="s">
        <v>15</v>
      </c>
      <c r="C24" s="1">
        <v>0.21410866405393847</v>
      </c>
      <c r="D24">
        <f t="shared" si="8"/>
        <v>0.21189725899459616</v>
      </c>
      <c r="E24">
        <f t="shared" si="8"/>
        <v>0.21343677791737936</v>
      </c>
      <c r="G24" t="s">
        <v>291</v>
      </c>
      <c r="H24" s="2">
        <v>71</v>
      </c>
      <c r="I24" s="2">
        <f t="shared" si="9"/>
        <v>72</v>
      </c>
      <c r="J24">
        <f>_xlfn.GAMMA.INV(0.025,I24,1)</f>
        <v>56.335565690188339</v>
      </c>
      <c r="K24">
        <f>_xlfn.GAMMA.INV(0.975,I24,1)</f>
        <v>89.556839107100629</v>
      </c>
    </row>
    <row r="25" spans="1:11" x14ac:dyDescent="0.2">
      <c r="A25" t="s">
        <v>296</v>
      </c>
      <c r="B25" t="s">
        <v>301</v>
      </c>
      <c r="C25">
        <f>1-SUM(C$21:C$24)</f>
        <v>0.42255091257807209</v>
      </c>
      <c r="D25">
        <f t="shared" si="8"/>
        <v>0.44987672556341946</v>
      </c>
      <c r="E25">
        <f t="shared" si="8"/>
        <v>0.39630652404279776</v>
      </c>
      <c r="G25" t="s">
        <v>291</v>
      </c>
      <c r="H25" s="2">
        <v>141</v>
      </c>
      <c r="I25" s="2">
        <f t="shared" si="9"/>
        <v>142</v>
      </c>
      <c r="J25">
        <f>_xlfn.GAMMA.INV(0.025,I25,1)</f>
        <v>119.605416066808</v>
      </c>
      <c r="K25">
        <f>_xlfn.GAMMA.INV(0.975,I25,1)</f>
        <v>166.28792824324756</v>
      </c>
    </row>
    <row r="26" spans="1:11" x14ac:dyDescent="0.2">
      <c r="A26" t="s">
        <v>83</v>
      </c>
      <c r="C26" s="1"/>
      <c r="D26" s="1"/>
      <c r="E26" s="1"/>
      <c r="H26" s="2"/>
      <c r="I26">
        <f>SUM(I21:I25)</f>
        <v>338</v>
      </c>
      <c r="J26">
        <f>SUM(J21:J25)</f>
        <v>265.86264474343682</v>
      </c>
      <c r="K26">
        <f>SUM(K21:K25)</f>
        <v>419.59422354926932</v>
      </c>
    </row>
    <row r="27" spans="1:11" x14ac:dyDescent="0.2">
      <c r="A27" t="s">
        <v>84</v>
      </c>
      <c r="B27" t="s">
        <v>16</v>
      </c>
      <c r="C27">
        <v>0.1395051949689361</v>
      </c>
      <c r="D27">
        <f>J27/SUM(J$27:J$31)</f>
        <v>0.13225621461083273</v>
      </c>
      <c r="E27">
        <f>K27/SUM(K$27:K$31)</f>
        <v>0.14666683379324041</v>
      </c>
      <c r="G27" t="s">
        <v>291</v>
      </c>
      <c r="H27" s="2">
        <v>46</v>
      </c>
      <c r="I27" s="2">
        <f>H27+1</f>
        <v>47</v>
      </c>
      <c r="J27">
        <f>_xlfn.GAMMA.INV(0.025,I27,1)</f>
        <v>34.533832167065754</v>
      </c>
      <c r="K27">
        <f>_xlfn.GAMMA.INV(0.975,I27,1)</f>
        <v>61.357553710585989</v>
      </c>
    </row>
    <row r="28" spans="1:11" x14ac:dyDescent="0.2">
      <c r="A28" t="s">
        <v>85</v>
      </c>
      <c r="B28" t="s">
        <v>17</v>
      </c>
      <c r="C28" s="1">
        <v>0.10193434277014901</v>
      </c>
      <c r="D28">
        <f t="shared" ref="D28:E31" si="10">J28/SUM(J$27:J$31)</f>
        <v>9.3364833123077098E-2</v>
      </c>
      <c r="E28">
        <f t="shared" si="10"/>
        <v>0.11356995772595702</v>
      </c>
      <c r="G28" t="s">
        <v>291</v>
      </c>
      <c r="H28" s="2">
        <v>34</v>
      </c>
      <c r="I28" s="2">
        <f t="shared" ref="I28:I31" si="11">H28+1</f>
        <v>35</v>
      </c>
      <c r="J28">
        <f>_xlfn.GAMMA.INV(0.025,I28,1)</f>
        <v>24.378782402519761</v>
      </c>
      <c r="K28">
        <f>_xlfn.GAMMA.INV(0.975,I28,1)</f>
        <v>47.511592095203099</v>
      </c>
    </row>
    <row r="29" spans="1:11" x14ac:dyDescent="0.2">
      <c r="A29" t="s">
        <v>86</v>
      </c>
      <c r="B29" t="s">
        <v>18</v>
      </c>
      <c r="C29" s="1">
        <v>0.2353115652430281</v>
      </c>
      <c r="D29">
        <f t="shared" si="10"/>
        <v>0.23612664273658301</v>
      </c>
      <c r="E29">
        <f t="shared" si="10"/>
        <v>0.23004087044147498</v>
      </c>
      <c r="G29" t="s">
        <v>291</v>
      </c>
      <c r="H29" s="2">
        <v>77</v>
      </c>
      <c r="I29" s="2">
        <f t="shared" si="11"/>
        <v>78</v>
      </c>
      <c r="J29">
        <f>_xlfn.GAMMA.INV(0.025,I29,1)</f>
        <v>61.655763205020335</v>
      </c>
      <c r="K29">
        <f>_xlfn.GAMMA.INV(0.975,I29,1)</f>
        <v>96.236788500122884</v>
      </c>
    </row>
    <row r="30" spans="1:11" x14ac:dyDescent="0.2">
      <c r="A30" t="s">
        <v>87</v>
      </c>
      <c r="B30" t="s">
        <v>19</v>
      </c>
      <c r="C30" s="1">
        <v>0.19640918272127339</v>
      </c>
      <c r="D30">
        <f t="shared" si="10"/>
        <v>0.19548767295959191</v>
      </c>
      <c r="E30">
        <f t="shared" si="10"/>
        <v>0.19803641167069039</v>
      </c>
      <c r="G30" t="s">
        <v>291</v>
      </c>
      <c r="H30" s="2">
        <v>65</v>
      </c>
      <c r="I30" s="2">
        <f t="shared" si="11"/>
        <v>66</v>
      </c>
      <c r="J30">
        <f>_xlfn.GAMMA.INV(0.025,I30,1)</f>
        <v>51.044395218641277</v>
      </c>
      <c r="K30">
        <f>_xlfn.GAMMA.INV(0.975,I30,1)</f>
        <v>82.847835815871562</v>
      </c>
    </row>
    <row r="31" spans="1:11" x14ac:dyDescent="0.2">
      <c r="A31" t="s">
        <v>297</v>
      </c>
      <c r="B31" t="s">
        <v>302</v>
      </c>
      <c r="C31">
        <f>1-SUM(C$27:C$30)</f>
        <v>0.3268397142966134</v>
      </c>
      <c r="D31">
        <f t="shared" si="10"/>
        <v>0.34276463656991529</v>
      </c>
      <c r="E31">
        <f t="shared" si="10"/>
        <v>0.31168592636863723</v>
      </c>
      <c r="G31" t="s">
        <v>291</v>
      </c>
      <c r="H31" s="2">
        <v>108</v>
      </c>
      <c r="I31" s="2">
        <f t="shared" si="11"/>
        <v>109</v>
      </c>
      <c r="J31">
        <f>_xlfn.GAMMA.INV(0.025,I31,1)</f>
        <v>89.500341945679807</v>
      </c>
      <c r="K31">
        <f>_xlfn.GAMMA.INV(0.975,I31,1)</f>
        <v>130.39271029029885</v>
      </c>
    </row>
    <row r="32" spans="1:11" x14ac:dyDescent="0.2">
      <c r="I32">
        <f>SUM(I27:I31)</f>
        <v>335</v>
      </c>
      <c r="J32">
        <f>SUM(J27:J31)</f>
        <v>261.11311493892691</v>
      </c>
      <c r="K32">
        <f>SUM(K27:K31)</f>
        <v>418.34648041208237</v>
      </c>
    </row>
    <row r="33" spans="1:9" x14ac:dyDescent="0.2">
      <c r="A33" t="s">
        <v>88</v>
      </c>
      <c r="B33" t="s">
        <v>20</v>
      </c>
      <c r="C33">
        <v>0.73286469799999998</v>
      </c>
      <c r="D33">
        <f>C33*0.8</f>
        <v>0.58629175840000003</v>
      </c>
      <c r="E33">
        <f>C33*1.2</f>
        <v>0.87943763759999993</v>
      </c>
      <c r="F33">
        <f>(E33-D33)/3.92</f>
        <v>7.4782112040816306E-2</v>
      </c>
      <c r="G33" t="s">
        <v>288</v>
      </c>
      <c r="H33">
        <f>C33*((C33*(1-C33)/F33^2)-1)</f>
        <v>24.922809706080017</v>
      </c>
      <c r="I33">
        <f>(H33/C33)-H33</f>
        <v>9.0845722487266229</v>
      </c>
    </row>
    <row r="35" spans="1:9" x14ac:dyDescent="0.2">
      <c r="A35" t="s">
        <v>89</v>
      </c>
    </row>
    <row r="36" spans="1:9" x14ac:dyDescent="0.2">
      <c r="A36" t="s">
        <v>90</v>
      </c>
      <c r="B36" t="s">
        <v>21</v>
      </c>
      <c r="C36">
        <f>63/80</f>
        <v>0.78749999999999998</v>
      </c>
      <c r="D36">
        <f>C36-1.96*F36</f>
        <v>0.69785711475526901</v>
      </c>
      <c r="E36">
        <f>C36+1.96*F36</f>
        <v>0.87714288524473094</v>
      </c>
      <c r="F36">
        <f>SQRT(C36*(1-C36)/80)</f>
        <v>4.5736165941189261E-2</v>
      </c>
      <c r="G36" t="s">
        <v>288</v>
      </c>
      <c r="H36">
        <v>63</v>
      </c>
      <c r="I36">
        <f>80-63</f>
        <v>17</v>
      </c>
    </row>
    <row r="37" spans="1:9" x14ac:dyDescent="0.2">
      <c r="A37" t="s">
        <v>91</v>
      </c>
      <c r="B37" t="s">
        <v>22</v>
      </c>
      <c r="C37">
        <f>108/145</f>
        <v>0.7448275862068966</v>
      </c>
      <c r="D37">
        <f>C37-1.96*F37</f>
        <v>0.67386706319594969</v>
      </c>
      <c r="E37">
        <f>C37+1.96*F37</f>
        <v>0.8157881092178435</v>
      </c>
      <c r="F37">
        <f>SQRT(C37*(1-C37)/145)</f>
        <v>3.6204348474972912E-2</v>
      </c>
      <c r="G37" t="s">
        <v>288</v>
      </c>
      <c r="H37">
        <v>108</v>
      </c>
      <c r="I37">
        <f>145-63</f>
        <v>82</v>
      </c>
    </row>
    <row r="39" spans="1:9" x14ac:dyDescent="0.2">
      <c r="A39" t="s">
        <v>92</v>
      </c>
      <c r="B39" t="s">
        <v>23</v>
      </c>
      <c r="C39">
        <v>25</v>
      </c>
      <c r="G39" t="s">
        <v>305</v>
      </c>
    </row>
    <row r="40" spans="1:9" x14ac:dyDescent="0.2">
      <c r="A40" t="s">
        <v>93</v>
      </c>
      <c r="B40" t="s">
        <v>24</v>
      </c>
      <c r="C40">
        <v>1</v>
      </c>
      <c r="G40" t="s">
        <v>305</v>
      </c>
    </row>
    <row r="41" spans="1:9" x14ac:dyDescent="0.2">
      <c r="A41" t="s">
        <v>94</v>
      </c>
      <c r="B41" t="s">
        <v>25</v>
      </c>
      <c r="C41">
        <v>1</v>
      </c>
      <c r="G41" t="s">
        <v>305</v>
      </c>
    </row>
    <row r="42" spans="1:9" x14ac:dyDescent="0.2">
      <c r="A42" t="s">
        <v>213</v>
      </c>
      <c r="B42" t="s">
        <v>211</v>
      </c>
      <c r="C42">
        <v>0.03</v>
      </c>
      <c r="G42" t="s">
        <v>305</v>
      </c>
    </row>
    <row r="43" spans="1:9" x14ac:dyDescent="0.2">
      <c r="A43" t="s">
        <v>212</v>
      </c>
      <c r="B43" t="s">
        <v>214</v>
      </c>
      <c r="C43">
        <v>0.03</v>
      </c>
      <c r="G43" t="s">
        <v>305</v>
      </c>
    </row>
    <row r="45" spans="1:9" x14ac:dyDescent="0.2">
      <c r="A45" t="s">
        <v>95</v>
      </c>
      <c r="B45" t="s">
        <v>26</v>
      </c>
      <c r="C45">
        <v>0.75600000000000001</v>
      </c>
      <c r="D45">
        <v>0.57099999999999995</v>
      </c>
      <c r="E45">
        <v>0.89400000000000002</v>
      </c>
      <c r="F45">
        <f>(E45-D45)/3.92</f>
        <v>8.2397959183673486E-2</v>
      </c>
      <c r="G45" t="s">
        <v>288</v>
      </c>
      <c r="H45">
        <f>C45*((C45*(1-C45)/F45^2)-1)</f>
        <v>19.784003190460933</v>
      </c>
      <c r="I45">
        <f>(H45/C45)-H45</f>
        <v>6.3853131990376539</v>
      </c>
    </row>
    <row r="46" spans="1:9" x14ac:dyDescent="0.2">
      <c r="A46" t="s">
        <v>96</v>
      </c>
      <c r="B46" t="s">
        <v>27</v>
      </c>
      <c r="C46">
        <v>0.57599999999999996</v>
      </c>
      <c r="D46">
        <v>0.33900000000000002</v>
      </c>
      <c r="E46">
        <v>0.75600000000000001</v>
      </c>
      <c r="F46">
        <f>(E46-D46)/3.92</f>
        <v>0.10637755102040816</v>
      </c>
      <c r="G46" t="s">
        <v>288</v>
      </c>
      <c r="H46">
        <f t="shared" ref="H46:H48" si="12">C46*((C46*(1-C46)/F46^2)-1)</f>
        <v>11.855136851632938</v>
      </c>
      <c r="I46">
        <f t="shared" ref="I46:I48" si="13">(H46/C46)-H46</f>
        <v>8.7266979602298029</v>
      </c>
    </row>
    <row r="47" spans="1:9" x14ac:dyDescent="0.2">
      <c r="A47" t="s">
        <v>97</v>
      </c>
      <c r="B47" t="s">
        <v>28</v>
      </c>
      <c r="C47">
        <v>7.3999999999999996E-2</v>
      </c>
      <c r="D47">
        <v>5.2999999999999999E-2</v>
      </c>
      <c r="E47">
        <v>0.09</v>
      </c>
      <c r="F47">
        <f>(E47-D47)/3.92</f>
        <v>9.4387755102040821E-3</v>
      </c>
      <c r="G47" t="s">
        <v>288</v>
      </c>
      <c r="H47">
        <f t="shared" si="12"/>
        <v>56.8431456</v>
      </c>
      <c r="I47">
        <f t="shared" si="13"/>
        <v>711.30747061621628</v>
      </c>
    </row>
    <row r="48" spans="1:9" x14ac:dyDescent="0.2">
      <c r="A48" t="s">
        <v>98</v>
      </c>
      <c r="B48" t="s">
        <v>215</v>
      </c>
      <c r="C48">
        <v>3.1E-2</v>
      </c>
      <c r="D48">
        <v>1.6E-2</v>
      </c>
      <c r="E48">
        <v>4.5999999999999999E-2</v>
      </c>
      <c r="F48">
        <f>(E48-D48)/3.92</f>
        <v>7.6530612244897957E-3</v>
      </c>
      <c r="G48" t="s">
        <v>288</v>
      </c>
      <c r="H48">
        <f t="shared" si="12"/>
        <v>15.868255530666667</v>
      </c>
      <c r="I48">
        <f t="shared" si="13"/>
        <v>496.01095513600006</v>
      </c>
    </row>
    <row r="50" spans="1:9" x14ac:dyDescent="0.2">
      <c r="A50" t="s">
        <v>99</v>
      </c>
      <c r="B50" t="s">
        <v>29</v>
      </c>
      <c r="C50">
        <f>43/667</f>
        <v>6.4467766116941536E-2</v>
      </c>
      <c r="D50">
        <f>C50-1.96*F50</f>
        <v>4.583000061842521E-2</v>
      </c>
      <c r="E50">
        <f>C50+1.96*F50</f>
        <v>8.3105531615457862E-2</v>
      </c>
      <c r="F50">
        <f>SQRT(C50*(1-C50)/667)</f>
        <v>9.5090640298552704E-3</v>
      </c>
      <c r="G50" t="s">
        <v>288</v>
      </c>
      <c r="H50">
        <v>43</v>
      </c>
      <c r="I50">
        <f>667-43</f>
        <v>624</v>
      </c>
    </row>
    <row r="51" spans="1:9" x14ac:dyDescent="0.2">
      <c r="A51" t="s">
        <v>100</v>
      </c>
      <c r="B51" t="s">
        <v>30</v>
      </c>
      <c r="C51">
        <v>2.65</v>
      </c>
      <c r="D51">
        <v>1.33</v>
      </c>
      <c r="E51">
        <v>4.76</v>
      </c>
      <c r="F51">
        <f t="shared" ref="F51:F56" si="14">(E51-D51)/3.92</f>
        <v>0.87499999999999989</v>
      </c>
      <c r="G51" t="s">
        <v>290</v>
      </c>
      <c r="H51">
        <f>LN(C51)</f>
        <v>0.97455963999813078</v>
      </c>
      <c r="I51">
        <f>(LN(E51)-LN(D51))/(1.96*2)</f>
        <v>0.32527263418613933</v>
      </c>
    </row>
    <row r="52" spans="1:9" x14ac:dyDescent="0.2">
      <c r="A52" t="s">
        <v>101</v>
      </c>
      <c r="B52" t="s">
        <v>31</v>
      </c>
      <c r="C52">
        <v>4.76</v>
      </c>
      <c r="D52">
        <v>3.7</v>
      </c>
      <c r="E52">
        <v>6.04</v>
      </c>
      <c r="F52">
        <f t="shared" si="14"/>
        <v>0.59693877551020402</v>
      </c>
      <c r="G52" t="s">
        <v>290</v>
      </c>
      <c r="H52">
        <f t="shared" ref="H52:H56" si="15">LN(C52)</f>
        <v>1.5602476682433286</v>
      </c>
      <c r="I52">
        <f t="shared" ref="I52:I56" si="16">(LN(E52)-LN(D52))/(1.96*2)</f>
        <v>0.12501816130013893</v>
      </c>
    </row>
    <row r="53" spans="1:9" x14ac:dyDescent="0.2">
      <c r="A53" t="s">
        <v>102</v>
      </c>
      <c r="B53" t="s">
        <v>32</v>
      </c>
      <c r="C53">
        <v>1</v>
      </c>
      <c r="D53">
        <v>0.73</v>
      </c>
      <c r="E53">
        <v>1.33</v>
      </c>
      <c r="F53">
        <f t="shared" si="14"/>
        <v>0.15306122448979595</v>
      </c>
      <c r="G53" t="s">
        <v>290</v>
      </c>
      <c r="H53">
        <f t="shared" si="15"/>
        <v>0</v>
      </c>
      <c r="I53">
        <f t="shared" si="16"/>
        <v>0.15303308343708233</v>
      </c>
    </row>
    <row r="54" spans="1:9" x14ac:dyDescent="0.2">
      <c r="A54" t="s">
        <v>103</v>
      </c>
      <c r="B54" t="s">
        <v>33</v>
      </c>
      <c r="C54">
        <v>2.09</v>
      </c>
      <c r="D54">
        <v>1.54</v>
      </c>
      <c r="E54">
        <v>2.78</v>
      </c>
      <c r="F54">
        <f t="shared" si="14"/>
        <v>0.31632653061224486</v>
      </c>
      <c r="G54" t="s">
        <v>290</v>
      </c>
      <c r="H54">
        <f t="shared" si="15"/>
        <v>0.73716406597671957</v>
      </c>
      <c r="I54">
        <f t="shared" si="16"/>
        <v>0.15068074267270604</v>
      </c>
    </row>
    <row r="55" spans="1:9" x14ac:dyDescent="0.2">
      <c r="A55" t="s">
        <v>104</v>
      </c>
      <c r="B55" t="s">
        <v>34</v>
      </c>
      <c r="C55">
        <v>1.01</v>
      </c>
      <c r="D55">
        <v>0.68</v>
      </c>
      <c r="E55">
        <v>1.44</v>
      </c>
      <c r="F55">
        <f t="shared" si="14"/>
        <v>0.19387755102040813</v>
      </c>
      <c r="G55" t="s">
        <v>290</v>
      </c>
      <c r="H55">
        <f t="shared" si="15"/>
        <v>9.950330853168092E-3</v>
      </c>
      <c r="I55">
        <f t="shared" si="16"/>
        <v>0.19140448836731985</v>
      </c>
    </row>
    <row r="56" spans="1:9" x14ac:dyDescent="0.2">
      <c r="A56" t="s">
        <v>105</v>
      </c>
      <c r="B56" t="s">
        <v>35</v>
      </c>
      <c r="C56">
        <v>0.83</v>
      </c>
      <c r="D56">
        <v>0.62</v>
      </c>
      <c r="E56">
        <v>1.1100000000000001</v>
      </c>
      <c r="F56">
        <f t="shared" si="14"/>
        <v>0.12500000000000003</v>
      </c>
      <c r="G56" t="s">
        <v>290</v>
      </c>
      <c r="H56">
        <f t="shared" si="15"/>
        <v>-0.18632957819149348</v>
      </c>
      <c r="I56">
        <f t="shared" si="16"/>
        <v>0.14857036129266396</v>
      </c>
    </row>
    <row r="57" spans="1:9" x14ac:dyDescent="0.2">
      <c r="A57" t="s">
        <v>106</v>
      </c>
      <c r="B57" t="s">
        <v>36</v>
      </c>
      <c r="C57">
        <v>0.25</v>
      </c>
      <c r="G57" t="s">
        <v>305</v>
      </c>
    </row>
    <row r="58" spans="1:9" x14ac:dyDescent="0.2">
      <c r="A58" t="s">
        <v>107</v>
      </c>
    </row>
    <row r="59" spans="1:9" x14ac:dyDescent="0.2">
      <c r="A59" t="s">
        <v>108</v>
      </c>
      <c r="B59" t="s">
        <v>216</v>
      </c>
      <c r="C59">
        <f>C61*(12.5/27.7)</f>
        <v>9.5388958481617839E-2</v>
      </c>
      <c r="D59">
        <f>D61*(12.5/27.7)</f>
        <v>7.5510227430016869E-2</v>
      </c>
      <c r="E59">
        <f>E61*(12.5/27.7)</f>
        <v>0.11526768953321881</v>
      </c>
      <c r="F59">
        <f>(E59-D59)/3.92</f>
        <v>1.0142209720204578E-2</v>
      </c>
      <c r="G59" t="s">
        <v>288</v>
      </c>
      <c r="H59">
        <f>C59*((C59*(1-C59)/F59^2)-1)</f>
        <v>79.923575155078268</v>
      </c>
      <c r="I59">
        <f>(H59/C59)-H59</f>
        <v>757.9467237483334</v>
      </c>
    </row>
    <row r="60" spans="1:9" x14ac:dyDescent="0.2">
      <c r="A60" t="s">
        <v>109</v>
      </c>
      <c r="B60" t="s">
        <v>217</v>
      </c>
      <c r="C60">
        <f>(0.26/0.39)*C61</f>
        <v>0.14092128799684339</v>
      </c>
      <c r="D60">
        <f>(0.26/0.39)*D61</f>
        <v>0.1115537759899449</v>
      </c>
      <c r="E60">
        <f>(0.26/0.39)*E61</f>
        <v>0.17028880000374191</v>
      </c>
      <c r="F60">
        <f>(E60-D60)/3.92</f>
        <v>1.4983424493315566E-2</v>
      </c>
      <c r="G60" t="s">
        <v>288</v>
      </c>
      <c r="H60">
        <f t="shared" ref="H60:H64" si="17">C60*((C60*(1-C60)/F60^2)-1)</f>
        <v>75.850400364588694</v>
      </c>
      <c r="I60">
        <f t="shared" ref="I60:I64" si="18">(H60/C60)-H60</f>
        <v>462.3961729018132</v>
      </c>
    </row>
    <row r="61" spans="1:9" x14ac:dyDescent="0.2">
      <c r="A61" t="s">
        <v>110</v>
      </c>
      <c r="B61" t="s">
        <v>218</v>
      </c>
      <c r="C61">
        <v>0.21138193199526512</v>
      </c>
      <c r="D61">
        <f>C61-_xlfn.NORM.S.INV(0.975)*F61</f>
        <v>0.16733066398491736</v>
      </c>
      <c r="E61">
        <f>C61+_xlfn.NORM.S.INV(0.975)*F61</f>
        <v>0.25543320000561287</v>
      </c>
      <c r="F61">
        <f>SQRT(C61*(1-C61)/330)</f>
        <v>2.247554973347396E-2</v>
      </c>
      <c r="G61" t="s">
        <v>288</v>
      </c>
      <c r="H61">
        <f t="shared" si="17"/>
        <v>69.544655626442207</v>
      </c>
      <c r="I61">
        <f t="shared" si="18"/>
        <v>259.45534437355775</v>
      </c>
    </row>
    <row r="62" spans="1:9" x14ac:dyDescent="0.2">
      <c r="A62" t="s">
        <v>111</v>
      </c>
      <c r="B62" t="s">
        <v>219</v>
      </c>
      <c r="C62">
        <v>9.565883344669035E-2</v>
      </c>
      <c r="D62">
        <f>C62-_xlfn.NORM.S.INV(0.975)*F62</f>
        <v>6.2439683540592816E-2</v>
      </c>
      <c r="E62">
        <f>C62+_xlfn.NORM.S.INV(0.975)*F62</f>
        <v>0.12887798335278788</v>
      </c>
      <c r="F62">
        <f>SQRT(C62*(1-C65)/333)</f>
        <v>1.6948857309688321E-2</v>
      </c>
      <c r="G62" t="s">
        <v>288</v>
      </c>
      <c r="H62">
        <f t="shared" si="17"/>
        <v>28.71157876964611</v>
      </c>
      <c r="I62">
        <f t="shared" si="18"/>
        <v>271.43402969260603</v>
      </c>
    </row>
    <row r="63" spans="1:9" x14ac:dyDescent="0.2">
      <c r="A63" t="s">
        <v>112</v>
      </c>
      <c r="B63" t="s">
        <v>220</v>
      </c>
      <c r="C63">
        <v>0.11019791858485362</v>
      </c>
      <c r="D63">
        <f>C63-_xlfn.NORM.S.INV(0.975)*F63</f>
        <v>7.6361565630929662E-2</v>
      </c>
      <c r="E63">
        <f>C63+_xlfn.NORM.S.INV(0.975)*F63</f>
        <v>0.14403427153877757</v>
      </c>
      <c r="F63">
        <f>SQRT(C63*(1-C63)/329)</f>
        <v>1.7263762610344274E-2</v>
      </c>
      <c r="G63" t="s">
        <v>288</v>
      </c>
      <c r="H63">
        <f t="shared" si="17"/>
        <v>36.144917295831995</v>
      </c>
      <c r="I63">
        <f t="shared" si="18"/>
        <v>291.85508270416807</v>
      </c>
    </row>
    <row r="64" spans="1:9" x14ac:dyDescent="0.2">
      <c r="A64" t="s">
        <v>113</v>
      </c>
      <c r="B64" t="s">
        <v>221</v>
      </c>
      <c r="C64">
        <v>8.1233821059635725E-2</v>
      </c>
      <c r="D64">
        <f>C64-_xlfn.NORM.S.INV(0.975)*F64</f>
        <v>4.6884678921873632E-2</v>
      </c>
      <c r="E64">
        <f>C64+_xlfn.NORM.S.INV(0.975)*F64</f>
        <v>0.11558296319739782</v>
      </c>
      <c r="F64">
        <f>SQRT(C64*(1-C64)/243)</f>
        <v>1.75253945525039E-2</v>
      </c>
      <c r="G64" t="s">
        <v>288</v>
      </c>
      <c r="H64">
        <f t="shared" si="17"/>
        <v>19.658584696431845</v>
      </c>
      <c r="I64">
        <f t="shared" si="18"/>
        <v>222.34141530356817</v>
      </c>
    </row>
    <row r="66" spans="1:9" x14ac:dyDescent="0.2">
      <c r="A66" t="s">
        <v>114</v>
      </c>
    </row>
    <row r="67" spans="1:9" x14ac:dyDescent="0.2">
      <c r="A67" t="s">
        <v>115</v>
      </c>
      <c r="B67" t="s">
        <v>37</v>
      </c>
      <c r="C67">
        <v>5.2400000000000002E-2</v>
      </c>
      <c r="D67">
        <v>4.36E-2</v>
      </c>
      <c r="E67">
        <v>5.4399999999999997E-2</v>
      </c>
      <c r="F67">
        <f t="shared" ref="F67:F74" si="19">(E67-D67)/3.92</f>
        <v>2.7551020408163257E-3</v>
      </c>
      <c r="G67" t="s">
        <v>288</v>
      </c>
      <c r="H67">
        <f t="shared" ref="H67" si="20">C67*((C67*(1-C67)/F67^2)-1)</f>
        <v>342.72505429772309</v>
      </c>
      <c r="I67">
        <f t="shared" ref="I67" si="21">(H67/C67)-H67</f>
        <v>6197.82941703287</v>
      </c>
    </row>
    <row r="68" spans="1:9" x14ac:dyDescent="0.2">
      <c r="A68" t="s">
        <v>116</v>
      </c>
      <c r="B68" t="s">
        <v>38</v>
      </c>
      <c r="C68">
        <v>1.41</v>
      </c>
      <c r="D68">
        <f>80%*C68</f>
        <v>1.1279999999999999</v>
      </c>
      <c r="E68">
        <f>120%*C68</f>
        <v>1.6919999999999999</v>
      </c>
      <c r="F68">
        <f t="shared" si="19"/>
        <v>0.14387755102040817</v>
      </c>
      <c r="G68" t="s">
        <v>290</v>
      </c>
      <c r="H68">
        <f>LN(C68)</f>
        <v>0.34358970439007686</v>
      </c>
      <c r="I68">
        <f>(LN(E68)-LN(D68))/(1.96*2)</f>
        <v>0.10343497655820523</v>
      </c>
    </row>
    <row r="69" spans="1:9" x14ac:dyDescent="0.2">
      <c r="A69" t="s">
        <v>223</v>
      </c>
      <c r="B69" t="s">
        <v>222</v>
      </c>
      <c r="C69">
        <v>1</v>
      </c>
      <c r="G69" t="s">
        <v>305</v>
      </c>
    </row>
    <row r="70" spans="1:9" x14ac:dyDescent="0.2">
      <c r="A70" t="s">
        <v>117</v>
      </c>
      <c r="B70" t="s">
        <v>39</v>
      </c>
      <c r="C70">
        <v>1.77</v>
      </c>
      <c r="D70">
        <v>1.32</v>
      </c>
      <c r="E70">
        <v>2.37</v>
      </c>
      <c r="F70">
        <f t="shared" si="19"/>
        <v>0.26785714285714285</v>
      </c>
      <c r="G70" t="s">
        <v>290</v>
      </c>
      <c r="H70">
        <f>LN(C70)</f>
        <v>0.5709795465857378</v>
      </c>
      <c r="I70">
        <f>(LN(E70)-LN(D70))/(1.96*2)</f>
        <v>0.14930056595631638</v>
      </c>
    </row>
    <row r="71" spans="1:9" x14ac:dyDescent="0.2">
      <c r="A71" t="s">
        <v>118</v>
      </c>
      <c r="B71" t="s">
        <v>40</v>
      </c>
      <c r="C71">
        <v>1.22</v>
      </c>
      <c r="D71">
        <v>0.89</v>
      </c>
      <c r="E71">
        <v>1.67</v>
      </c>
      <c r="F71">
        <f t="shared" si="19"/>
        <v>0.19897959183673466</v>
      </c>
      <c r="G71" t="s">
        <v>290</v>
      </c>
      <c r="H71">
        <f t="shared" ref="H71:H72" si="22">LN(C71)</f>
        <v>0.19885085874516517</v>
      </c>
      <c r="I71">
        <f t="shared" ref="I71:I72" si="23">(LN(E71)-LN(D71))/(1.96*2)</f>
        <v>0.1605503680317896</v>
      </c>
    </row>
    <row r="72" spans="1:9" x14ac:dyDescent="0.2">
      <c r="A72" t="s">
        <v>119</v>
      </c>
      <c r="B72" t="s">
        <v>41</v>
      </c>
      <c r="C72">
        <v>1.21</v>
      </c>
      <c r="D72">
        <v>0.89</v>
      </c>
      <c r="E72">
        <v>1.66</v>
      </c>
      <c r="F72">
        <f t="shared" si="19"/>
        <v>0.1964285714285714</v>
      </c>
      <c r="G72" t="s">
        <v>290</v>
      </c>
      <c r="H72">
        <f t="shared" si="22"/>
        <v>0.1906203596086497</v>
      </c>
      <c r="I72">
        <f t="shared" si="23"/>
        <v>0.1590182190368376</v>
      </c>
    </row>
    <row r="73" spans="1:9" x14ac:dyDescent="0.2">
      <c r="A73" t="s">
        <v>120</v>
      </c>
      <c r="B73" t="s">
        <v>42</v>
      </c>
      <c r="C73">
        <v>0.06</v>
      </c>
      <c r="D73">
        <f>C73*0.8</f>
        <v>4.8000000000000001E-2</v>
      </c>
      <c r="E73">
        <f>C73*1.2</f>
        <v>7.1999999999999995E-2</v>
      </c>
      <c r="F73">
        <f t="shared" si="19"/>
        <v>6.1224489795918356E-3</v>
      </c>
      <c r="G73" t="s">
        <v>288</v>
      </c>
      <c r="H73">
        <f t="shared" ref="H73" si="24">C73*((C73*(1-C73)/F73^2)-1)</f>
        <v>90.217600000000019</v>
      </c>
      <c r="I73">
        <f t="shared" ref="I73" si="25">(H73/C73)-H73</f>
        <v>1413.4090666666671</v>
      </c>
    </row>
    <row r="74" spans="1:9" x14ac:dyDescent="0.2">
      <c r="A74" t="s">
        <v>121</v>
      </c>
      <c r="B74" t="s">
        <v>43</v>
      </c>
      <c r="C74">
        <v>627.45364341085269</v>
      </c>
      <c r="D74">
        <f>0.8*C74</f>
        <v>501.96291472868216</v>
      </c>
      <c r="E74">
        <f>1.2*C74</f>
        <v>752.94437209302316</v>
      </c>
      <c r="F74">
        <f t="shared" si="19"/>
        <v>64.025881980699239</v>
      </c>
      <c r="G74" t="s">
        <v>289</v>
      </c>
    </row>
    <row r="76" spans="1:9" x14ac:dyDescent="0.2">
      <c r="A76" t="s">
        <v>122</v>
      </c>
    </row>
    <row r="77" spans="1:9" x14ac:dyDescent="0.2">
      <c r="A77" t="s">
        <v>123</v>
      </c>
    </row>
    <row r="78" spans="1:9" x14ac:dyDescent="0.2">
      <c r="A78" t="s">
        <v>124</v>
      </c>
      <c r="B78" t="s">
        <v>224</v>
      </c>
      <c r="C78">
        <v>1</v>
      </c>
      <c r="G78" t="s">
        <v>305</v>
      </c>
    </row>
    <row r="79" spans="1:9" x14ac:dyDescent="0.2">
      <c r="A79" t="s">
        <v>125</v>
      </c>
      <c r="B79" t="s">
        <v>225</v>
      </c>
      <c r="C79">
        <v>2</v>
      </c>
      <c r="G79" t="s">
        <v>305</v>
      </c>
    </row>
    <row r="80" spans="1:9" x14ac:dyDescent="0.2">
      <c r="A80" t="s">
        <v>126</v>
      </c>
      <c r="B80" t="s">
        <v>226</v>
      </c>
      <c r="C80">
        <v>20</v>
      </c>
      <c r="D80">
        <f>80%*C80</f>
        <v>16</v>
      </c>
      <c r="E80">
        <f>120%*C80</f>
        <v>24</v>
      </c>
      <c r="F80">
        <f>(E80-D80)/3.92</f>
        <v>2.0408163265306123</v>
      </c>
      <c r="G80" t="s">
        <v>289</v>
      </c>
    </row>
    <row r="81" spans="1:7" x14ac:dyDescent="0.2">
      <c r="A81" t="s">
        <v>127</v>
      </c>
      <c r="B81" t="s">
        <v>227</v>
      </c>
      <c r="C81">
        <v>20</v>
      </c>
      <c r="D81">
        <f t="shared" ref="D81:D82" si="26">80%*C81</f>
        <v>16</v>
      </c>
      <c r="E81">
        <f t="shared" ref="E81:E82" si="27">120%*C81</f>
        <v>24</v>
      </c>
      <c r="F81">
        <f>(E81-D81)/3.92</f>
        <v>2.0408163265306123</v>
      </c>
      <c r="G81" t="s">
        <v>289</v>
      </c>
    </row>
    <row r="82" spans="1:7" x14ac:dyDescent="0.2">
      <c r="A82" t="s">
        <v>128</v>
      </c>
      <c r="B82" t="s">
        <v>228</v>
      </c>
      <c r="C82">
        <v>20</v>
      </c>
      <c r="D82">
        <f t="shared" si="26"/>
        <v>16</v>
      </c>
      <c r="E82">
        <f t="shared" si="27"/>
        <v>24</v>
      </c>
      <c r="F82">
        <f>(E82-D82)/3.92</f>
        <v>2.0408163265306123</v>
      </c>
      <c r="G82" t="s">
        <v>289</v>
      </c>
    </row>
    <row r="83" spans="1:7" x14ac:dyDescent="0.2">
      <c r="A83" t="s">
        <v>129</v>
      </c>
      <c r="B83" t="s">
        <v>229</v>
      </c>
      <c r="C83">
        <v>1</v>
      </c>
      <c r="G83" t="s">
        <v>305</v>
      </c>
    </row>
    <row r="84" spans="1:7" x14ac:dyDescent="0.2">
      <c r="A84" t="s">
        <v>130</v>
      </c>
      <c r="B84" t="s">
        <v>230</v>
      </c>
      <c r="C84">
        <v>1</v>
      </c>
      <c r="G84" t="s">
        <v>305</v>
      </c>
    </row>
    <row r="85" spans="1:7" x14ac:dyDescent="0.2">
      <c r="A85" t="s">
        <v>131</v>
      </c>
      <c r="B85" t="s">
        <v>231</v>
      </c>
      <c r="C85">
        <v>2</v>
      </c>
      <c r="G85" t="s">
        <v>305</v>
      </c>
    </row>
    <row r="86" spans="1:7" x14ac:dyDescent="0.2">
      <c r="A86" t="s">
        <v>132</v>
      </c>
      <c r="B86" t="s">
        <v>232</v>
      </c>
      <c r="C86">
        <v>1</v>
      </c>
      <c r="G86" t="s">
        <v>305</v>
      </c>
    </row>
    <row r="87" spans="1:7" x14ac:dyDescent="0.2">
      <c r="A87" t="s">
        <v>133</v>
      </c>
      <c r="B87" t="s">
        <v>233</v>
      </c>
      <c r="C87">
        <v>2</v>
      </c>
      <c r="G87" t="s">
        <v>305</v>
      </c>
    </row>
    <row r="88" spans="1:7" x14ac:dyDescent="0.2">
      <c r="A88" t="s">
        <v>134</v>
      </c>
      <c r="B88" t="s">
        <v>234</v>
      </c>
      <c r="C88">
        <v>1</v>
      </c>
      <c r="G88" t="s">
        <v>305</v>
      </c>
    </row>
    <row r="90" spans="1:7" x14ac:dyDescent="0.2">
      <c r="A90" t="s">
        <v>135</v>
      </c>
    </row>
    <row r="91" spans="1:7" x14ac:dyDescent="0.2">
      <c r="A91" t="s">
        <v>136</v>
      </c>
      <c r="B91" t="s">
        <v>235</v>
      </c>
      <c r="C91">
        <v>20</v>
      </c>
      <c r="D91">
        <f>80%*C91</f>
        <v>16</v>
      </c>
      <c r="E91">
        <f>120%*C91</f>
        <v>24</v>
      </c>
      <c r="F91">
        <f>(E91-D91)/3.92</f>
        <v>2.0408163265306123</v>
      </c>
      <c r="G91" t="s">
        <v>289</v>
      </c>
    </row>
    <row r="92" spans="1:7" x14ac:dyDescent="0.2">
      <c r="A92" t="s">
        <v>137</v>
      </c>
      <c r="B92" t="s">
        <v>236</v>
      </c>
      <c r="C92">
        <v>10</v>
      </c>
      <c r="D92">
        <f>80%*C92</f>
        <v>8</v>
      </c>
      <c r="E92">
        <f>120%*C92</f>
        <v>12</v>
      </c>
      <c r="F92">
        <f>(E92-D92)/3.92</f>
        <v>1.0204081632653061</v>
      </c>
      <c r="G92" t="s">
        <v>289</v>
      </c>
    </row>
    <row r="93" spans="1:7" x14ac:dyDescent="0.2">
      <c r="A93" t="s">
        <v>138</v>
      </c>
      <c r="B93" t="s">
        <v>44</v>
      </c>
      <c r="C93">
        <v>1</v>
      </c>
      <c r="G93" t="s">
        <v>305</v>
      </c>
    </row>
    <row r="94" spans="1:7" x14ac:dyDescent="0.2">
      <c r="A94" t="s">
        <v>139</v>
      </c>
      <c r="B94" t="s">
        <v>45</v>
      </c>
      <c r="C94">
        <v>1</v>
      </c>
      <c r="G94" t="s">
        <v>305</v>
      </c>
    </row>
    <row r="95" spans="1:7" x14ac:dyDescent="0.2">
      <c r="A95" t="s">
        <v>140</v>
      </c>
      <c r="B95" t="s">
        <v>46</v>
      </c>
      <c r="C95">
        <v>1</v>
      </c>
      <c r="G95" t="s">
        <v>305</v>
      </c>
    </row>
    <row r="96" spans="1:7" x14ac:dyDescent="0.2">
      <c r="A96" t="s">
        <v>141</v>
      </c>
      <c r="B96" t="s">
        <v>47</v>
      </c>
      <c r="C96">
        <v>1</v>
      </c>
      <c r="G96" t="s">
        <v>305</v>
      </c>
    </row>
    <row r="97" spans="1:9" x14ac:dyDescent="0.2">
      <c r="A97" t="s">
        <v>142</v>
      </c>
      <c r="B97" t="s">
        <v>237</v>
      </c>
      <c r="C97">
        <v>0.25</v>
      </c>
      <c r="D97">
        <f>80%*C97</f>
        <v>0.2</v>
      </c>
      <c r="E97">
        <f>120%*C97</f>
        <v>0.3</v>
      </c>
      <c r="F97">
        <f>(E97-D97)/3.92</f>
        <v>2.5510204081632647E-2</v>
      </c>
      <c r="G97" t="s">
        <v>288</v>
      </c>
      <c r="H97">
        <f t="shared" ref="H97" si="28">C97*((C97*(1-C97)/F97^2)-1)</f>
        <v>71.780000000000044</v>
      </c>
      <c r="I97">
        <f t="shared" ref="I97" si="29">(H97/C97)-H97</f>
        <v>215.34000000000015</v>
      </c>
    </row>
    <row r="98" spans="1:9" x14ac:dyDescent="0.2">
      <c r="A98" t="s">
        <v>143</v>
      </c>
      <c r="B98" t="s">
        <v>238</v>
      </c>
      <c r="C98">
        <v>1</v>
      </c>
      <c r="G98" t="s">
        <v>305</v>
      </c>
    </row>
    <row r="99" spans="1:9" x14ac:dyDescent="0.2">
      <c r="A99" t="s">
        <v>144</v>
      </c>
      <c r="B99" t="s">
        <v>239</v>
      </c>
      <c r="C99">
        <v>1</v>
      </c>
      <c r="G99" t="s">
        <v>305</v>
      </c>
    </row>
    <row r="101" spans="1:9" x14ac:dyDescent="0.2">
      <c r="A101" t="s">
        <v>145</v>
      </c>
    </row>
    <row r="102" spans="1:9" x14ac:dyDescent="0.2">
      <c r="A102" t="s">
        <v>146</v>
      </c>
      <c r="B102" t="s">
        <v>240</v>
      </c>
      <c r="C102">
        <v>2000</v>
      </c>
      <c r="D102">
        <f>80%*C102</f>
        <v>1600</v>
      </c>
      <c r="E102">
        <f>120%*C102</f>
        <v>2400</v>
      </c>
      <c r="F102">
        <f>(E102-D102)/3.92</f>
        <v>204.08163265306123</v>
      </c>
      <c r="G102" t="s">
        <v>289</v>
      </c>
    </row>
    <row r="103" spans="1:9" x14ac:dyDescent="0.2">
      <c r="A103" t="s">
        <v>147</v>
      </c>
      <c r="B103" t="s">
        <v>241</v>
      </c>
      <c r="C103">
        <v>5048.8940628637947</v>
      </c>
      <c r="D103">
        <f t="shared" ref="D103:D106" si="30">80%*C103</f>
        <v>4039.1152502910359</v>
      </c>
      <c r="E103">
        <f t="shared" ref="E103:E106" si="31">120%*C103</f>
        <v>6058.6728754365531</v>
      </c>
      <c r="F103">
        <f t="shared" ref="F103:F106" si="32">(E103-D103)/3.92</f>
        <v>515.19327172079522</v>
      </c>
      <c r="G103" t="s">
        <v>289</v>
      </c>
    </row>
    <row r="104" spans="1:9" x14ac:dyDescent="0.2">
      <c r="A104" t="s">
        <v>148</v>
      </c>
      <c r="B104" t="s">
        <v>242</v>
      </c>
      <c r="C104">
        <v>1261.1563833915407</v>
      </c>
      <c r="D104">
        <f t="shared" si="30"/>
        <v>1008.9251067132326</v>
      </c>
      <c r="E104">
        <f t="shared" si="31"/>
        <v>1513.3876600698488</v>
      </c>
      <c r="F104">
        <f t="shared" si="32"/>
        <v>128.68942687668783</v>
      </c>
      <c r="G104" t="s">
        <v>289</v>
      </c>
    </row>
    <row r="105" spans="1:9" x14ac:dyDescent="0.2">
      <c r="A105" t="s">
        <v>149</v>
      </c>
      <c r="B105" t="s">
        <v>243</v>
      </c>
      <c r="C105">
        <v>970.12029491656961</v>
      </c>
      <c r="D105">
        <f t="shared" si="30"/>
        <v>776.09623593325568</v>
      </c>
      <c r="E105">
        <f t="shared" si="31"/>
        <v>1164.1443538998835</v>
      </c>
      <c r="F105">
        <f t="shared" si="32"/>
        <v>98.99186682822139</v>
      </c>
      <c r="G105" t="s">
        <v>289</v>
      </c>
    </row>
    <row r="106" spans="1:9" x14ac:dyDescent="0.2">
      <c r="A106" t="s">
        <v>150</v>
      </c>
      <c r="B106" t="s">
        <v>244</v>
      </c>
      <c r="C106">
        <v>1086.534730306558</v>
      </c>
      <c r="D106">
        <f t="shared" si="30"/>
        <v>869.22778424524643</v>
      </c>
      <c r="E106">
        <f t="shared" si="31"/>
        <v>1303.8416763678695</v>
      </c>
      <c r="F106">
        <f t="shared" si="32"/>
        <v>110.87089084760792</v>
      </c>
      <c r="G106" t="s">
        <v>289</v>
      </c>
    </row>
    <row r="108" spans="1:9" x14ac:dyDescent="0.2">
      <c r="A108" t="s">
        <v>151</v>
      </c>
    </row>
    <row r="109" spans="1:9" x14ac:dyDescent="0.2">
      <c r="A109" t="s">
        <v>152</v>
      </c>
      <c r="B109" t="s">
        <v>245</v>
      </c>
      <c r="C109" s="1">
        <f>(196.46/149.97)*0.0183</f>
        <v>2.3972914582916584E-2</v>
      </c>
      <c r="D109">
        <f t="shared" ref="D109:D115" si="33">80%*C109</f>
        <v>1.917833166633327E-2</v>
      </c>
      <c r="E109">
        <f t="shared" ref="E109" si="34">120%*C109</f>
        <v>2.8767497499499899E-2</v>
      </c>
      <c r="F109">
        <f t="shared" ref="F109" si="35">(E109-D109)/3.92</f>
        <v>2.4462157737669974E-3</v>
      </c>
      <c r="G109" t="s">
        <v>289</v>
      </c>
    </row>
    <row r="110" spans="1:9" x14ac:dyDescent="0.2">
      <c r="A110" t="s">
        <v>153</v>
      </c>
      <c r="B110" t="s">
        <v>246</v>
      </c>
      <c r="C110" s="1">
        <f>(196.46/145.14)*0.0206</f>
        <v>2.7883946534380599E-2</v>
      </c>
      <c r="D110">
        <f t="shared" si="33"/>
        <v>2.2307157227504482E-2</v>
      </c>
      <c r="E110">
        <f t="shared" ref="E110:E115" si="36">120%*C110</f>
        <v>3.3460735841256715E-2</v>
      </c>
      <c r="F110">
        <f t="shared" ref="F110:F115" si="37">(E110-D110)/3.92</f>
        <v>2.845300666773529E-3</v>
      </c>
      <c r="G110" t="s">
        <v>289</v>
      </c>
    </row>
    <row r="111" spans="1:9" x14ac:dyDescent="0.2">
      <c r="A111" t="s">
        <v>154</v>
      </c>
      <c r="B111" t="s">
        <v>247</v>
      </c>
      <c r="C111" s="1">
        <v>0.388048118</v>
      </c>
      <c r="D111">
        <f t="shared" si="33"/>
        <v>0.31043849440000004</v>
      </c>
      <c r="E111">
        <f t="shared" si="36"/>
        <v>0.46565774159999995</v>
      </c>
      <c r="F111">
        <f t="shared" si="37"/>
        <v>3.9596746734693856E-2</v>
      </c>
      <c r="G111" t="s">
        <v>289</v>
      </c>
    </row>
    <row r="112" spans="1:9" x14ac:dyDescent="0.2">
      <c r="A112" t="s">
        <v>155</v>
      </c>
      <c r="B112" t="s">
        <v>248</v>
      </c>
      <c r="C112" s="1">
        <v>8.8700000000000001E-2</v>
      </c>
      <c r="D112">
        <f t="shared" si="33"/>
        <v>7.0960000000000009E-2</v>
      </c>
      <c r="E112">
        <f t="shared" si="36"/>
        <v>0.10643999999999999</v>
      </c>
      <c r="F112">
        <f t="shared" si="37"/>
        <v>9.0510204081632618E-3</v>
      </c>
      <c r="G112" t="s">
        <v>289</v>
      </c>
    </row>
    <row r="113" spans="1:7" x14ac:dyDescent="0.2">
      <c r="A113" t="s">
        <v>156</v>
      </c>
      <c r="B113" t="s">
        <v>249</v>
      </c>
      <c r="C113" s="1">
        <v>3.2300000000000002E-2</v>
      </c>
      <c r="D113">
        <f t="shared" si="33"/>
        <v>2.5840000000000002E-2</v>
      </c>
      <c r="E113">
        <f t="shared" si="36"/>
        <v>3.8760000000000003E-2</v>
      </c>
      <c r="F113">
        <f t="shared" si="37"/>
        <v>3.295918367346939E-3</v>
      </c>
      <c r="G113" t="s">
        <v>289</v>
      </c>
    </row>
    <row r="114" spans="1:7" x14ac:dyDescent="0.2">
      <c r="A114" t="s">
        <v>157</v>
      </c>
      <c r="B114" t="s">
        <v>284</v>
      </c>
      <c r="C114" s="1">
        <v>1.4056</v>
      </c>
      <c r="D114">
        <f t="shared" si="33"/>
        <v>1.1244799999999999</v>
      </c>
      <c r="E114">
        <f t="shared" si="36"/>
        <v>1.68672</v>
      </c>
      <c r="F114">
        <f t="shared" si="37"/>
        <v>0.14342857142857146</v>
      </c>
      <c r="G114" t="s">
        <v>289</v>
      </c>
    </row>
    <row r="115" spans="1:7" x14ac:dyDescent="0.2">
      <c r="A115" t="s">
        <v>158</v>
      </c>
      <c r="B115" t="s">
        <v>250</v>
      </c>
      <c r="C115" s="1">
        <f>(196.46/145.14)*0.0122235157159488</f>
        <v>1.6545624208042588E-2</v>
      </c>
      <c r="D115">
        <f t="shared" si="33"/>
        <v>1.3236499366434071E-2</v>
      </c>
      <c r="E115">
        <f t="shared" si="36"/>
        <v>1.9854749049651104E-2</v>
      </c>
      <c r="F115">
        <f t="shared" si="37"/>
        <v>1.6883290008206718E-3</v>
      </c>
      <c r="G115" t="s">
        <v>289</v>
      </c>
    </row>
    <row r="117" spans="1:7" x14ac:dyDescent="0.2">
      <c r="A117" t="s">
        <v>159</v>
      </c>
    </row>
    <row r="118" spans="1:7" x14ac:dyDescent="0.2">
      <c r="A118" t="s">
        <v>160</v>
      </c>
      <c r="B118" t="s">
        <v>271</v>
      </c>
      <c r="C118">
        <v>4</v>
      </c>
      <c r="G118" t="s">
        <v>305</v>
      </c>
    </row>
    <row r="119" spans="1:7" x14ac:dyDescent="0.2">
      <c r="A119" t="s">
        <v>161</v>
      </c>
      <c r="B119" t="s">
        <v>272</v>
      </c>
      <c r="C119">
        <v>1</v>
      </c>
      <c r="G119" t="s">
        <v>305</v>
      </c>
    </row>
    <row r="120" spans="1:7" x14ac:dyDescent="0.2">
      <c r="A120" t="s">
        <v>162</v>
      </c>
      <c r="B120" t="s">
        <v>273</v>
      </c>
      <c r="C120">
        <v>2</v>
      </c>
      <c r="G120" t="s">
        <v>305</v>
      </c>
    </row>
    <row r="121" spans="1:7" x14ac:dyDescent="0.2">
      <c r="A121" t="s">
        <v>163</v>
      </c>
      <c r="B121" t="s">
        <v>274</v>
      </c>
      <c r="C121">
        <v>1</v>
      </c>
      <c r="G121" t="s">
        <v>305</v>
      </c>
    </row>
    <row r="122" spans="1:7" x14ac:dyDescent="0.2">
      <c r="A122" t="s">
        <v>164</v>
      </c>
      <c r="B122" t="s">
        <v>275</v>
      </c>
      <c r="C122">
        <v>2</v>
      </c>
      <c r="G122" t="s">
        <v>305</v>
      </c>
    </row>
    <row r="123" spans="1:7" x14ac:dyDescent="0.2">
      <c r="A123" t="s">
        <v>165</v>
      </c>
      <c r="B123" t="s">
        <v>285</v>
      </c>
      <c r="C123">
        <v>2</v>
      </c>
      <c r="G123" t="s">
        <v>305</v>
      </c>
    </row>
    <row r="124" spans="1:7" x14ac:dyDescent="0.2">
      <c r="A124" t="s">
        <v>166</v>
      </c>
      <c r="B124" t="s">
        <v>276</v>
      </c>
      <c r="C124">
        <v>1</v>
      </c>
      <c r="G124" t="s">
        <v>305</v>
      </c>
    </row>
    <row r="126" spans="1:7" x14ac:dyDescent="0.2">
      <c r="A126" t="s">
        <v>167</v>
      </c>
    </row>
    <row r="127" spans="1:7" x14ac:dyDescent="0.2">
      <c r="A127" t="s">
        <v>168</v>
      </c>
      <c r="B127" t="s">
        <v>265</v>
      </c>
      <c r="C127">
        <v>1.8630190143577803</v>
      </c>
      <c r="D127">
        <f t="shared" ref="D127:D132" si="38">80%*C127</f>
        <v>1.4904152114862244</v>
      </c>
      <c r="E127">
        <f t="shared" ref="E127" si="39">120%*C127</f>
        <v>2.2356228172293364</v>
      </c>
      <c r="F127">
        <f t="shared" ref="F127" si="40">(E127-D127)/3.92</f>
        <v>0.19010398105691634</v>
      </c>
      <c r="G127" t="s">
        <v>289</v>
      </c>
    </row>
    <row r="128" spans="1:7" x14ac:dyDescent="0.2">
      <c r="A128" t="s">
        <v>169</v>
      </c>
      <c r="B128" t="s">
        <v>266</v>
      </c>
      <c r="C128">
        <v>0.25029103608847497</v>
      </c>
      <c r="D128">
        <f t="shared" si="38"/>
        <v>0.20023282887077998</v>
      </c>
      <c r="E128">
        <f t="shared" ref="E128:E132" si="41">120%*C128</f>
        <v>0.30034924330616997</v>
      </c>
      <c r="F128">
        <f t="shared" ref="F128:F131" si="42">(E128-D128)/3.92</f>
        <v>2.5539901641681122E-2</v>
      </c>
      <c r="G128" t="s">
        <v>289</v>
      </c>
    </row>
    <row r="129" spans="1:9" x14ac:dyDescent="0.2">
      <c r="A129" t="s">
        <v>170</v>
      </c>
      <c r="B129" t="s">
        <v>267</v>
      </c>
      <c r="C129">
        <v>0.66783081102056652</v>
      </c>
      <c r="D129">
        <f t="shared" si="38"/>
        <v>0.53426464881645319</v>
      </c>
      <c r="E129">
        <f t="shared" si="41"/>
        <v>0.80139697322467984</v>
      </c>
      <c r="F129">
        <f t="shared" si="42"/>
        <v>6.814600112454762E-2</v>
      </c>
      <c r="G129" t="s">
        <v>289</v>
      </c>
    </row>
    <row r="130" spans="1:9" x14ac:dyDescent="0.2">
      <c r="A130" t="s">
        <v>171</v>
      </c>
      <c r="B130" t="s">
        <v>268</v>
      </c>
      <c r="C130">
        <v>0.33255723709740009</v>
      </c>
      <c r="D130">
        <f t="shared" si="38"/>
        <v>0.26604578967792009</v>
      </c>
      <c r="E130">
        <f t="shared" si="41"/>
        <v>0.3990686845168801</v>
      </c>
      <c r="F130">
        <f t="shared" si="42"/>
        <v>3.3934411948714292E-2</v>
      </c>
      <c r="G130" t="s">
        <v>289</v>
      </c>
    </row>
    <row r="131" spans="1:9" x14ac:dyDescent="0.2">
      <c r="A131" t="s">
        <v>172</v>
      </c>
      <c r="B131" t="s">
        <v>269</v>
      </c>
      <c r="C131">
        <v>1.6018626309662398</v>
      </c>
      <c r="D131">
        <f t="shared" si="38"/>
        <v>1.2814901047729919</v>
      </c>
      <c r="E131">
        <f t="shared" si="41"/>
        <v>1.9222351571594878</v>
      </c>
      <c r="F131">
        <f t="shared" si="42"/>
        <v>0.16345537050675918</v>
      </c>
      <c r="G131" t="s">
        <v>289</v>
      </c>
    </row>
    <row r="132" spans="1:9" x14ac:dyDescent="0.2">
      <c r="A132" t="s">
        <v>173</v>
      </c>
      <c r="B132" t="s">
        <v>270</v>
      </c>
      <c r="C132">
        <v>0.1</v>
      </c>
      <c r="D132">
        <f t="shared" si="38"/>
        <v>8.0000000000000016E-2</v>
      </c>
      <c r="E132">
        <f t="shared" si="41"/>
        <v>0.12</v>
      </c>
      <c r="F132">
        <f>(E132-D132)/3.92</f>
        <v>1.0204081632653057E-2</v>
      </c>
      <c r="G132" t="s">
        <v>288</v>
      </c>
      <c r="H132">
        <f t="shared" ref="H132" si="43">C132*((C132*(1-C132)/F132^2)-1)</f>
        <v>86.336000000000084</v>
      </c>
      <c r="I132">
        <f t="shared" ref="I132" si="44">(H132/C132)-H132</f>
        <v>777.02400000000068</v>
      </c>
    </row>
    <row r="134" spans="1:9" x14ac:dyDescent="0.2">
      <c r="A134" t="s">
        <v>174</v>
      </c>
    </row>
    <row r="135" spans="1:9" x14ac:dyDescent="0.2">
      <c r="A135" t="s">
        <v>175</v>
      </c>
      <c r="B135" t="s">
        <v>261</v>
      </c>
      <c r="C135">
        <v>1</v>
      </c>
      <c r="G135" t="s">
        <v>305</v>
      </c>
    </row>
    <row r="136" spans="1:9" x14ac:dyDescent="0.2">
      <c r="A136" t="s">
        <v>176</v>
      </c>
      <c r="B136" t="s">
        <v>262</v>
      </c>
      <c r="C136">
        <v>1</v>
      </c>
      <c r="G136" t="s">
        <v>305</v>
      </c>
    </row>
    <row r="137" spans="1:9" x14ac:dyDescent="0.2">
      <c r="A137" t="s">
        <v>177</v>
      </c>
      <c r="B137" t="s">
        <v>263</v>
      </c>
      <c r="C137">
        <v>1</v>
      </c>
      <c r="G137" t="s">
        <v>305</v>
      </c>
    </row>
    <row r="138" spans="1:9" x14ac:dyDescent="0.2">
      <c r="A138" t="s">
        <v>178</v>
      </c>
      <c r="B138" t="s">
        <v>264</v>
      </c>
      <c r="C138">
        <v>1</v>
      </c>
      <c r="G138" t="s">
        <v>305</v>
      </c>
    </row>
    <row r="139" spans="1:9" x14ac:dyDescent="0.2">
      <c r="A139" t="s">
        <v>179</v>
      </c>
      <c r="B139" t="s">
        <v>260</v>
      </c>
      <c r="C139">
        <v>1</v>
      </c>
      <c r="G139" t="s">
        <v>305</v>
      </c>
    </row>
    <row r="141" spans="1:9" x14ac:dyDescent="0.2">
      <c r="A141" t="s">
        <v>180</v>
      </c>
    </row>
    <row r="142" spans="1:9" x14ac:dyDescent="0.2">
      <c r="A142" t="s">
        <v>181</v>
      </c>
      <c r="B142" t="s">
        <v>258</v>
      </c>
      <c r="C142">
        <v>8.4638044865949293</v>
      </c>
      <c r="D142">
        <f t="shared" ref="D142:D143" si="45">80%*C142</f>
        <v>6.7710435892759442</v>
      </c>
      <c r="E142">
        <f t="shared" ref="E142:E143" si="46">120%*C142</f>
        <v>10.156565383913915</v>
      </c>
      <c r="F142">
        <f t="shared" ref="F142:F143" si="47">(E142-D142)/3.92</f>
        <v>0.86365351904029852</v>
      </c>
      <c r="G142" t="s">
        <v>289</v>
      </c>
    </row>
    <row r="143" spans="1:9" x14ac:dyDescent="0.2">
      <c r="A143" t="s">
        <v>182</v>
      </c>
      <c r="B143" t="s">
        <v>259</v>
      </c>
      <c r="C143">
        <v>2.4925186941455406</v>
      </c>
      <c r="D143">
        <f t="shared" si="45"/>
        <v>1.9940149553164326</v>
      </c>
      <c r="E143">
        <f t="shared" si="46"/>
        <v>2.9910224329746486</v>
      </c>
      <c r="F143">
        <f t="shared" si="47"/>
        <v>0.254338642259749</v>
      </c>
      <c r="G143" t="s">
        <v>289</v>
      </c>
    </row>
    <row r="145" spans="1:9" x14ac:dyDescent="0.2">
      <c r="A145" t="s">
        <v>183</v>
      </c>
    </row>
    <row r="146" spans="1:9" x14ac:dyDescent="0.2">
      <c r="A146" t="s">
        <v>184</v>
      </c>
      <c r="B146" t="s">
        <v>257</v>
      </c>
      <c r="C146">
        <v>2</v>
      </c>
      <c r="D146">
        <f t="shared" ref="D146" si="48">80%*C146</f>
        <v>1.6</v>
      </c>
      <c r="E146">
        <f t="shared" ref="E146" si="49">120%*C146</f>
        <v>2.4</v>
      </c>
      <c r="F146">
        <f t="shared" ref="F146" si="50">(E146-D146)/3.92</f>
        <v>0.20408163265306117</v>
      </c>
      <c r="G146" t="s">
        <v>289</v>
      </c>
    </row>
    <row r="148" spans="1:9" x14ac:dyDescent="0.2">
      <c r="A148" t="s">
        <v>185</v>
      </c>
    </row>
    <row r="149" spans="1:9" x14ac:dyDescent="0.2">
      <c r="A149" t="s">
        <v>186</v>
      </c>
      <c r="B149" t="s">
        <v>256</v>
      </c>
      <c r="C149">
        <v>547</v>
      </c>
      <c r="D149">
        <f t="shared" ref="D149" si="51">80%*C149</f>
        <v>437.6</v>
      </c>
      <c r="E149">
        <f t="shared" ref="E149" si="52">120%*C149</f>
        <v>656.4</v>
      </c>
      <c r="F149">
        <f t="shared" ref="F149" si="53">(E149-D149)/3.92</f>
        <v>55.816326530612237</v>
      </c>
      <c r="G149" t="s">
        <v>289</v>
      </c>
    </row>
    <row r="151" spans="1:9" x14ac:dyDescent="0.2">
      <c r="A151" t="s">
        <v>187</v>
      </c>
    </row>
    <row r="152" spans="1:9" x14ac:dyDescent="0.2">
      <c r="A152" t="s">
        <v>188</v>
      </c>
      <c r="B152" t="s">
        <v>48</v>
      </c>
      <c r="C152">
        <v>60</v>
      </c>
      <c r="D152">
        <f t="shared" ref="D152:D153" si="54">80%*C152</f>
        <v>48</v>
      </c>
      <c r="E152">
        <f t="shared" ref="E152:E153" si="55">120%*C152</f>
        <v>72</v>
      </c>
      <c r="F152">
        <f t="shared" ref="F152:F153" si="56">(E152-D152)/3.92</f>
        <v>6.1224489795918364</v>
      </c>
      <c r="G152" t="s">
        <v>289</v>
      </c>
    </row>
    <row r="153" spans="1:9" x14ac:dyDescent="0.2">
      <c r="A153" t="s">
        <v>189</v>
      </c>
      <c r="B153" t="s">
        <v>251</v>
      </c>
      <c r="C153">
        <v>1</v>
      </c>
      <c r="D153">
        <f t="shared" si="54"/>
        <v>0.8</v>
      </c>
      <c r="E153">
        <f t="shared" si="55"/>
        <v>1.2</v>
      </c>
      <c r="F153">
        <f t="shared" si="56"/>
        <v>0.10204081632653059</v>
      </c>
      <c r="G153" t="s">
        <v>289</v>
      </c>
    </row>
    <row r="154" spans="1:9" x14ac:dyDescent="0.2">
      <c r="A154" t="s">
        <v>190</v>
      </c>
      <c r="B154" t="s">
        <v>252</v>
      </c>
      <c r="C154">
        <v>2577</v>
      </c>
      <c r="G154" t="s">
        <v>305</v>
      </c>
    </row>
    <row r="155" spans="1:9" x14ac:dyDescent="0.2">
      <c r="A155" t="s">
        <v>191</v>
      </c>
      <c r="B155" t="s">
        <v>253</v>
      </c>
      <c r="C155">
        <v>0.4</v>
      </c>
      <c r="D155">
        <f t="shared" ref="D155:D161" si="57">80%*C155</f>
        <v>0.32000000000000006</v>
      </c>
      <c r="E155">
        <f t="shared" ref="E155:E157" si="58">120%*C155</f>
        <v>0.48</v>
      </c>
      <c r="F155">
        <f>(E155-D155)/3.92</f>
        <v>4.0816326530612228E-2</v>
      </c>
      <c r="G155" t="s">
        <v>288</v>
      </c>
      <c r="H155">
        <f t="shared" ref="H155:H156" si="59">C155*((C155*(1-C155)/F155^2)-1)</f>
        <v>57.224000000000046</v>
      </c>
      <c r="I155">
        <f t="shared" ref="I155:I156" si="60">(H155/C155)-H155</f>
        <v>85.83600000000007</v>
      </c>
    </row>
    <row r="156" spans="1:9" x14ac:dyDescent="0.2">
      <c r="A156" t="s">
        <v>192</v>
      </c>
      <c r="B156" t="s">
        <v>254</v>
      </c>
      <c r="C156">
        <v>0.3</v>
      </c>
      <c r="D156">
        <f t="shared" si="57"/>
        <v>0.24</v>
      </c>
      <c r="E156">
        <f t="shared" si="58"/>
        <v>0.36</v>
      </c>
      <c r="F156">
        <f>(E156-D156)/3.92</f>
        <v>3.0612244897959183E-2</v>
      </c>
      <c r="G156" t="s">
        <v>288</v>
      </c>
      <c r="H156">
        <f t="shared" si="59"/>
        <v>66.927999999999997</v>
      </c>
      <c r="I156">
        <f t="shared" si="60"/>
        <v>156.16533333333334</v>
      </c>
    </row>
    <row r="157" spans="1:9" x14ac:dyDescent="0.2">
      <c r="A157" t="s">
        <v>193</v>
      </c>
      <c r="B157" t="s">
        <v>255</v>
      </c>
      <c r="C157">
        <v>1</v>
      </c>
      <c r="D157">
        <f t="shared" si="57"/>
        <v>0.8</v>
      </c>
      <c r="E157">
        <f t="shared" si="58"/>
        <v>1.2</v>
      </c>
      <c r="F157">
        <f t="shared" ref="F157" si="61">(E157-D157)/3.92</f>
        <v>0.10204081632653059</v>
      </c>
      <c r="G157" t="s">
        <v>289</v>
      </c>
    </row>
    <row r="158" spans="1:9" x14ac:dyDescent="0.2">
      <c r="A158" t="s">
        <v>49</v>
      </c>
      <c r="B158" t="s">
        <v>49</v>
      </c>
      <c r="C158">
        <v>7</v>
      </c>
      <c r="G158" t="s">
        <v>305</v>
      </c>
    </row>
    <row r="159" spans="1:9" x14ac:dyDescent="0.2">
      <c r="A159" t="s">
        <v>194</v>
      </c>
      <c r="B159" t="s">
        <v>50</v>
      </c>
      <c r="C159">
        <v>6.8483822501552705E-4</v>
      </c>
      <c r="D159">
        <f>50%*C159</f>
        <v>3.4241911250776352E-4</v>
      </c>
      <c r="E159">
        <f>150%*C159</f>
        <v>1.0272573375232905E-3</v>
      </c>
      <c r="F159">
        <f>(E159-D159)/3.92</f>
        <v>1.7470362883049157E-4</v>
      </c>
      <c r="G159" t="s">
        <v>288</v>
      </c>
      <c r="H159">
        <f t="shared" ref="H159:H160" si="62">C159*((C159*(1-C159)/F159^2)-1)</f>
        <v>15.355191663674111</v>
      </c>
      <c r="I159">
        <f t="shared" ref="I159:I160" si="63">(H159/C159)-H159</f>
        <v>22406.278272686199</v>
      </c>
    </row>
    <row r="160" spans="1:9" x14ac:dyDescent="0.2">
      <c r="A160" t="s">
        <v>195</v>
      </c>
      <c r="B160" t="s">
        <v>51</v>
      </c>
      <c r="C160">
        <v>0.70599999999999996</v>
      </c>
      <c r="D160">
        <f t="shared" si="57"/>
        <v>0.56479999999999997</v>
      </c>
      <c r="E160">
        <f t="shared" ref="E160" si="64">120%*C160</f>
        <v>0.84719999999999995</v>
      </c>
      <c r="F160">
        <f>(E160-D160)/3.92</f>
        <v>7.2040816326530616E-2</v>
      </c>
      <c r="G160" t="s">
        <v>288</v>
      </c>
      <c r="H160">
        <f t="shared" si="62"/>
        <v>27.52976</v>
      </c>
      <c r="I160">
        <f t="shared" si="63"/>
        <v>11.464234334277624</v>
      </c>
    </row>
    <row r="161" spans="1:9" x14ac:dyDescent="0.2">
      <c r="A161" t="s">
        <v>196</v>
      </c>
      <c r="B161" t="s">
        <v>52</v>
      </c>
      <c r="C161">
        <v>5.1999999999999998E-2</v>
      </c>
      <c r="D161">
        <f t="shared" si="57"/>
        <v>4.1599999999999998E-2</v>
      </c>
      <c r="E161">
        <f t="shared" ref="E161" si="65">120%*C161</f>
        <v>6.2399999999999997E-2</v>
      </c>
      <c r="F161">
        <f>(E161-D161)/3.92</f>
        <v>5.3061224489795913E-3</v>
      </c>
      <c r="G161" t="s">
        <v>288</v>
      </c>
      <c r="H161">
        <f t="shared" ref="H161" si="66">C161*((C161*(1-C161)/F161^2)-1)</f>
        <v>90.993920000000003</v>
      </c>
      <c r="I161">
        <f t="shared" ref="I161" si="67">(H161/C161)-H161</f>
        <v>1658.8891569230773</v>
      </c>
    </row>
    <row r="162" spans="1:9" x14ac:dyDescent="0.2">
      <c r="A162" t="s">
        <v>197</v>
      </c>
      <c r="B162" t="s">
        <v>283</v>
      </c>
      <c r="C162">
        <v>0.25</v>
      </c>
      <c r="D162">
        <f>50%*C162</f>
        <v>0.125</v>
      </c>
      <c r="E162">
        <f>150%*C162</f>
        <v>0.375</v>
      </c>
      <c r="F162">
        <f t="shared" ref="F162" si="68">(E162-D162)/3.92</f>
        <v>6.3775510204081634E-2</v>
      </c>
      <c r="G162" t="s">
        <v>289</v>
      </c>
    </row>
    <row r="164" spans="1:9" x14ac:dyDescent="0.2">
      <c r="A164" t="s">
        <v>198</v>
      </c>
    </row>
    <row r="165" spans="1:9" x14ac:dyDescent="0.2">
      <c r="A165" t="s">
        <v>199</v>
      </c>
      <c r="B165" t="s">
        <v>53</v>
      </c>
      <c r="C165">
        <f>10/252</f>
        <v>3.968253968253968E-2</v>
      </c>
      <c r="D165">
        <f>C165-1.96*SQRT(C165*(1-C165)/252)</f>
        <v>1.5579992418059765E-2</v>
      </c>
      <c r="E165">
        <f>C165+1.96*SQRT(C165*(1-C165)/252)</f>
        <v>6.3785086947019592E-2</v>
      </c>
      <c r="F165">
        <f>SQRT(C165*(1-C165)/252)</f>
        <v>1.229721799208159E-2</v>
      </c>
      <c r="G165" t="s">
        <v>288</v>
      </c>
      <c r="H165">
        <v>10</v>
      </c>
      <c r="I165">
        <f>252-H165</f>
        <v>242</v>
      </c>
    </row>
    <row r="166" spans="1:9" x14ac:dyDescent="0.2">
      <c r="A166" t="s">
        <v>200</v>
      </c>
      <c r="B166" t="s">
        <v>54</v>
      </c>
      <c r="C166">
        <f>117/252</f>
        <v>0.4642857142857143</v>
      </c>
      <c r="D166">
        <f t="shared" ref="D166:D169" si="69">C166-1.96*SQRT(C166*(1-C166)/252)</f>
        <v>0.40270920361267709</v>
      </c>
      <c r="E166">
        <f t="shared" ref="E166:E169" si="70">C166+1.96*SQRT(C166*(1-C166)/252)</f>
        <v>0.52586222495875157</v>
      </c>
      <c r="F166">
        <f t="shared" ref="F166:F169" si="71">SQRT(C166*(1-C166)/252)</f>
        <v>3.1416587078080219E-2</v>
      </c>
      <c r="G166" t="s">
        <v>288</v>
      </c>
      <c r="H166">
        <v>117</v>
      </c>
      <c r="I166">
        <f t="shared" ref="I166:I169" si="72">252-H166</f>
        <v>135</v>
      </c>
    </row>
    <row r="167" spans="1:9" x14ac:dyDescent="0.2">
      <c r="A167" t="s">
        <v>201</v>
      </c>
      <c r="B167" t="s">
        <v>55</v>
      </c>
      <c r="C167">
        <f>26/252</f>
        <v>0.10317460317460317</v>
      </c>
      <c r="D167">
        <f t="shared" si="69"/>
        <v>6.5617148331841013E-2</v>
      </c>
      <c r="E167">
        <f t="shared" si="70"/>
        <v>0.14073205801736532</v>
      </c>
      <c r="F167">
        <f t="shared" si="71"/>
        <v>1.9161966756511301E-2</v>
      </c>
      <c r="G167" t="s">
        <v>288</v>
      </c>
      <c r="H167">
        <v>26</v>
      </c>
      <c r="I167">
        <f t="shared" si="72"/>
        <v>226</v>
      </c>
    </row>
    <row r="168" spans="1:9" x14ac:dyDescent="0.2">
      <c r="A168" t="s">
        <v>202</v>
      </c>
      <c r="B168" t="s">
        <v>56</v>
      </c>
      <c r="C168">
        <f>12/252</f>
        <v>4.7619047619047616E-2</v>
      </c>
      <c r="D168">
        <f t="shared" si="69"/>
        <v>2.132535969416044E-2</v>
      </c>
      <c r="E168">
        <f t="shared" si="70"/>
        <v>7.3912735543934793E-2</v>
      </c>
      <c r="F168">
        <f t="shared" si="71"/>
        <v>1.3415146900452642E-2</v>
      </c>
      <c r="G168" t="s">
        <v>288</v>
      </c>
      <c r="H168">
        <v>12</v>
      </c>
      <c r="I168">
        <f t="shared" si="72"/>
        <v>240</v>
      </c>
    </row>
    <row r="169" spans="1:9" x14ac:dyDescent="0.2">
      <c r="A169" t="s">
        <v>203</v>
      </c>
      <c r="B169" t="s">
        <v>57</v>
      </c>
      <c r="C169">
        <f>12/252</f>
        <v>4.7619047619047616E-2</v>
      </c>
      <c r="D169">
        <f t="shared" si="69"/>
        <v>2.132535969416044E-2</v>
      </c>
      <c r="E169">
        <f t="shared" si="70"/>
        <v>7.3912735543934793E-2</v>
      </c>
      <c r="F169">
        <f t="shared" si="71"/>
        <v>1.3415146900452642E-2</v>
      </c>
      <c r="G169" t="s">
        <v>288</v>
      </c>
      <c r="H169">
        <v>12</v>
      </c>
      <c r="I169">
        <f t="shared" si="72"/>
        <v>240</v>
      </c>
    </row>
    <row r="171" spans="1:9" x14ac:dyDescent="0.2">
      <c r="A171" t="s">
        <v>204</v>
      </c>
    </row>
    <row r="172" spans="1:9" x14ac:dyDescent="0.2">
      <c r="A172" t="s">
        <v>205</v>
      </c>
      <c r="B172" t="s">
        <v>58</v>
      </c>
      <c r="C172">
        <v>1.4999999999999999E-2</v>
      </c>
      <c r="D172">
        <v>1.2E-2</v>
      </c>
      <c r="E172">
        <v>1.7999999999999999E-2</v>
      </c>
      <c r="F172">
        <f t="shared" ref="F172:F177" si="73">(E172-D172)/3.92</f>
        <v>1.5306122448979589E-3</v>
      </c>
      <c r="G172" t="s">
        <v>288</v>
      </c>
      <c r="H172">
        <f t="shared" ref="H172" si="74">C172*((C172*(1-C172)/F172^2)-1)</f>
        <v>94.584400000000031</v>
      </c>
      <c r="I172">
        <f t="shared" ref="I172" si="75">(H172/C172)-H172</f>
        <v>6211.0422666666691</v>
      </c>
    </row>
    <row r="173" spans="1:9" x14ac:dyDescent="0.2">
      <c r="A173" t="s">
        <v>206</v>
      </c>
      <c r="B173" t="s">
        <v>59</v>
      </c>
      <c r="C173">
        <v>2.3E-2</v>
      </c>
      <c r="D173">
        <v>1.2E-2</v>
      </c>
      <c r="E173">
        <v>3.9E-2</v>
      </c>
      <c r="F173">
        <f t="shared" si="73"/>
        <v>6.8877551020408165E-3</v>
      </c>
      <c r="G173" t="s">
        <v>288</v>
      </c>
      <c r="H173">
        <f t="shared" ref="H173:H177" si="76">C173*((C173*(1-C173)/F173^2)-1)</f>
        <v>10.871187395336074</v>
      </c>
      <c r="I173">
        <f t="shared" ref="I173:I177" si="77">(H173/C173)-H173</f>
        <v>461.78913414101498</v>
      </c>
    </row>
    <row r="174" spans="1:9" x14ac:dyDescent="0.2">
      <c r="A174" t="s">
        <v>207</v>
      </c>
      <c r="B174" t="s">
        <v>60</v>
      </c>
      <c r="C174">
        <v>9.9000000000000005E-2</v>
      </c>
      <c r="D174">
        <v>6.6000000000000003E-2</v>
      </c>
      <c r="E174">
        <v>0.14499999999999999</v>
      </c>
      <c r="F174">
        <f t="shared" si="73"/>
        <v>2.0153061224489791E-2</v>
      </c>
      <c r="G174" t="s">
        <v>288</v>
      </c>
      <c r="H174">
        <f t="shared" si="76"/>
        <v>21.64368287876944</v>
      </c>
      <c r="I174">
        <f t="shared" si="77"/>
        <v>196.97937650274002</v>
      </c>
    </row>
    <row r="175" spans="1:9" x14ac:dyDescent="0.2">
      <c r="A175" t="s">
        <v>208</v>
      </c>
      <c r="B175" t="s">
        <v>61</v>
      </c>
      <c r="C175">
        <v>1.9E-2</v>
      </c>
      <c r="D175">
        <v>0.01</v>
      </c>
      <c r="E175">
        <v>3.4000000000000002E-2</v>
      </c>
      <c r="F175">
        <f t="shared" si="73"/>
        <v>6.1224489795918373E-3</v>
      </c>
      <c r="G175" t="s">
        <v>288</v>
      </c>
      <c r="H175">
        <f t="shared" si="76"/>
        <v>9.4286948999999982</v>
      </c>
      <c r="I175">
        <f t="shared" si="77"/>
        <v>486.81840509999995</v>
      </c>
    </row>
    <row r="176" spans="1:9" x14ac:dyDescent="0.2">
      <c r="A176" t="s">
        <v>209</v>
      </c>
      <c r="B176" t="s">
        <v>62</v>
      </c>
      <c r="C176">
        <v>0.105</v>
      </c>
      <c r="D176">
        <v>6.9000000000000006E-2</v>
      </c>
      <c r="E176">
        <v>0.154</v>
      </c>
      <c r="F176">
        <f t="shared" si="73"/>
        <v>2.1683673469387755E-2</v>
      </c>
      <c r="G176" t="s">
        <v>288</v>
      </c>
      <c r="H176">
        <f t="shared" si="76"/>
        <v>20.881301896193772</v>
      </c>
      <c r="I176">
        <f t="shared" si="77"/>
        <v>177.98823997231835</v>
      </c>
    </row>
    <row r="177" spans="1:9" x14ac:dyDescent="0.2">
      <c r="A177" t="s">
        <v>210</v>
      </c>
      <c r="B177" t="s">
        <v>63</v>
      </c>
      <c r="C177">
        <v>6.6000000000000003E-2</v>
      </c>
      <c r="D177">
        <v>4.2999999999999997E-2</v>
      </c>
      <c r="E177">
        <v>9.5000000000000001E-2</v>
      </c>
      <c r="F177">
        <f t="shared" si="73"/>
        <v>1.3265306122448981E-2</v>
      </c>
      <c r="G177" t="s">
        <v>288</v>
      </c>
      <c r="H177">
        <f t="shared" si="76"/>
        <v>23.054658234319522</v>
      </c>
      <c r="I177">
        <f t="shared" si="77"/>
        <v>326.25834531597627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FE4FCB-ED6A-074C-ADD6-890E4C061B69}">
  <dimension ref="A1:B34"/>
  <sheetViews>
    <sheetView workbookViewId="0">
      <selection activeCell="B1" sqref="B1"/>
    </sheetView>
  </sheetViews>
  <sheetFormatPr baseColWidth="10" defaultRowHeight="16" x14ac:dyDescent="0.2"/>
  <sheetData>
    <row r="1" spans="1:2" x14ac:dyDescent="0.2">
      <c r="A1" t="s">
        <v>306</v>
      </c>
      <c r="B1" t="s">
        <v>307</v>
      </c>
    </row>
    <row r="2" spans="1:2" x14ac:dyDescent="0.2">
      <c r="A2">
        <v>1980</v>
      </c>
      <c r="B2">
        <v>0.05</v>
      </c>
    </row>
    <row r="3" spans="1:2" x14ac:dyDescent="0.2">
      <c r="A3">
        <v>1981</v>
      </c>
      <c r="B3">
        <v>0.1</v>
      </c>
    </row>
    <row r="4" spans="1:2" x14ac:dyDescent="0.2">
      <c r="A4">
        <v>1982</v>
      </c>
      <c r="B4">
        <v>0.14000000000000001</v>
      </c>
    </row>
    <row r="5" spans="1:2" x14ac:dyDescent="0.2">
      <c r="A5">
        <v>1983</v>
      </c>
      <c r="B5">
        <v>0.18</v>
      </c>
    </row>
    <row r="6" spans="1:2" x14ac:dyDescent="0.2">
      <c r="A6">
        <v>1984</v>
      </c>
      <c r="B6">
        <v>0.25</v>
      </c>
    </row>
    <row r="7" spans="1:2" x14ac:dyDescent="0.2">
      <c r="A7">
        <v>1985</v>
      </c>
      <c r="B7">
        <v>0.65</v>
      </c>
    </row>
    <row r="8" spans="1:2" x14ac:dyDescent="0.2">
      <c r="A8">
        <v>1986</v>
      </c>
      <c r="B8">
        <v>1.69</v>
      </c>
    </row>
    <row r="9" spans="1:2" x14ac:dyDescent="0.2">
      <c r="A9">
        <v>1987</v>
      </c>
      <c r="B9">
        <v>5.07</v>
      </c>
    </row>
    <row r="10" spans="1:2" x14ac:dyDescent="0.2">
      <c r="A10">
        <v>1988</v>
      </c>
      <c r="B10">
        <v>15.01</v>
      </c>
    </row>
    <row r="11" spans="1:2" x14ac:dyDescent="0.2">
      <c r="A11">
        <v>1989</v>
      </c>
      <c r="B11">
        <v>24.23</v>
      </c>
    </row>
    <row r="12" spans="1:2" x14ac:dyDescent="0.2">
      <c r="A12">
        <v>1990</v>
      </c>
      <c r="B12">
        <v>32.25</v>
      </c>
    </row>
    <row r="13" spans="1:2" x14ac:dyDescent="0.2">
      <c r="A13">
        <v>1991</v>
      </c>
      <c r="B13">
        <v>41.31</v>
      </c>
    </row>
    <row r="14" spans="1:2" x14ac:dyDescent="0.2">
      <c r="A14">
        <v>1992</v>
      </c>
      <c r="B14">
        <v>54.04</v>
      </c>
    </row>
    <row r="15" spans="1:2" x14ac:dyDescent="0.2">
      <c r="A15">
        <v>1993</v>
      </c>
      <c r="B15">
        <v>54.13</v>
      </c>
    </row>
    <row r="16" spans="1:2" x14ac:dyDescent="0.2">
      <c r="A16">
        <v>1994</v>
      </c>
      <c r="B16">
        <v>59.56</v>
      </c>
    </row>
    <row r="17" spans="1:2" x14ac:dyDescent="0.2">
      <c r="A17">
        <v>1995</v>
      </c>
      <c r="B17">
        <v>63.47</v>
      </c>
    </row>
    <row r="18" spans="1:2" x14ac:dyDescent="0.2">
      <c r="A18">
        <v>1996</v>
      </c>
      <c r="B18">
        <v>68.03</v>
      </c>
    </row>
    <row r="19" spans="1:2" x14ac:dyDescent="0.2">
      <c r="A19">
        <v>1997</v>
      </c>
      <c r="B19">
        <v>73.59</v>
      </c>
    </row>
    <row r="20" spans="1:2" x14ac:dyDescent="0.2">
      <c r="A20">
        <v>1998</v>
      </c>
      <c r="B20">
        <v>73.64</v>
      </c>
    </row>
    <row r="21" spans="1:2" x14ac:dyDescent="0.2">
      <c r="A21">
        <v>1999</v>
      </c>
      <c r="B21">
        <v>77.89</v>
      </c>
    </row>
    <row r="22" spans="1:2" x14ac:dyDescent="0.2">
      <c r="A22">
        <v>2000</v>
      </c>
      <c r="B22">
        <v>80.53</v>
      </c>
    </row>
    <row r="23" spans="1:2" x14ac:dyDescent="0.2">
      <c r="A23">
        <v>2001</v>
      </c>
      <c r="B23">
        <v>82.04</v>
      </c>
    </row>
    <row r="24" spans="1:2" x14ac:dyDescent="0.2">
      <c r="A24">
        <v>2002</v>
      </c>
      <c r="B24">
        <v>81.8</v>
      </c>
    </row>
    <row r="25" spans="1:2" x14ac:dyDescent="0.2">
      <c r="A25">
        <v>2003</v>
      </c>
      <c r="B25">
        <v>88.9</v>
      </c>
    </row>
    <row r="26" spans="1:2" x14ac:dyDescent="0.2">
      <c r="A26">
        <v>2004</v>
      </c>
      <c r="B26">
        <v>92.21</v>
      </c>
    </row>
    <row r="27" spans="1:2" x14ac:dyDescent="0.2">
      <c r="A27">
        <v>2005</v>
      </c>
      <c r="B27">
        <v>100</v>
      </c>
    </row>
    <row r="28" spans="1:2" x14ac:dyDescent="0.2">
      <c r="A28">
        <v>2006</v>
      </c>
      <c r="B28">
        <v>107.31</v>
      </c>
    </row>
    <row r="29" spans="1:2" x14ac:dyDescent="0.2">
      <c r="A29">
        <v>2007</v>
      </c>
      <c r="B29">
        <v>113.9</v>
      </c>
    </row>
    <row r="30" spans="1:2" x14ac:dyDescent="0.2">
      <c r="A30">
        <v>2008</v>
      </c>
      <c r="B30">
        <v>127.62</v>
      </c>
    </row>
    <row r="31" spans="1:2" x14ac:dyDescent="0.2">
      <c r="A31">
        <v>2009</v>
      </c>
      <c r="B31">
        <v>144.24</v>
      </c>
    </row>
    <row r="32" spans="1:2" x14ac:dyDescent="0.2">
      <c r="A32">
        <v>2010</v>
      </c>
      <c r="B32">
        <v>149.97</v>
      </c>
    </row>
    <row r="33" spans="1:2" x14ac:dyDescent="0.2">
      <c r="A33">
        <v>2011</v>
      </c>
      <c r="B33">
        <v>178.01</v>
      </c>
    </row>
    <row r="34" spans="1:2" x14ac:dyDescent="0.2">
      <c r="A34">
        <v>2012</v>
      </c>
      <c r="B34">
        <v>196.46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02AF2-A862-1547-BFB9-AE71E44A0248}">
  <dimension ref="A1:C19"/>
  <sheetViews>
    <sheetView tabSelected="1" workbookViewId="0">
      <selection activeCell="D13" sqref="D13"/>
    </sheetView>
  </sheetViews>
  <sheetFormatPr baseColWidth="10" defaultRowHeight="16" x14ac:dyDescent="0.2"/>
  <sheetData>
    <row r="1" spans="1:3" x14ac:dyDescent="0.2">
      <c r="A1" t="s">
        <v>308</v>
      </c>
      <c r="B1" t="s">
        <v>309</v>
      </c>
      <c r="C1" t="s">
        <v>310</v>
      </c>
    </row>
    <row r="2" spans="1:3" x14ac:dyDescent="0.2">
      <c r="A2">
        <v>1</v>
      </c>
      <c r="B2">
        <v>15</v>
      </c>
      <c r="C2">
        <v>1.6539999999999999E-2</v>
      </c>
    </row>
    <row r="3" spans="1:3" x14ac:dyDescent="0.2">
      <c r="A3">
        <v>2</v>
      </c>
      <c r="B3">
        <v>20</v>
      </c>
      <c r="C3">
        <v>2.436E-2</v>
      </c>
    </row>
    <row r="4" spans="1:3" x14ac:dyDescent="0.2">
      <c r="A4">
        <v>3</v>
      </c>
      <c r="B4">
        <v>25</v>
      </c>
      <c r="C4">
        <v>3.422E-2</v>
      </c>
    </row>
    <row r="5" spans="1:3" x14ac:dyDescent="0.2">
      <c r="A5">
        <v>4</v>
      </c>
      <c r="B5">
        <v>30</v>
      </c>
      <c r="C5">
        <v>4.2259999999999999E-2</v>
      </c>
    </row>
    <row r="6" spans="1:3" x14ac:dyDescent="0.2">
      <c r="A6">
        <v>5</v>
      </c>
      <c r="B6">
        <v>35</v>
      </c>
      <c r="C6">
        <v>5.4550000000000001E-2</v>
      </c>
    </row>
    <row r="7" spans="1:3" x14ac:dyDescent="0.2">
      <c r="A7">
        <v>6</v>
      </c>
      <c r="B7">
        <v>40</v>
      </c>
      <c r="C7">
        <v>6.2939999999999996E-2</v>
      </c>
    </row>
    <row r="8" spans="1:3" x14ac:dyDescent="0.2">
      <c r="A8">
        <v>7</v>
      </c>
      <c r="B8">
        <v>45</v>
      </c>
      <c r="C8">
        <v>7.4880000000000002E-2</v>
      </c>
    </row>
    <row r="9" spans="1:3" x14ac:dyDescent="0.2">
      <c r="A9">
        <v>8</v>
      </c>
      <c r="B9">
        <v>50</v>
      </c>
      <c r="C9">
        <v>7.2340000000000002E-2</v>
      </c>
    </row>
    <row r="10" spans="1:3" x14ac:dyDescent="0.2">
      <c r="A10">
        <v>9</v>
      </c>
      <c r="B10">
        <v>55</v>
      </c>
      <c r="C10">
        <v>8.9120000000000005E-2</v>
      </c>
    </row>
    <row r="11" spans="1:3" x14ac:dyDescent="0.2">
      <c r="A11">
        <v>10</v>
      </c>
      <c r="B11">
        <v>60</v>
      </c>
      <c r="C11">
        <v>0.11197</v>
      </c>
    </row>
    <row r="12" spans="1:3" x14ac:dyDescent="0.2">
      <c r="A12">
        <v>11</v>
      </c>
      <c r="B12">
        <v>65</v>
      </c>
      <c r="C12">
        <v>0.15825</v>
      </c>
    </row>
    <row r="13" spans="1:3" x14ac:dyDescent="0.2">
      <c r="A13">
        <v>12</v>
      </c>
      <c r="B13">
        <v>70</v>
      </c>
      <c r="C13">
        <v>0.25335999999999997</v>
      </c>
    </row>
    <row r="14" spans="1:3" x14ac:dyDescent="0.2">
      <c r="A14">
        <v>13</v>
      </c>
      <c r="B14">
        <v>75</v>
      </c>
      <c r="C14">
        <v>0.34984999999999999</v>
      </c>
    </row>
    <row r="15" spans="1:3" x14ac:dyDescent="0.2">
      <c r="A15">
        <v>14</v>
      </c>
      <c r="B15">
        <v>80</v>
      </c>
      <c r="C15">
        <v>0.49908999999999998</v>
      </c>
    </row>
    <row r="16" spans="1:3" x14ac:dyDescent="0.2">
      <c r="A16">
        <v>15</v>
      </c>
      <c r="B16">
        <v>85</v>
      </c>
      <c r="C16">
        <v>0.66944999999999999</v>
      </c>
    </row>
    <row r="17" spans="1:3" x14ac:dyDescent="0.2">
      <c r="A17">
        <v>16</v>
      </c>
      <c r="B17">
        <v>90</v>
      </c>
      <c r="C17">
        <v>0.78085000000000004</v>
      </c>
    </row>
    <row r="18" spans="1:3" x14ac:dyDescent="0.2">
      <c r="A18">
        <v>17</v>
      </c>
      <c r="B18">
        <v>95</v>
      </c>
      <c r="C18">
        <v>0.84521999999999997</v>
      </c>
    </row>
    <row r="19" spans="1:3" x14ac:dyDescent="0.2">
      <c r="A19">
        <v>18</v>
      </c>
      <c r="B19">
        <v>100</v>
      </c>
      <c r="C19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8D194-654A-AF42-8DBF-DDF309FAC51F}">
  <dimension ref="A1:C7"/>
  <sheetViews>
    <sheetView workbookViewId="0">
      <selection activeCell="A2" sqref="A2:A7"/>
    </sheetView>
  </sheetViews>
  <sheetFormatPr baseColWidth="10" defaultRowHeight="16" x14ac:dyDescent="0.2"/>
  <sheetData>
    <row r="1" spans="1:3" x14ac:dyDescent="0.2">
      <c r="A1" t="s">
        <v>308</v>
      </c>
      <c r="B1" t="s">
        <v>309</v>
      </c>
      <c r="C1" t="s">
        <v>310</v>
      </c>
    </row>
    <row r="2" spans="1:3" x14ac:dyDescent="0.2">
      <c r="A2">
        <v>1</v>
      </c>
      <c r="B2">
        <v>15</v>
      </c>
      <c r="C2">
        <v>2.4003434803557787E-3</v>
      </c>
    </row>
    <row r="3" spans="1:3" x14ac:dyDescent="0.2">
      <c r="A3">
        <v>2</v>
      </c>
      <c r="B3">
        <v>30</v>
      </c>
      <c r="C3">
        <v>6.4671828251178431E-3</v>
      </c>
    </row>
    <row r="4" spans="1:3" x14ac:dyDescent="0.2">
      <c r="A4">
        <v>3</v>
      </c>
      <c r="B4">
        <v>45</v>
      </c>
      <c r="C4">
        <v>1.1388422591680103E-2</v>
      </c>
    </row>
    <row r="5" spans="1:3" x14ac:dyDescent="0.2">
      <c r="A5">
        <v>4</v>
      </c>
      <c r="B5">
        <v>60</v>
      </c>
      <c r="C5">
        <v>1.7324062509587991E-2</v>
      </c>
    </row>
    <row r="6" spans="1:3" x14ac:dyDescent="0.2">
      <c r="A6">
        <v>5</v>
      </c>
      <c r="B6">
        <v>70</v>
      </c>
      <c r="C6">
        <v>4.8367593421477117E-2</v>
      </c>
    </row>
    <row r="7" spans="1:3" x14ac:dyDescent="0.2">
      <c r="A7">
        <v>6</v>
      </c>
      <c r="B7">
        <v>80</v>
      </c>
      <c r="C7">
        <v>5.1242471390107465E-2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02678-D4C4-C441-83AD-AFBD1C9D7170}">
  <dimension ref="A1:C19"/>
  <sheetViews>
    <sheetView workbookViewId="0">
      <selection activeCell="B2" sqref="B2"/>
    </sheetView>
  </sheetViews>
  <sheetFormatPr baseColWidth="10" defaultRowHeight="16" x14ac:dyDescent="0.2"/>
  <sheetData>
    <row r="1" spans="1:3" x14ac:dyDescent="0.2">
      <c r="A1" t="s">
        <v>308</v>
      </c>
      <c r="B1" s="3" t="s">
        <v>309</v>
      </c>
      <c r="C1" s="3" t="s">
        <v>311</v>
      </c>
    </row>
    <row r="2" spans="1:3" x14ac:dyDescent="0.2">
      <c r="A2">
        <v>1</v>
      </c>
      <c r="B2" s="3">
        <v>15</v>
      </c>
      <c r="C2" s="3">
        <v>44.296425169999999</v>
      </c>
    </row>
    <row r="3" spans="1:3" x14ac:dyDescent="0.2">
      <c r="A3">
        <v>2</v>
      </c>
      <c r="B3" s="3">
        <v>20</v>
      </c>
      <c r="C3" s="3">
        <v>43.130520330000003</v>
      </c>
    </row>
    <row r="4" spans="1:3" x14ac:dyDescent="0.2">
      <c r="A4">
        <v>3</v>
      </c>
      <c r="B4" s="3">
        <v>25</v>
      </c>
      <c r="C4" s="3">
        <v>39.144992340000002</v>
      </c>
    </row>
    <row r="5" spans="1:3" x14ac:dyDescent="0.2">
      <c r="A5">
        <v>4</v>
      </c>
      <c r="B5" s="3">
        <v>30</v>
      </c>
      <c r="C5" s="3">
        <v>35.443416040000002</v>
      </c>
    </row>
    <row r="6" spans="1:3" x14ac:dyDescent="0.2">
      <c r="A6">
        <v>5</v>
      </c>
      <c r="B6" s="3">
        <v>35</v>
      </c>
      <c r="C6" s="3">
        <v>32.120934640000002</v>
      </c>
    </row>
    <row r="7" spans="1:3" x14ac:dyDescent="0.2">
      <c r="A7">
        <v>6</v>
      </c>
      <c r="B7" s="3">
        <v>40</v>
      </c>
      <c r="C7" s="3">
        <v>28.82998534</v>
      </c>
    </row>
    <row r="8" spans="1:3" x14ac:dyDescent="0.2">
      <c r="A8">
        <v>7</v>
      </c>
      <c r="B8" s="3">
        <v>45</v>
      </c>
      <c r="C8" s="3">
        <v>25.59850526</v>
      </c>
    </row>
    <row r="9" spans="1:3" x14ac:dyDescent="0.2">
      <c r="A9">
        <v>8</v>
      </c>
      <c r="B9" s="3">
        <v>50</v>
      </c>
      <c r="C9" s="3">
        <v>22.75574099</v>
      </c>
    </row>
    <row r="10" spans="1:3" x14ac:dyDescent="0.2">
      <c r="A10">
        <v>9</v>
      </c>
      <c r="B10" s="3">
        <v>55</v>
      </c>
      <c r="C10" s="3">
        <v>19.335307100000001</v>
      </c>
    </row>
    <row r="11" spans="1:3" x14ac:dyDescent="0.2">
      <c r="A11">
        <v>10</v>
      </c>
      <c r="B11" s="3">
        <v>60</v>
      </c>
      <c r="C11" s="3">
        <v>15.98246432</v>
      </c>
    </row>
    <row r="12" spans="1:3" x14ac:dyDescent="0.2">
      <c r="A12">
        <v>11</v>
      </c>
      <c r="B12" s="3">
        <v>65</v>
      </c>
      <c r="C12" s="3">
        <v>12.95010091</v>
      </c>
    </row>
    <row r="13" spans="1:3" x14ac:dyDescent="0.2">
      <c r="A13">
        <v>12</v>
      </c>
      <c r="B13" s="3">
        <v>70</v>
      </c>
      <c r="C13" s="3">
        <v>9.9147322970000005</v>
      </c>
    </row>
    <row r="14" spans="1:3" x14ac:dyDescent="0.2">
      <c r="A14">
        <v>13</v>
      </c>
      <c r="B14" s="3">
        <v>75</v>
      </c>
      <c r="C14" s="3">
        <v>7.9355417529999999</v>
      </c>
    </row>
    <row r="15" spans="1:3" x14ac:dyDescent="0.2">
      <c r="A15">
        <v>14</v>
      </c>
      <c r="B15" s="3">
        <v>80</v>
      </c>
      <c r="C15" s="3">
        <v>5.8604425940000002</v>
      </c>
    </row>
    <row r="16" spans="1:3" x14ac:dyDescent="0.2">
      <c r="A16">
        <v>15</v>
      </c>
      <c r="B16" s="3">
        <v>85</v>
      </c>
      <c r="C16" s="3">
        <v>4.5710115040000003</v>
      </c>
    </row>
    <row r="17" spans="1:3" x14ac:dyDescent="0.2">
      <c r="A17">
        <v>16</v>
      </c>
      <c r="B17" s="3">
        <v>90</v>
      </c>
      <c r="C17" s="3">
        <v>3.765350185</v>
      </c>
    </row>
    <row r="18" spans="1:3" x14ac:dyDescent="0.2">
      <c r="A18">
        <v>17</v>
      </c>
      <c r="B18" s="3">
        <v>95</v>
      </c>
      <c r="C18" s="3">
        <v>3.2738999999999998</v>
      </c>
    </row>
    <row r="19" spans="1:3" x14ac:dyDescent="0.2">
      <c r="A19">
        <v>18</v>
      </c>
      <c r="B19" s="3">
        <v>100</v>
      </c>
      <c r="C19" s="3">
        <v>2.5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Inputs</vt:lpstr>
      <vt:lpstr>CPI</vt:lpstr>
      <vt:lpstr>Uganda Life Tables</vt:lpstr>
      <vt:lpstr>Schizo Death Probability</vt:lpstr>
      <vt:lpstr>Life Expectancy</vt:lpstr>
      <vt:lpstr>exchangerate_dollar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Solomon J Lubinga</dc:creator>
  <cp:lastModifiedBy>Solomon J Lubinga</cp:lastModifiedBy>
  <dcterms:created xsi:type="dcterms:W3CDTF">2022-05-12T19:58:18Z</dcterms:created>
  <dcterms:modified xsi:type="dcterms:W3CDTF">2022-05-20T17:20:15Z</dcterms:modified>
</cp:coreProperties>
</file>