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Default Extension="gif" ContentType="image/gif"/>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00" windowWidth="14895" windowHeight="7875" tabRatio="885" firstSheet="2" activeTab="13"/>
  </bookViews>
  <sheets>
    <sheet name="MonteCarlo" sheetId="31" r:id="rId1"/>
    <sheet name="DCF" sheetId="14" r:id="rId2"/>
    <sheet name="Info" sheetId="4" r:id="rId3"/>
    <sheet name="Overview" sheetId="3" r:id="rId4"/>
    <sheet name="COGS" sheetId="28" r:id="rId5"/>
    <sheet name="Sheet1" sheetId="29" r:id="rId6"/>
    <sheet name="Assump Revenue" sheetId="27" r:id="rId7"/>
    <sheet name="News" sheetId="26" r:id="rId8"/>
    <sheet name="Assump-F " sheetId="7" r:id="rId9"/>
    <sheet name="Sheet2" sheetId="30" r:id="rId10"/>
    <sheet name="CAPEX" sheetId="10" r:id="rId11"/>
    <sheet name="Liabilities" sheetId="17" r:id="rId12"/>
    <sheet name="CF projection" sheetId="13" r:id="rId13"/>
    <sheet name="PL&amp;BS Projection" sheetId="11" r:id="rId14"/>
    <sheet name="Market reseach" sheetId="6" r:id="rId15"/>
    <sheet name="Financial statement" sheetId="23" r:id="rId16"/>
    <sheet name="Ratios" sheetId="8" r:id="rId17"/>
    <sheet name="Discount rate" sheetId="2" r:id="rId18"/>
    <sheet name="Multiple" sheetId="16" r:id="rId19"/>
    <sheet name="ABS" sheetId="18" r:id="rId20"/>
    <sheet name="APL" sheetId="19" r:id="rId21"/>
    <sheet name="ACF" sheetId="20" r:id="rId22"/>
    <sheet name="QPL" sheetId="21" r:id="rId23"/>
    <sheet name="QBS" sheetId="22" r:id="rId24"/>
    <sheet name="QCF" sheetId="25" r:id="rId25"/>
  </sheets>
  <externalReferences>
    <externalReference r:id="rId26"/>
  </externalReferences>
  <calcPr calcId="124519" iterate="1"/>
</workbook>
</file>

<file path=xl/calcChain.xml><?xml version="1.0" encoding="utf-8"?>
<calcChain xmlns="http://schemas.openxmlformats.org/spreadsheetml/2006/main">
  <c r="I52" i="28"/>
  <c r="H52"/>
  <c r="H18"/>
  <c r="F66" i="7"/>
  <c r="E49"/>
  <c r="D49"/>
  <c r="G31" i="11"/>
  <c r="G30"/>
  <c r="G12" i="13" s="1"/>
  <c r="M38" i="28"/>
  <c r="H38"/>
  <c r="H15" s="1"/>
  <c r="H59"/>
  <c r="H14" s="1"/>
  <c r="H37"/>
  <c r="I37" s="1"/>
  <c r="P50" i="27"/>
  <c r="Q50"/>
  <c r="R50"/>
  <c r="S50"/>
  <c r="O50"/>
  <c r="O28"/>
  <c r="O37"/>
  <c r="O7"/>
  <c r="O55"/>
  <c r="H43" i="28"/>
  <c r="O29" i="27"/>
  <c r="E12" i="30"/>
  <c r="D12"/>
  <c r="C12"/>
  <c r="G6"/>
  <c r="H15"/>
  <c r="I15" s="1"/>
  <c r="H16"/>
  <c r="I16" s="1"/>
  <c r="H17"/>
  <c r="I17" s="1"/>
  <c r="F7"/>
  <c r="G7"/>
  <c r="F8"/>
  <c r="G8"/>
  <c r="F9"/>
  <c r="G9"/>
  <c r="F10"/>
  <c r="G10"/>
  <c r="F11"/>
  <c r="G11"/>
  <c r="F4"/>
  <c r="G4"/>
  <c r="F5"/>
  <c r="G5"/>
  <c r="G3"/>
  <c r="F3"/>
  <c r="F16"/>
  <c r="G16"/>
  <c r="F17"/>
  <c r="G17"/>
  <c r="G15"/>
  <c r="F15"/>
  <c r="C2"/>
  <c r="H62" i="28"/>
  <c r="I62" s="1"/>
  <c r="J62" s="1"/>
  <c r="K62" s="1"/>
  <c r="L62" s="1"/>
  <c r="M62" s="1"/>
  <c r="H51"/>
  <c r="I51" s="1"/>
  <c r="J51" s="1"/>
  <c r="K51" s="1"/>
  <c r="L51" s="1"/>
  <c r="M51" s="1"/>
  <c r="H40"/>
  <c r="I40" s="1"/>
  <c r="J40" s="1"/>
  <c r="K40" s="1"/>
  <c r="L40" s="1"/>
  <c r="M40" s="1"/>
  <c r="C102" i="29"/>
  <c r="D102"/>
  <c r="B102"/>
  <c r="G92"/>
  <c r="F92"/>
  <c r="E92"/>
  <c r="D92"/>
  <c r="C92"/>
  <c r="B92"/>
  <c r="G93"/>
  <c r="G94"/>
  <c r="F94"/>
  <c r="F93"/>
  <c r="E93"/>
  <c r="E94"/>
  <c r="D94"/>
  <c r="D93"/>
  <c r="C93"/>
  <c r="C94"/>
  <c r="B94"/>
  <c r="B93"/>
  <c r="B84"/>
  <c r="B83"/>
  <c r="B82"/>
  <c r="B80"/>
  <c r="B79"/>
  <c r="B78"/>
  <c r="B77"/>
  <c r="K44" i="27" l="1"/>
  <c r="B16" i="7"/>
  <c r="B14"/>
  <c r="B8"/>
  <c r="B10"/>
  <c r="B12"/>
  <c r="O25" i="27" l="1"/>
  <c r="O26" l="1"/>
  <c r="C80" i="29" s="1"/>
  <c r="N72" i="27" l="1"/>
  <c r="F48" i="10"/>
  <c r="G48" s="1"/>
  <c r="H48" s="1"/>
  <c r="E48"/>
  <c r="D48"/>
  <c r="C12" i="14"/>
  <c r="H47" i="7"/>
  <c r="G47"/>
  <c r="F47"/>
  <c r="E47"/>
  <c r="D47"/>
  <c r="C47"/>
  <c r="H41"/>
  <c r="G41"/>
  <c r="F41"/>
  <c r="E41"/>
  <c r="D41"/>
  <c r="C41"/>
  <c r="G37"/>
  <c r="F37"/>
  <c r="E37"/>
  <c r="D37"/>
  <c r="C37"/>
  <c r="H33"/>
  <c r="G33"/>
  <c r="F33"/>
  <c r="E33"/>
  <c r="D33"/>
  <c r="C33"/>
  <c r="H21"/>
  <c r="G21"/>
  <c r="F21"/>
  <c r="E21"/>
  <c r="D21"/>
  <c r="C21"/>
  <c r="B21"/>
  <c r="H12" i="10"/>
  <c r="G12"/>
  <c r="F12"/>
  <c r="E12"/>
  <c r="D12"/>
  <c r="C12"/>
  <c r="B12"/>
  <c r="J2" i="28"/>
  <c r="K2" s="1"/>
  <c r="L2" s="1"/>
  <c r="M2" s="1"/>
  <c r="I2"/>
  <c r="H2"/>
  <c r="F64"/>
  <c r="F63"/>
  <c r="F60"/>
  <c r="F59"/>
  <c r="F53"/>
  <c r="F52"/>
  <c r="F51"/>
  <c r="F49"/>
  <c r="F48"/>
  <c r="F42"/>
  <c r="E42"/>
  <c r="F41"/>
  <c r="E41"/>
  <c r="F38"/>
  <c r="F37"/>
  <c r="F31"/>
  <c r="F30"/>
  <c r="F29"/>
  <c r="F27"/>
  <c r="F26"/>
  <c r="F17"/>
  <c r="F62" s="1"/>
  <c r="E17"/>
  <c r="D17"/>
  <c r="C17"/>
  <c r="C5"/>
  <c r="D5" s="1"/>
  <c r="E5" s="1"/>
  <c r="F5" s="1"/>
  <c r="G5" s="1"/>
  <c r="K7"/>
  <c r="G17"/>
  <c r="J16"/>
  <c r="L16"/>
  <c r="H39"/>
  <c r="I39"/>
  <c r="I16" s="1"/>
  <c r="J39"/>
  <c r="K39"/>
  <c r="K16" s="1"/>
  <c r="L39"/>
  <c r="I41"/>
  <c r="J41"/>
  <c r="K41"/>
  <c r="L41"/>
  <c r="I43"/>
  <c r="J43"/>
  <c r="K43"/>
  <c r="L43"/>
  <c r="H50"/>
  <c r="I50"/>
  <c r="J50"/>
  <c r="K50"/>
  <c r="L50"/>
  <c r="J52"/>
  <c r="K52"/>
  <c r="L52"/>
  <c r="I53"/>
  <c r="J53"/>
  <c r="K53"/>
  <c r="L53"/>
  <c r="H54"/>
  <c r="I54"/>
  <c r="J54"/>
  <c r="K54"/>
  <c r="L54"/>
  <c r="H61"/>
  <c r="I61"/>
  <c r="J61"/>
  <c r="K61"/>
  <c r="L61"/>
  <c r="I63"/>
  <c r="J63"/>
  <c r="K63"/>
  <c r="L63"/>
  <c r="H65"/>
  <c r="I65"/>
  <c r="J65"/>
  <c r="K65"/>
  <c r="L65"/>
  <c r="S49" i="27"/>
  <c r="S47"/>
  <c r="R47"/>
  <c r="Q47"/>
  <c r="Q49" s="1"/>
  <c r="P47"/>
  <c r="O47"/>
  <c r="S44"/>
  <c r="O62"/>
  <c r="O8"/>
  <c r="P7"/>
  <c r="J20" i="28" l="1"/>
  <c r="I20"/>
  <c r="L20"/>
  <c r="H20"/>
  <c r="K20"/>
  <c r="H16"/>
  <c r="F40"/>
  <c r="H5"/>
  <c r="I5" s="1"/>
  <c r="J5" s="1"/>
  <c r="K5" s="1"/>
  <c r="L5" s="1"/>
  <c r="O68" i="27"/>
  <c r="P62"/>
  <c r="R49"/>
  <c r="Q62" l="1"/>
  <c r="P68"/>
  <c r="N56"/>
  <c r="N59" s="1"/>
  <c r="N47"/>
  <c r="N45"/>
  <c r="N38"/>
  <c r="O38" s="1"/>
  <c r="N36"/>
  <c r="O36" s="1"/>
  <c r="C79" i="29" s="1"/>
  <c r="N29" i="27"/>
  <c r="P29" s="1"/>
  <c r="Q29" s="1"/>
  <c r="R29" s="1"/>
  <c r="S29" s="1"/>
  <c r="N26"/>
  <c r="N27" s="1"/>
  <c r="N21"/>
  <c r="N17"/>
  <c r="N62" s="1"/>
  <c r="N68" s="1"/>
  <c r="N7"/>
  <c r="K65"/>
  <c r="K71" s="1"/>
  <c r="K64"/>
  <c r="K70" s="1"/>
  <c r="K63"/>
  <c r="K69" s="1"/>
  <c r="J62"/>
  <c r="J68" s="1"/>
  <c r="L59"/>
  <c r="K59"/>
  <c r="J59"/>
  <c r="L58"/>
  <c r="K58"/>
  <c r="J58"/>
  <c r="L57"/>
  <c r="M56"/>
  <c r="M59" s="1"/>
  <c r="M55"/>
  <c r="M58" s="1"/>
  <c r="M54"/>
  <c r="M57" s="1"/>
  <c r="J54"/>
  <c r="J57" s="1"/>
  <c r="M48"/>
  <c r="L48"/>
  <c r="M47"/>
  <c r="M49" s="1"/>
  <c r="L47"/>
  <c r="L49" s="1"/>
  <c r="K47"/>
  <c r="M39"/>
  <c r="L39"/>
  <c r="M38"/>
  <c r="M40" s="1"/>
  <c r="L38"/>
  <c r="L40" s="1"/>
  <c r="K38"/>
  <c r="M30"/>
  <c r="L30"/>
  <c r="M29"/>
  <c r="M31" s="1"/>
  <c r="L29"/>
  <c r="L31" s="1"/>
  <c r="K29"/>
  <c r="J27"/>
  <c r="K27" s="1"/>
  <c r="L27" s="1"/>
  <c r="M27" s="1"/>
  <c r="M20"/>
  <c r="L20"/>
  <c r="K20"/>
  <c r="M19"/>
  <c r="M21" s="1"/>
  <c r="L19"/>
  <c r="L21" s="1"/>
  <c r="K19"/>
  <c r="K21" s="1"/>
  <c r="J19"/>
  <c r="J18"/>
  <c r="K18" s="1"/>
  <c r="L18" s="1"/>
  <c r="M18" s="1"/>
  <c r="M10"/>
  <c r="L10"/>
  <c r="M9"/>
  <c r="M11" s="1"/>
  <c r="L9"/>
  <c r="L11" s="1"/>
  <c r="K9"/>
  <c r="J8"/>
  <c r="K10" s="1"/>
  <c r="U26"/>
  <c r="D43" i="29"/>
  <c r="C43"/>
  <c r="D38"/>
  <c r="C38"/>
  <c r="D33"/>
  <c r="C33"/>
  <c r="D28"/>
  <c r="C28"/>
  <c r="E46"/>
  <c r="E45"/>
  <c r="E42"/>
  <c r="E41"/>
  <c r="E40"/>
  <c r="E37"/>
  <c r="E36"/>
  <c r="E35"/>
  <c r="E32"/>
  <c r="E31"/>
  <c r="E30"/>
  <c r="E27"/>
  <c r="E26"/>
  <c r="E25"/>
  <c r="E22"/>
  <c r="E21"/>
  <c r="E20"/>
  <c r="D44"/>
  <c r="E44" s="1"/>
  <c r="C44"/>
  <c r="C9"/>
  <c r="B9"/>
  <c r="P38" i="27" l="1"/>
  <c r="Q38" s="1"/>
  <c r="R38" s="1"/>
  <c r="S38" s="1"/>
  <c r="O45"/>
  <c r="C78" i="29" s="1"/>
  <c r="N37" i="27"/>
  <c r="O33"/>
  <c r="P36"/>
  <c r="D79" i="29" s="1"/>
  <c r="N64" i="27"/>
  <c r="N63"/>
  <c r="Q68"/>
  <c r="N16"/>
  <c r="N46"/>
  <c r="N65"/>
  <c r="N54"/>
  <c r="G38" i="28" s="1"/>
  <c r="I38" s="1"/>
  <c r="J38" s="1"/>
  <c r="K38" s="1"/>
  <c r="L38" s="1"/>
  <c r="N18" i="27"/>
  <c r="N28"/>
  <c r="J9"/>
  <c r="J11" s="1"/>
  <c r="J10"/>
  <c r="K57"/>
  <c r="K62"/>
  <c r="L63"/>
  <c r="L64"/>
  <c r="L65"/>
  <c r="C5" i="29"/>
  <c r="C4"/>
  <c r="D2"/>
  <c r="C2"/>
  <c r="B2"/>
  <c r="F49" i="10"/>
  <c r="E49"/>
  <c r="M53" i="28"/>
  <c r="M52"/>
  <c r="M41"/>
  <c r="C83" i="29" l="1"/>
  <c r="O72" i="27"/>
  <c r="P72" s="1"/>
  <c r="N71"/>
  <c r="O65"/>
  <c r="O46"/>
  <c r="O44"/>
  <c r="P45"/>
  <c r="D78" i="29" s="1"/>
  <c r="N55" i="27"/>
  <c r="N58" s="1"/>
  <c r="O35"/>
  <c r="N70"/>
  <c r="O64"/>
  <c r="P37"/>
  <c r="Q36"/>
  <c r="E79" i="29" s="1"/>
  <c r="G40" i="28"/>
  <c r="G41"/>
  <c r="H41" s="1"/>
  <c r="P26" i="27"/>
  <c r="D80" i="29" s="1"/>
  <c r="O54" i="27"/>
  <c r="G37" i="28"/>
  <c r="O27" i="27"/>
  <c r="N57"/>
  <c r="G30" i="28"/>
  <c r="G53"/>
  <c r="H53" s="1"/>
  <c r="G59"/>
  <c r="G49"/>
  <c r="H49" s="1"/>
  <c r="I49" s="1"/>
  <c r="J49" s="1"/>
  <c r="K49" s="1"/>
  <c r="L49" s="1"/>
  <c r="G64"/>
  <c r="H64" s="1"/>
  <c r="I64" s="1"/>
  <c r="J64" s="1"/>
  <c r="K64" s="1"/>
  <c r="L64" s="1"/>
  <c r="G27"/>
  <c r="G31"/>
  <c r="G52"/>
  <c r="G26"/>
  <c r="G48"/>
  <c r="H48" s="1"/>
  <c r="G60"/>
  <c r="H60" s="1"/>
  <c r="I60" s="1"/>
  <c r="J60" s="1"/>
  <c r="K60" s="1"/>
  <c r="L60" s="1"/>
  <c r="G63"/>
  <c r="H63" s="1"/>
  <c r="G51"/>
  <c r="G62"/>
  <c r="G29"/>
  <c r="G42"/>
  <c r="H42" s="1"/>
  <c r="I42" s="1"/>
  <c r="J42" s="1"/>
  <c r="K42" s="1"/>
  <c r="L42" s="1"/>
  <c r="N69" i="27"/>
  <c r="O63"/>
  <c r="R62"/>
  <c r="L71"/>
  <c r="M65"/>
  <c r="M71" s="1"/>
  <c r="K11"/>
  <c r="K68"/>
  <c r="L62"/>
  <c r="L69"/>
  <c r="M63"/>
  <c r="L70"/>
  <c r="M64"/>
  <c r="M63" i="28"/>
  <c r="C82" i="29" l="1"/>
  <c r="D83"/>
  <c r="O57" i="27"/>
  <c r="C77" i="29"/>
  <c r="C84"/>
  <c r="M64" i="28"/>
  <c r="P27" i="27"/>
  <c r="N52"/>
  <c r="Q45"/>
  <c r="E78" i="29" s="1"/>
  <c r="P46" i="27"/>
  <c r="O52"/>
  <c r="O71"/>
  <c r="P65"/>
  <c r="P64"/>
  <c r="O70"/>
  <c r="R36"/>
  <c r="F79" i="29" s="1"/>
  <c r="Q37" i="27"/>
  <c r="E83" i="29" s="1"/>
  <c r="I59" i="28"/>
  <c r="H66"/>
  <c r="H72" s="1"/>
  <c r="H68" s="1"/>
  <c r="H21"/>
  <c r="G6" i="11" s="1"/>
  <c r="H69" i="28"/>
  <c r="G50" i="11"/>
  <c r="Q26" i="27"/>
  <c r="E80" i="29" s="1"/>
  <c r="P28" i="27"/>
  <c r="P54"/>
  <c r="H19" i="28"/>
  <c r="O69" i="27"/>
  <c r="P63"/>
  <c r="I48" i="28"/>
  <c r="H55"/>
  <c r="H71" s="1"/>
  <c r="H44"/>
  <c r="H70" s="1"/>
  <c r="H17"/>
  <c r="S62" i="27"/>
  <c r="S68" s="1"/>
  <c r="R68"/>
  <c r="M70"/>
  <c r="L68"/>
  <c r="M62"/>
  <c r="M69"/>
  <c r="M42" i="28"/>
  <c r="B64"/>
  <c r="B63"/>
  <c r="B52"/>
  <c r="B53" s="1"/>
  <c r="B30"/>
  <c r="B41"/>
  <c r="I51" i="10"/>
  <c r="D50"/>
  <c r="C48"/>
  <c r="D47"/>
  <c r="T44" i="27"/>
  <c r="M50" i="28"/>
  <c r="T47" i="27"/>
  <c r="B25" i="11"/>
  <c r="M65" i="28"/>
  <c r="D82" i="29" l="1"/>
  <c r="P57" i="27"/>
  <c r="D77" i="29"/>
  <c r="D84"/>
  <c r="H13" i="28"/>
  <c r="H12" s="1"/>
  <c r="Q27" i="27"/>
  <c r="P55"/>
  <c r="P58" s="1"/>
  <c r="O58"/>
  <c r="Q65"/>
  <c r="P71"/>
  <c r="R45"/>
  <c r="F78" i="29" s="1"/>
  <c r="Q46" i="27"/>
  <c r="E82" i="29" s="1"/>
  <c r="P70" i="27"/>
  <c r="Q64"/>
  <c r="R37"/>
  <c r="F83" i="29" s="1"/>
  <c r="S36" i="27"/>
  <c r="P69"/>
  <c r="Q63"/>
  <c r="I14" i="28"/>
  <c r="I69"/>
  <c r="J48"/>
  <c r="I55"/>
  <c r="I71" s="1"/>
  <c r="I66"/>
  <c r="I72" s="1"/>
  <c r="I68" s="1"/>
  <c r="J59"/>
  <c r="H73"/>
  <c r="I18"/>
  <c r="H50" i="11" s="1"/>
  <c r="I44" i="28"/>
  <c r="I70" s="1"/>
  <c r="J37"/>
  <c r="I19"/>
  <c r="R26" i="27"/>
  <c r="F80" i="29" s="1"/>
  <c r="Q28" i="27"/>
  <c r="E84" i="29" s="1"/>
  <c r="Q54" i="27"/>
  <c r="I17" i="28"/>
  <c r="I15"/>
  <c r="M68" i="27"/>
  <c r="M54" i="28"/>
  <c r="M43"/>
  <c r="M61"/>
  <c r="M39"/>
  <c r="M16"/>
  <c r="I21" l="1"/>
  <c r="S37" i="27"/>
  <c r="G83" i="29" s="1"/>
  <c r="G79"/>
  <c r="Q57" i="27"/>
  <c r="E77" i="29"/>
  <c r="Q55" i="27"/>
  <c r="Q58" s="1"/>
  <c r="R27"/>
  <c r="I13" i="28"/>
  <c r="I12" s="1"/>
  <c r="Q71" i="27"/>
  <c r="R65"/>
  <c r="S45"/>
  <c r="R46"/>
  <c r="F82" i="29" s="1"/>
  <c r="Q70" i="27"/>
  <c r="R64"/>
  <c r="J17" i="28"/>
  <c r="J69"/>
  <c r="J14"/>
  <c r="J15"/>
  <c r="K37"/>
  <c r="J44"/>
  <c r="J70" s="1"/>
  <c r="K59"/>
  <c r="J66"/>
  <c r="J72" s="1"/>
  <c r="J68" s="1"/>
  <c r="I73"/>
  <c r="J19"/>
  <c r="S26" i="27"/>
  <c r="G80" i="29" s="1"/>
  <c r="R28" i="27"/>
  <c r="F84" i="29" s="1"/>
  <c r="R54" i="27"/>
  <c r="J18" i="28"/>
  <c r="I50" i="11" s="1"/>
  <c r="J55" i="28"/>
  <c r="J71" s="1"/>
  <c r="K48"/>
  <c r="R63" i="27"/>
  <c r="Q69"/>
  <c r="F33" i="23"/>
  <c r="C6"/>
  <c r="E65"/>
  <c r="D83"/>
  <c r="D133"/>
  <c r="G136"/>
  <c r="D15"/>
  <c r="E138"/>
  <c r="D122"/>
  <c r="D101"/>
  <c r="E63"/>
  <c r="D43"/>
  <c r="E96"/>
  <c r="I85"/>
  <c r="E116"/>
  <c r="D44"/>
  <c r="I37"/>
  <c r="D65"/>
  <c r="C139"/>
  <c r="I144"/>
  <c r="H96"/>
  <c r="D11"/>
  <c r="I103"/>
  <c r="H121"/>
  <c r="I34"/>
  <c r="H87"/>
  <c r="H24"/>
  <c r="C119"/>
  <c r="F38"/>
  <c r="H117"/>
  <c r="C80"/>
  <c r="E66"/>
  <c r="C14"/>
  <c r="F12"/>
  <c r="D8"/>
  <c r="I122"/>
  <c r="F36"/>
  <c r="E148"/>
  <c r="H129"/>
  <c r="G122"/>
  <c r="H101"/>
  <c r="F59"/>
  <c r="F75"/>
  <c r="F49"/>
  <c r="E101"/>
  <c r="I8"/>
  <c r="F80"/>
  <c r="G149"/>
  <c r="I118"/>
  <c r="C149"/>
  <c r="C138"/>
  <c r="D61"/>
  <c r="F56"/>
  <c r="F134"/>
  <c r="H48"/>
  <c r="I17"/>
  <c r="I138"/>
  <c r="F143"/>
  <c r="G7"/>
  <c r="H40"/>
  <c r="D90"/>
  <c r="F34"/>
  <c r="G140"/>
  <c r="I121"/>
  <c r="G53"/>
  <c r="F120"/>
  <c r="E70"/>
  <c r="G45"/>
  <c r="F58"/>
  <c r="E45"/>
  <c r="G84"/>
  <c r="C61"/>
  <c r="H86"/>
  <c r="G141"/>
  <c r="E62"/>
  <c r="G80"/>
  <c r="G10"/>
  <c r="I65"/>
  <c r="H37"/>
  <c r="E76"/>
  <c r="G48"/>
  <c r="G147"/>
  <c r="D40"/>
  <c r="E126"/>
  <c r="F92"/>
  <c r="E15"/>
  <c r="G63"/>
  <c r="F129"/>
  <c r="F57"/>
  <c r="E46"/>
  <c r="H41"/>
  <c r="E35"/>
  <c r="C122"/>
  <c r="I18"/>
  <c r="G16"/>
  <c r="E90"/>
  <c r="G33"/>
  <c r="D74"/>
  <c r="H38"/>
  <c r="C46"/>
  <c r="I131"/>
  <c r="D144"/>
  <c r="I147"/>
  <c r="E106"/>
  <c r="C44"/>
  <c r="I57"/>
  <c r="C42"/>
  <c r="H126"/>
  <c r="F111"/>
  <c r="D38"/>
  <c r="D129"/>
  <c r="H140"/>
  <c r="E83"/>
  <c r="F137"/>
  <c r="D22"/>
  <c r="D14"/>
  <c r="F15"/>
  <c r="G52"/>
  <c r="F148"/>
  <c r="D115"/>
  <c r="D89"/>
  <c r="C59"/>
  <c r="G73"/>
  <c r="C72"/>
  <c r="I9"/>
  <c r="H94"/>
  <c r="D63"/>
  <c r="F135"/>
  <c r="C16"/>
  <c r="H72"/>
  <c r="I125"/>
  <c r="I127"/>
  <c r="I75"/>
  <c r="D85"/>
  <c r="E114"/>
  <c r="C60"/>
  <c r="F60"/>
  <c r="C82"/>
  <c r="C65"/>
  <c r="G35"/>
  <c r="I113"/>
  <c r="E17"/>
  <c r="F69"/>
  <c r="C57"/>
  <c r="C130"/>
  <c r="C19"/>
  <c r="H83"/>
  <c r="C20"/>
  <c r="C54"/>
  <c r="F48"/>
  <c r="D80"/>
  <c r="F13"/>
  <c r="I96"/>
  <c r="E88"/>
  <c r="I128"/>
  <c r="C137"/>
  <c r="D78"/>
  <c r="E133"/>
  <c r="E53"/>
  <c r="E73"/>
  <c r="H57"/>
  <c r="G54"/>
  <c r="F127"/>
  <c r="G146"/>
  <c r="E87"/>
  <c r="C115"/>
  <c r="G129"/>
  <c r="H8"/>
  <c r="I80"/>
  <c r="F16"/>
  <c r="H95"/>
  <c r="E74"/>
  <c r="D121"/>
  <c r="G137"/>
  <c r="I117"/>
  <c r="G61"/>
  <c r="I63"/>
  <c r="E105"/>
  <c r="D16"/>
  <c r="D140"/>
  <c r="H116"/>
  <c r="H45"/>
  <c r="D114"/>
  <c r="E6"/>
  <c r="I61"/>
  <c r="C121"/>
  <c r="C111"/>
  <c r="I93"/>
  <c r="H145"/>
  <c r="G75"/>
  <c r="H147"/>
  <c r="D42"/>
  <c r="I25"/>
  <c r="H6"/>
  <c r="I56"/>
  <c r="E93"/>
  <c r="D70"/>
  <c r="H91"/>
  <c r="I44"/>
  <c r="E112"/>
  <c r="E14"/>
  <c r="F104"/>
  <c r="F121"/>
  <c r="E113"/>
  <c r="D92"/>
  <c r="C35"/>
  <c r="H100"/>
  <c r="F86"/>
  <c r="D143"/>
  <c r="C71"/>
  <c r="H146"/>
  <c r="C63"/>
  <c r="H66"/>
  <c r="H20"/>
  <c r="E95"/>
  <c r="I88"/>
  <c r="G69"/>
  <c r="D21"/>
  <c r="G31"/>
  <c r="I126"/>
  <c r="G8"/>
  <c r="E142"/>
  <c r="F116"/>
  <c r="D127"/>
  <c r="C52"/>
  <c r="C136"/>
  <c r="F37"/>
  <c r="F101"/>
  <c r="E139"/>
  <c r="F142"/>
  <c r="C90"/>
  <c r="G96"/>
  <c r="C105"/>
  <c r="E128"/>
  <c r="D120"/>
  <c r="C125"/>
  <c r="F72"/>
  <c r="I130"/>
  <c r="E48"/>
  <c r="D47"/>
  <c r="G93"/>
  <c r="F132"/>
  <c r="E56"/>
  <c r="H93"/>
  <c r="H10"/>
  <c r="G127"/>
  <c r="E143"/>
  <c r="H136"/>
  <c r="E121"/>
  <c r="F140"/>
  <c r="C74"/>
  <c r="E92"/>
  <c r="D60"/>
  <c r="D145"/>
  <c r="D126"/>
  <c r="D19"/>
  <c r="F21"/>
  <c r="I11"/>
  <c r="I46"/>
  <c r="C89"/>
  <c r="D102"/>
  <c r="C95"/>
  <c r="G34"/>
  <c r="F47"/>
  <c r="G98"/>
  <c r="G134"/>
  <c r="D41"/>
  <c r="H77"/>
  <c r="G103"/>
  <c r="I83"/>
  <c r="I119"/>
  <c r="F9"/>
  <c r="F133"/>
  <c r="I22"/>
  <c r="I38"/>
  <c r="C31"/>
  <c r="E102"/>
  <c r="F74"/>
  <c r="I76"/>
  <c r="H69"/>
  <c r="D75"/>
  <c r="F112"/>
  <c r="G142"/>
  <c r="F63"/>
  <c r="C25"/>
  <c r="G100"/>
  <c r="F97"/>
  <c r="C120"/>
  <c r="H68"/>
  <c r="I41"/>
  <c r="F130"/>
  <c r="G135"/>
  <c r="F144"/>
  <c r="G139"/>
  <c r="G81"/>
  <c r="H32"/>
  <c r="G44"/>
  <c r="F51"/>
  <c r="C56"/>
  <c r="G86"/>
  <c r="I120"/>
  <c r="H97"/>
  <c r="C86"/>
  <c r="C87"/>
  <c r="C45"/>
  <c r="C126"/>
  <c r="I62"/>
  <c r="G138"/>
  <c r="E9"/>
  <c r="D55"/>
  <c r="G116"/>
  <c r="E41"/>
  <c r="H128"/>
  <c r="C84"/>
  <c r="D93"/>
  <c r="G144"/>
  <c r="C141"/>
  <c r="H49"/>
  <c r="I101"/>
  <c r="E11"/>
  <c r="I92"/>
  <c r="C145"/>
  <c r="F43"/>
  <c r="I54"/>
  <c r="E7"/>
  <c r="C85"/>
  <c r="C96"/>
  <c r="C99"/>
  <c r="F70"/>
  <c r="I53"/>
  <c r="I35"/>
  <c r="F10"/>
  <c r="F25"/>
  <c r="H75"/>
  <c r="E122"/>
  <c r="D99"/>
  <c r="C23"/>
  <c r="D45"/>
  <c r="D18"/>
  <c r="D10"/>
  <c r="D67"/>
  <c r="E129"/>
  <c r="H14"/>
  <c r="G87"/>
  <c r="F64"/>
  <c r="D48"/>
  <c r="G90"/>
  <c r="E20"/>
  <c r="G9"/>
  <c r="I67"/>
  <c r="E130"/>
  <c r="D23"/>
  <c r="C75"/>
  <c r="G59"/>
  <c r="D7"/>
  <c r="D52"/>
  <c r="F44"/>
  <c r="F99"/>
  <c r="F73"/>
  <c r="F95"/>
  <c r="C24"/>
  <c r="D50"/>
  <c r="E124"/>
  <c r="F100"/>
  <c r="F65"/>
  <c r="E111"/>
  <c r="F138"/>
  <c r="F139"/>
  <c r="D69"/>
  <c r="I7"/>
  <c r="D71"/>
  <c r="I14"/>
  <c r="H21"/>
  <c r="G130"/>
  <c r="D9"/>
  <c r="G55"/>
  <c r="G47"/>
  <c r="D51"/>
  <c r="G113"/>
  <c r="H122"/>
  <c r="I91"/>
  <c r="D131"/>
  <c r="G57"/>
  <c r="E36"/>
  <c r="G49"/>
  <c r="I50"/>
  <c r="D97"/>
  <c r="G56"/>
  <c r="D123"/>
  <c r="C39"/>
  <c r="H76"/>
  <c r="I99"/>
  <c r="G15"/>
  <c r="C114"/>
  <c r="E59"/>
  <c r="C140"/>
  <c r="G121"/>
  <c r="F52"/>
  <c r="D100"/>
  <c r="H106"/>
  <c r="H51"/>
  <c r="E19"/>
  <c r="F93"/>
  <c r="H124"/>
  <c r="H67"/>
  <c r="D142"/>
  <c r="H104"/>
  <c r="H142"/>
  <c r="F106"/>
  <c r="I6"/>
  <c r="I129"/>
  <c r="I66"/>
  <c r="F105"/>
  <c r="D17"/>
  <c r="C49"/>
  <c r="H88"/>
  <c r="E58"/>
  <c r="G128"/>
  <c r="H56"/>
  <c r="G13"/>
  <c r="H138"/>
  <c r="F68"/>
  <c r="G105"/>
  <c r="H61"/>
  <c r="H144"/>
  <c r="H125"/>
  <c r="I78"/>
  <c r="I73"/>
  <c r="I68"/>
  <c r="F81"/>
  <c r="C116"/>
  <c r="C132"/>
  <c r="C142"/>
  <c r="D136"/>
  <c r="D87"/>
  <c r="C98"/>
  <c r="C18"/>
  <c r="C133"/>
  <c r="G131"/>
  <c r="G143"/>
  <c r="I43"/>
  <c r="F23"/>
  <c r="E99"/>
  <c r="G71"/>
  <c r="G58"/>
  <c r="E23"/>
  <c r="G36"/>
  <c r="H23"/>
  <c r="E12"/>
  <c r="D58"/>
  <c r="H85"/>
  <c r="H82"/>
  <c r="G51"/>
  <c r="I59"/>
  <c r="G62"/>
  <c r="C77"/>
  <c r="F136"/>
  <c r="G132"/>
  <c r="C123"/>
  <c r="E80"/>
  <c r="I84"/>
  <c r="H98"/>
  <c r="H81"/>
  <c r="F54"/>
  <c r="C135"/>
  <c r="H112"/>
  <c r="F41"/>
  <c r="C17"/>
  <c r="I95"/>
  <c r="H44"/>
  <c r="I24"/>
  <c r="I139"/>
  <c r="I74"/>
  <c r="I39"/>
  <c r="G148"/>
  <c r="H135"/>
  <c r="G24"/>
  <c r="H127"/>
  <c r="D147"/>
  <c r="G88"/>
  <c r="I133"/>
  <c r="E40"/>
  <c r="E32"/>
  <c r="G145"/>
  <c r="E100"/>
  <c r="D128"/>
  <c r="F8"/>
  <c r="F5"/>
  <c r="E86"/>
  <c r="E69"/>
  <c r="E61"/>
  <c r="G76"/>
  <c r="G119"/>
  <c r="E149"/>
  <c r="E5"/>
  <c r="F115"/>
  <c r="I141"/>
  <c r="C50"/>
  <c r="G123"/>
  <c r="H119"/>
  <c r="G41"/>
  <c r="E49"/>
  <c r="H16"/>
  <c r="F84"/>
  <c r="F90"/>
  <c r="H92"/>
  <c r="C66"/>
  <c r="E103"/>
  <c r="D124"/>
  <c r="E54"/>
  <c r="I123"/>
  <c r="D134"/>
  <c r="G12"/>
  <c r="H34"/>
  <c r="I132"/>
  <c r="E137"/>
  <c r="E79"/>
  <c r="H39"/>
  <c r="E131"/>
  <c r="H9"/>
  <c r="C79"/>
  <c r="F118"/>
  <c r="D82"/>
  <c r="H139"/>
  <c r="E141"/>
  <c r="D34"/>
  <c r="D130"/>
  <c r="E132"/>
  <c r="E123"/>
  <c r="F103"/>
  <c r="F82"/>
  <c r="C58"/>
  <c r="C73"/>
  <c r="I114"/>
  <c r="D31"/>
  <c r="D149"/>
  <c r="H15"/>
  <c r="G133"/>
  <c r="D125"/>
  <c r="F102"/>
  <c r="F39"/>
  <c r="F67"/>
  <c r="H84"/>
  <c r="I86"/>
  <c r="D73"/>
  <c r="D36"/>
  <c r="D112"/>
  <c r="F141"/>
  <c r="D96"/>
  <c r="I142"/>
  <c r="C34"/>
  <c r="I100"/>
  <c r="H137"/>
  <c r="I124"/>
  <c r="C64"/>
  <c r="C118"/>
  <c r="I12"/>
  <c r="F7"/>
  <c r="D135"/>
  <c r="G50"/>
  <c r="E78"/>
  <c r="D56"/>
  <c r="G77"/>
  <c r="G11"/>
  <c r="I69"/>
  <c r="E144"/>
  <c r="G65"/>
  <c r="H130"/>
  <c r="H43"/>
  <c r="I140"/>
  <c r="E42"/>
  <c r="C92"/>
  <c r="I60"/>
  <c r="I77"/>
  <c r="C47"/>
  <c r="C38"/>
  <c r="E77"/>
  <c r="C83"/>
  <c r="C147"/>
  <c r="I104"/>
  <c r="C33"/>
  <c r="G37"/>
  <c r="F24"/>
  <c r="H141"/>
  <c r="H115"/>
  <c r="G64"/>
  <c r="G112"/>
  <c r="C22"/>
  <c r="E13"/>
  <c r="E55"/>
  <c r="H120"/>
  <c r="H47"/>
  <c r="E146"/>
  <c r="F85"/>
  <c r="F40"/>
  <c r="F42"/>
  <c r="F66"/>
  <c r="C131"/>
  <c r="I15"/>
  <c r="F149"/>
  <c r="C21"/>
  <c r="F14"/>
  <c r="E10"/>
  <c r="C13"/>
  <c r="D6"/>
  <c r="G78"/>
  <c r="H55"/>
  <c r="F76"/>
  <c r="E64"/>
  <c r="E140"/>
  <c r="H31"/>
  <c r="H132"/>
  <c r="F122"/>
  <c r="H133"/>
  <c r="I89"/>
  <c r="H17"/>
  <c r="C7"/>
  <c r="G20"/>
  <c r="F46"/>
  <c r="F126"/>
  <c r="C101"/>
  <c r="I137"/>
  <c r="F131"/>
  <c r="F20"/>
  <c r="G85"/>
  <c r="H71"/>
  <c r="G104"/>
  <c r="F35"/>
  <c r="F125"/>
  <c r="D33"/>
  <c r="F98"/>
  <c r="E67"/>
  <c r="I106"/>
  <c r="H59"/>
  <c r="C76"/>
  <c r="E75"/>
  <c r="C11"/>
  <c r="I40"/>
  <c r="F91"/>
  <c r="H11"/>
  <c r="I90"/>
  <c r="G43"/>
  <c r="F31"/>
  <c r="I79"/>
  <c r="E47"/>
  <c r="C10"/>
  <c r="C62"/>
  <c r="G102"/>
  <c r="I58"/>
  <c r="E104"/>
  <c r="G66"/>
  <c r="E136"/>
  <c r="I71"/>
  <c r="I32"/>
  <c r="E39"/>
  <c r="F114"/>
  <c r="C43"/>
  <c r="C88"/>
  <c r="H65"/>
  <c r="I10"/>
  <c r="H18"/>
  <c r="H118"/>
  <c r="I64"/>
  <c r="G19"/>
  <c r="I23"/>
  <c r="G38"/>
  <c r="F53"/>
  <c r="H62"/>
  <c r="G60"/>
  <c r="H148"/>
  <c r="E85"/>
  <c r="D20"/>
  <c r="E51"/>
  <c r="H50"/>
  <c r="E24"/>
  <c r="D111"/>
  <c r="I36"/>
  <c r="C32"/>
  <c r="F96"/>
  <c r="D148"/>
  <c r="C12"/>
  <c r="H105"/>
  <c r="H46"/>
  <c r="H42"/>
  <c r="H25"/>
  <c r="D91"/>
  <c r="F113"/>
  <c r="F32"/>
  <c r="E72"/>
  <c r="F146"/>
  <c r="G6"/>
  <c r="D77"/>
  <c r="G118"/>
  <c r="I33"/>
  <c r="C8"/>
  <c r="I105"/>
  <c r="D39"/>
  <c r="G95"/>
  <c r="C112"/>
  <c r="F88"/>
  <c r="I5"/>
  <c r="D37"/>
  <c r="G125"/>
  <c r="E8"/>
  <c r="E37"/>
  <c r="D98"/>
  <c r="D13"/>
  <c r="E115"/>
  <c r="H63"/>
  <c r="D57"/>
  <c r="C36"/>
  <c r="D132"/>
  <c r="F89"/>
  <c r="E44"/>
  <c r="E147"/>
  <c r="E50"/>
  <c r="D66"/>
  <c r="E16"/>
  <c r="D35"/>
  <c r="I134"/>
  <c r="D106"/>
  <c r="I115"/>
  <c r="G83"/>
  <c r="G39"/>
  <c r="D141"/>
  <c r="F18"/>
  <c r="G91"/>
  <c r="H102"/>
  <c r="F22"/>
  <c r="H78"/>
  <c r="H149"/>
  <c r="D117"/>
  <c r="C15"/>
  <c r="I72"/>
  <c r="C129"/>
  <c r="D79"/>
  <c r="I94"/>
  <c r="G5"/>
  <c r="F128"/>
  <c r="E18"/>
  <c r="H143"/>
  <c r="G22"/>
  <c r="G126"/>
  <c r="C67"/>
  <c r="D118"/>
  <c r="E98"/>
  <c r="D32"/>
  <c r="D95"/>
  <c r="E84"/>
  <c r="I16"/>
  <c r="C81"/>
  <c r="D113"/>
  <c r="H114"/>
  <c r="F19"/>
  <c r="C68"/>
  <c r="G42"/>
  <c r="E127"/>
  <c r="H113"/>
  <c r="F78"/>
  <c r="D54"/>
  <c r="F119"/>
  <c r="F77"/>
  <c r="C97"/>
  <c r="C93"/>
  <c r="H35"/>
  <c r="H79"/>
  <c r="E33"/>
  <c r="E117"/>
  <c r="I102"/>
  <c r="I81"/>
  <c r="E34"/>
  <c r="G67"/>
  <c r="E125"/>
  <c r="C102"/>
  <c r="G32"/>
  <c r="H89"/>
  <c r="C103"/>
  <c r="I20"/>
  <c r="E91"/>
  <c r="G21"/>
  <c r="E97"/>
  <c r="H131"/>
  <c r="C117"/>
  <c r="H60"/>
  <c r="G92"/>
  <c r="D72"/>
  <c r="C5"/>
  <c r="G70"/>
  <c r="E135"/>
  <c r="E81"/>
  <c r="E43"/>
  <c r="F6"/>
  <c r="H36"/>
  <c r="C113"/>
  <c r="C55"/>
  <c r="G82"/>
  <c r="I13"/>
  <c r="C37"/>
  <c r="C144"/>
  <c r="F87"/>
  <c r="D94"/>
  <c r="C70"/>
  <c r="C143"/>
  <c r="D104"/>
  <c r="C124"/>
  <c r="F145"/>
  <c r="H74"/>
  <c r="C41"/>
  <c r="H33"/>
  <c r="C148"/>
  <c r="I42"/>
  <c r="H90"/>
  <c r="C78"/>
  <c r="I70"/>
  <c r="F62"/>
  <c r="F117"/>
  <c r="E82"/>
  <c r="H54"/>
  <c r="E89"/>
  <c r="D84"/>
  <c r="D116"/>
  <c r="G97"/>
  <c r="I82"/>
  <c r="H5"/>
  <c r="G115"/>
  <c r="C100"/>
  <c r="H19"/>
  <c r="I55"/>
  <c r="H99"/>
  <c r="D146"/>
  <c r="D76"/>
  <c r="C69"/>
  <c r="E134"/>
  <c r="H64"/>
  <c r="I143"/>
  <c r="D46"/>
  <c r="F79"/>
  <c r="C134"/>
  <c r="I45"/>
  <c r="D25"/>
  <c r="H12"/>
  <c r="G14"/>
  <c r="I116"/>
  <c r="G117"/>
  <c r="I19"/>
  <c r="G17"/>
  <c r="F50"/>
  <c r="F147"/>
  <c r="G111"/>
  <c r="I148"/>
  <c r="E118"/>
  <c r="H70"/>
  <c r="H58"/>
  <c r="I52"/>
  <c r="E22"/>
  <c r="D81"/>
  <c r="D105"/>
  <c r="D5"/>
  <c r="E25"/>
  <c r="F71"/>
  <c r="G18"/>
  <c r="E145"/>
  <c r="G120"/>
  <c r="D12"/>
  <c r="D138"/>
  <c r="D68"/>
  <c r="E31"/>
  <c r="F61"/>
  <c r="E57"/>
  <c r="E120"/>
  <c r="C146"/>
  <c r="G68"/>
  <c r="F124"/>
  <c r="C40"/>
  <c r="H7"/>
  <c r="F17"/>
  <c r="G101"/>
  <c r="H103"/>
  <c r="C53"/>
  <c r="H80"/>
  <c r="H134"/>
  <c r="I48"/>
  <c r="I49"/>
  <c r="I98"/>
  <c r="I149"/>
  <c r="G23"/>
  <c r="H22"/>
  <c r="G124"/>
  <c r="H123"/>
  <c r="I145"/>
  <c r="C128"/>
  <c r="F55"/>
  <c r="F83"/>
  <c r="I87"/>
  <c r="D86"/>
  <c r="D64"/>
  <c r="E94"/>
  <c r="F45"/>
  <c r="D49"/>
  <c r="H53"/>
  <c r="I31"/>
  <c r="G46"/>
  <c r="G114"/>
  <c r="I146"/>
  <c r="I135"/>
  <c r="D139"/>
  <c r="E21"/>
  <c r="I112"/>
  <c r="D59"/>
  <c r="H73"/>
  <c r="I136"/>
  <c r="C106"/>
  <c r="C48"/>
  <c r="D103"/>
  <c r="F94"/>
  <c r="D53"/>
  <c r="G106"/>
  <c r="D88"/>
  <c r="I97"/>
  <c r="E38"/>
  <c r="F123"/>
  <c r="E71"/>
  <c r="E68"/>
  <c r="G72"/>
  <c r="C51"/>
  <c r="G89"/>
  <c r="G74"/>
  <c r="C91"/>
  <c r="G99"/>
  <c r="C127"/>
  <c r="D119"/>
  <c r="E52"/>
  <c r="D137"/>
  <c r="I21"/>
  <c r="G94"/>
  <c r="C104"/>
  <c r="G40"/>
  <c r="G25"/>
  <c r="E60"/>
  <c r="C94"/>
  <c r="E119"/>
  <c r="H13"/>
  <c r="C9"/>
  <c r="G79"/>
  <c r="I47"/>
  <c r="D24"/>
  <c r="H52"/>
  <c r="I51"/>
  <c r="D62"/>
  <c r="F11"/>
  <c r="I150" l="1"/>
  <c r="E26"/>
  <c r="E27" s="1"/>
  <c r="C150"/>
  <c r="G150"/>
  <c r="C28"/>
  <c r="G28"/>
  <c r="E6" i="11"/>
  <c r="E20"/>
  <c r="F28" i="23"/>
  <c r="H26"/>
  <c r="H27" s="1"/>
  <c r="H107"/>
  <c r="H28"/>
  <c r="C107"/>
  <c r="E107"/>
  <c r="F26"/>
  <c r="F27" s="1"/>
  <c r="C26"/>
  <c r="C27" s="1"/>
  <c r="F107"/>
  <c r="G107"/>
  <c r="E28"/>
  <c r="E8" i="11"/>
  <c r="G26" i="23"/>
  <c r="G27" s="1"/>
  <c r="E17" i="11"/>
  <c r="E16"/>
  <c r="E150" i="23"/>
  <c r="D26"/>
  <c r="D27" s="1"/>
  <c r="H150"/>
  <c r="E9" i="11"/>
  <c r="D107" i="23"/>
  <c r="I28"/>
  <c r="E22" i="11" s="1"/>
  <c r="E5"/>
  <c r="E21"/>
  <c r="D28" i="23"/>
  <c r="E13" i="11"/>
  <c r="E15" s="1"/>
  <c r="F150" i="23"/>
  <c r="E7" i="11"/>
  <c r="E19"/>
  <c r="I26" i="23"/>
  <c r="I27" s="1"/>
  <c r="D150"/>
  <c r="I107"/>
  <c r="E11" i="11"/>
  <c r="S46" i="27"/>
  <c r="G82" i="29" s="1"/>
  <c r="G78"/>
  <c r="R57" i="27"/>
  <c r="F77" i="29"/>
  <c r="J13" i="28"/>
  <c r="J12" s="1"/>
  <c r="R55" i="27"/>
  <c r="R58" s="1"/>
  <c r="S65"/>
  <c r="S71" s="1"/>
  <c r="R71"/>
  <c r="R70"/>
  <c r="S64"/>
  <c r="S70" s="1"/>
  <c r="S25"/>
  <c r="S28"/>
  <c r="G84" i="29" s="1"/>
  <c r="S54" i="27"/>
  <c r="K69" i="28"/>
  <c r="K14"/>
  <c r="L17"/>
  <c r="K17"/>
  <c r="J21"/>
  <c r="R69" i="27"/>
  <c r="S63"/>
  <c r="S69" s="1"/>
  <c r="K18" i="28"/>
  <c r="J50" i="11" s="1"/>
  <c r="L37" i="28"/>
  <c r="L44" s="1"/>
  <c r="K44"/>
  <c r="K70" s="1"/>
  <c r="L48"/>
  <c r="K55"/>
  <c r="K71" s="1"/>
  <c r="K19"/>
  <c r="K66"/>
  <c r="K72" s="1"/>
  <c r="K68" s="1"/>
  <c r="L59"/>
  <c r="L15"/>
  <c r="K15"/>
  <c r="J73"/>
  <c r="S27" i="27"/>
  <c r="E18" i="11" l="1"/>
  <c r="E10"/>
  <c r="E12" s="1"/>
  <c r="S57" i="27"/>
  <c r="G77" i="29"/>
  <c r="S55" i="27"/>
  <c r="S58" s="1"/>
  <c r="K13" i="28"/>
  <c r="K12" s="1"/>
  <c r="L70"/>
  <c r="L14"/>
  <c r="L21" s="1"/>
  <c r="L69"/>
  <c r="L19"/>
  <c r="M19"/>
  <c r="L55"/>
  <c r="L71" s="1"/>
  <c r="M48"/>
  <c r="L18"/>
  <c r="K50" i="11" s="1"/>
  <c r="M18" i="28"/>
  <c r="L50" i="11" s="1"/>
  <c r="L66" i="28"/>
  <c r="L72" s="1"/>
  <c r="L68" s="1"/>
  <c r="M59"/>
  <c r="K73"/>
  <c r="K21"/>
  <c r="M37"/>
  <c r="M20"/>
  <c r="L13" l="1"/>
  <c r="L12" s="1"/>
  <c r="L73"/>
  <c r="M14" l="1"/>
  <c r="M5"/>
  <c r="H18" i="11" l="1"/>
  <c r="I18"/>
  <c r="J18"/>
  <c r="K18"/>
  <c r="L18"/>
  <c r="E60" i="7"/>
  <c r="F60" s="1"/>
  <c r="G60" s="1"/>
  <c r="H60" s="1"/>
  <c r="D60"/>
  <c r="B76"/>
  <c r="B83" s="1"/>
  <c r="E66"/>
  <c r="G66" s="1"/>
  <c r="H66" s="1"/>
  <c r="D66"/>
  <c r="C66"/>
  <c r="H65"/>
  <c r="H76" s="1"/>
  <c r="H83" s="1"/>
  <c r="D65"/>
  <c r="D76" s="1"/>
  <c r="D83" s="1"/>
  <c r="H55"/>
  <c r="D55"/>
  <c r="E55"/>
  <c r="E65" s="1"/>
  <c r="E76" s="1"/>
  <c r="E83" s="1"/>
  <c r="F55"/>
  <c r="F65" s="1"/>
  <c r="F76" s="1"/>
  <c r="F83" s="1"/>
  <c r="G55"/>
  <c r="G65" s="1"/>
  <c r="G76" s="1"/>
  <c r="G83" s="1"/>
  <c r="C55"/>
  <c r="C65" s="1"/>
  <c r="C76" s="1"/>
  <c r="C83" s="1"/>
  <c r="M17" i="28" l="1"/>
  <c r="C6" i="29"/>
  <c r="E30" i="10"/>
  <c r="F30" s="1"/>
  <c r="G30" s="1"/>
  <c r="H30" s="1"/>
  <c r="D30"/>
  <c r="D29"/>
  <c r="C29"/>
  <c r="J108"/>
  <c r="K108"/>
  <c r="L108"/>
  <c r="I108"/>
  <c r="E110"/>
  <c r="C104"/>
  <c r="K109" s="1"/>
  <c r="K110" s="1"/>
  <c r="C110"/>
  <c r="B110"/>
  <c r="H110"/>
  <c r="G110"/>
  <c r="F110"/>
  <c r="E50"/>
  <c r="T38" i="27" l="1"/>
  <c r="C3" i="29"/>
  <c r="L109" i="10"/>
  <c r="J109"/>
  <c r="C105"/>
  <c r="I109"/>
  <c r="L110"/>
  <c r="J110"/>
  <c r="I110"/>
  <c r="L69" i="11"/>
  <c r="L48"/>
  <c r="L47"/>
  <c r="L46" l="1"/>
  <c r="B87" i="7" l="1"/>
  <c r="H90"/>
  <c r="H89"/>
  <c r="H86"/>
  <c r="H85"/>
  <c r="H58"/>
  <c r="D56"/>
  <c r="E56" s="1"/>
  <c r="F56" s="1"/>
  <c r="G56" s="1"/>
  <c r="H56" s="1"/>
  <c r="E47" i="10"/>
  <c r="E29" s="1"/>
  <c r="E99"/>
  <c r="E97"/>
  <c r="I49"/>
  <c r="I48"/>
  <c r="I47"/>
  <c r="E76"/>
  <c r="C74"/>
  <c r="B72" s="1"/>
  <c r="J66"/>
  <c r="K66"/>
  <c r="L66"/>
  <c r="E66"/>
  <c r="A1"/>
  <c r="D136"/>
  <c r="E136" s="1"/>
  <c r="F136" s="1"/>
  <c r="G136" s="1"/>
  <c r="H136" s="1"/>
  <c r="I136" s="1"/>
  <c r="J136" s="1"/>
  <c r="C136"/>
  <c r="C137" s="1"/>
  <c r="D137" s="1"/>
  <c r="E137" s="1"/>
  <c r="F137" s="1"/>
  <c r="G137" s="1"/>
  <c r="H137" s="1"/>
  <c r="I137" s="1"/>
  <c r="J137" s="1"/>
  <c r="D135"/>
  <c r="E135" s="1"/>
  <c r="F135" s="1"/>
  <c r="G135" s="1"/>
  <c r="H135" s="1"/>
  <c r="I135" s="1"/>
  <c r="J135" s="1"/>
  <c r="C135"/>
  <c r="D134"/>
  <c r="E134" s="1"/>
  <c r="F134" s="1"/>
  <c r="G134" s="1"/>
  <c r="H134" s="1"/>
  <c r="I134" s="1"/>
  <c r="J134" s="1"/>
  <c r="C134"/>
  <c r="C99"/>
  <c r="B99"/>
  <c r="B93"/>
  <c r="A90"/>
  <c r="C88"/>
  <c r="B88"/>
  <c r="M87"/>
  <c r="L87"/>
  <c r="K87"/>
  <c r="J87"/>
  <c r="I87"/>
  <c r="H87"/>
  <c r="G87"/>
  <c r="F87"/>
  <c r="E87"/>
  <c r="M86"/>
  <c r="M88" s="1"/>
  <c r="L86"/>
  <c r="L88" s="1"/>
  <c r="K86"/>
  <c r="K88" s="1"/>
  <c r="J86"/>
  <c r="J88" s="1"/>
  <c r="I86"/>
  <c r="I88" s="1"/>
  <c r="H86"/>
  <c r="H88" s="1"/>
  <c r="G86"/>
  <c r="G88" s="1"/>
  <c r="F86"/>
  <c r="F88" s="1"/>
  <c r="E86"/>
  <c r="E88" s="1"/>
  <c r="B83"/>
  <c r="D78"/>
  <c r="C78"/>
  <c r="B78"/>
  <c r="K76"/>
  <c r="D68"/>
  <c r="C68"/>
  <c r="B68"/>
  <c r="B54"/>
  <c r="H43"/>
  <c r="C43"/>
  <c r="H26"/>
  <c r="H46" s="1"/>
  <c r="G26"/>
  <c r="G46" s="1"/>
  <c r="F26"/>
  <c r="F46" s="1"/>
  <c r="E26"/>
  <c r="E46" s="1"/>
  <c r="D26"/>
  <c r="D46" s="1"/>
  <c r="C26"/>
  <c r="C46" s="1"/>
  <c r="B26"/>
  <c r="B46" s="1"/>
  <c r="F47" l="1"/>
  <c r="F50"/>
  <c r="L97"/>
  <c r="B73"/>
  <c r="K77"/>
  <c r="I77"/>
  <c r="G77"/>
  <c r="L77"/>
  <c r="J77"/>
  <c r="H77"/>
  <c r="F77"/>
  <c r="K78"/>
  <c r="F66"/>
  <c r="H66"/>
  <c r="F76"/>
  <c r="F78" s="1"/>
  <c r="H76"/>
  <c r="H78" s="1"/>
  <c r="J76"/>
  <c r="J78" s="1"/>
  <c r="L76"/>
  <c r="L78" s="1"/>
  <c r="G97"/>
  <c r="I97"/>
  <c r="K97"/>
  <c r="G66"/>
  <c r="I66"/>
  <c r="E78"/>
  <c r="G76"/>
  <c r="G78" s="1"/>
  <c r="I76"/>
  <c r="I78" s="1"/>
  <c r="F97"/>
  <c r="H97"/>
  <c r="J97"/>
  <c r="F29" l="1"/>
  <c r="G47"/>
  <c r="G50"/>
  <c r="F43"/>
  <c r="E54"/>
  <c r="G43"/>
  <c r="G29" l="1"/>
  <c r="H47"/>
  <c r="H29" s="1"/>
  <c r="G54"/>
  <c r="H50"/>
  <c r="C94" s="1"/>
  <c r="C93" s="1"/>
  <c r="E37"/>
  <c r="F54"/>
  <c r="E42"/>
  <c r="E6"/>
  <c r="E12" i="14" s="1"/>
  <c r="D37" i="10"/>
  <c r="H54" l="1"/>
  <c r="H6" s="1"/>
  <c r="I98"/>
  <c r="I99" s="1"/>
  <c r="L98"/>
  <c r="L99" s="1"/>
  <c r="H98"/>
  <c r="H99" s="1"/>
  <c r="K98"/>
  <c r="K99" s="1"/>
  <c r="G98"/>
  <c r="G99" s="1"/>
  <c r="J98"/>
  <c r="J99" s="1"/>
  <c r="F98"/>
  <c r="F99" s="1"/>
  <c r="E38" i="7"/>
  <c r="G42" i="10"/>
  <c r="G6"/>
  <c r="G12" i="14" s="1"/>
  <c r="D43" i="10"/>
  <c r="F6"/>
  <c r="F12" i="14" s="1"/>
  <c r="F42" i="10"/>
  <c r="D54"/>
  <c r="E43"/>
  <c r="H42" l="1"/>
  <c r="H38" i="7"/>
  <c r="F38"/>
  <c r="G38"/>
  <c r="D6" i="10"/>
  <c r="D12" i="14" s="1"/>
  <c r="D42" i="10"/>
  <c r="C54"/>
  <c r="D38" i="7" l="1"/>
  <c r="C42" i="10"/>
  <c r="C6"/>
  <c r="C38" i="7" s="1"/>
  <c r="I54" i="10" l="1"/>
  <c r="T49" i="27" l="1"/>
  <c r="B6" i="7" l="1"/>
  <c r="E8"/>
  <c r="F8"/>
  <c r="G8"/>
  <c r="B12" i="29" l="1"/>
  <c r="B13"/>
  <c r="B10"/>
  <c r="B55" i="10"/>
  <c r="B56" s="1"/>
  <c r="C16" i="7"/>
  <c r="C17" s="1"/>
  <c r="C10" i="29"/>
  <c r="D8" i="7"/>
  <c r="C8"/>
  <c r="I62" i="27"/>
  <c r="B5" i="29" l="1"/>
  <c r="B3"/>
  <c r="B11"/>
  <c r="C12" i="7"/>
  <c r="C13" i="29"/>
  <c r="B6"/>
  <c r="C14" i="7"/>
  <c r="D6" i="29"/>
  <c r="C11"/>
  <c r="I59" i="27"/>
  <c r="I58"/>
  <c r="C54"/>
  <c r="C8" s="1"/>
  <c r="D54"/>
  <c r="D8" s="1"/>
  <c r="E54"/>
  <c r="E8" s="1"/>
  <c r="E10" s="1"/>
  <c r="F54"/>
  <c r="F8" s="1"/>
  <c r="G54"/>
  <c r="G8" s="1"/>
  <c r="G10" s="1"/>
  <c r="H54"/>
  <c r="H8" s="1"/>
  <c r="I54"/>
  <c r="I8" s="1"/>
  <c r="I10" s="1"/>
  <c r="B54"/>
  <c r="B8" s="1"/>
  <c r="C12" i="29" l="1"/>
  <c r="D5"/>
  <c r="B4"/>
  <c r="D3"/>
  <c r="C10" i="7"/>
  <c r="D12"/>
  <c r="D14"/>
  <c r="D16"/>
  <c r="D17" s="1"/>
  <c r="D4" i="29"/>
  <c r="C10" i="27"/>
  <c r="H57"/>
  <c r="I57"/>
  <c r="I61"/>
  <c r="I60"/>
  <c r="H10"/>
  <c r="F10"/>
  <c r="D10"/>
  <c r="AU30" i="23"/>
  <c r="AU4"/>
  <c r="Z139"/>
  <c r="Z62"/>
  <c r="Z42"/>
  <c r="Z125"/>
  <c r="Z54"/>
  <c r="Z25"/>
  <c r="Z23"/>
  <c r="Z45"/>
  <c r="Z99"/>
  <c r="Z15"/>
  <c r="Z144"/>
  <c r="Z65"/>
  <c r="Z146"/>
  <c r="Z126"/>
  <c r="Z57"/>
  <c r="Z82"/>
  <c r="Z95"/>
  <c r="Z129"/>
  <c r="Z123"/>
  <c r="Z86"/>
  <c r="Z88"/>
  <c r="Z84"/>
  <c r="Z130"/>
  <c r="Z35"/>
  <c r="Z106"/>
  <c r="Z81"/>
  <c r="Z132"/>
  <c r="Z136"/>
  <c r="Z120"/>
  <c r="Z31"/>
  <c r="Z100"/>
  <c r="Z12"/>
  <c r="Z14"/>
  <c r="Z16"/>
  <c r="Z143"/>
  <c r="Z41"/>
  <c r="Z141"/>
  <c r="Z104"/>
  <c r="Z66"/>
  <c r="Z134"/>
  <c r="Z21"/>
  <c r="Z137"/>
  <c r="Z74"/>
  <c r="Z142"/>
  <c r="Z39"/>
  <c r="Z61"/>
  <c r="Z112"/>
  <c r="Z8"/>
  <c r="Z46"/>
  <c r="Z149"/>
  <c r="Z97"/>
  <c r="Z72"/>
  <c r="Z47"/>
  <c r="Z113"/>
  <c r="Z10"/>
  <c r="Z102"/>
  <c r="Z124"/>
  <c r="Z105"/>
  <c r="Z133"/>
  <c r="Z67"/>
  <c r="Z58"/>
  <c r="Z13"/>
  <c r="Z75"/>
  <c r="Z103"/>
  <c r="Z79"/>
  <c r="Z60"/>
  <c r="Z5"/>
  <c r="Z19"/>
  <c r="Z118"/>
  <c r="Z64"/>
  <c r="Z11"/>
  <c r="Z116"/>
  <c r="Z101"/>
  <c r="Z71"/>
  <c r="Z18"/>
  <c r="Z52"/>
  <c r="Z94"/>
  <c r="Z56"/>
  <c r="Z34"/>
  <c r="Z148"/>
  <c r="Z140"/>
  <c r="Z70"/>
  <c r="Z147"/>
  <c r="Z68"/>
  <c r="Z93"/>
  <c r="Z90"/>
  <c r="Z37"/>
  <c r="Z98"/>
  <c r="Z91"/>
  <c r="Z85"/>
  <c r="Z73"/>
  <c r="Z76"/>
  <c r="Z117"/>
  <c r="Z80"/>
  <c r="Z36"/>
  <c r="Z59"/>
  <c r="Z38"/>
  <c r="Z33"/>
  <c r="Z87"/>
  <c r="Z135"/>
  <c r="Z43"/>
  <c r="Z128"/>
  <c r="Z127"/>
  <c r="Z89"/>
  <c r="Z32"/>
  <c r="Z77"/>
  <c r="Z53"/>
  <c r="Z22"/>
  <c r="Z92"/>
  <c r="Z96"/>
  <c r="Z24"/>
  <c r="Z51"/>
  <c r="Z55"/>
  <c r="Z119"/>
  <c r="Z131"/>
  <c r="Z63"/>
  <c r="Z7"/>
  <c r="Z69"/>
  <c r="Z17"/>
  <c r="Z40"/>
  <c r="Z83"/>
  <c r="Z78"/>
  <c r="Z44"/>
  <c r="Z114"/>
  <c r="Z20"/>
  <c r="Z145"/>
  <c r="Z9"/>
  <c r="Z49"/>
  <c r="Z122"/>
  <c r="Z50"/>
  <c r="Z115"/>
  <c r="Z138"/>
  <c r="Z48"/>
  <c r="Z121"/>
  <c r="Z6"/>
  <c r="C6" i="7" l="1"/>
  <c r="C55" i="10"/>
  <c r="C56" s="1"/>
  <c r="U54" i="27"/>
  <c r="D55" i="10"/>
  <c r="D56" s="1"/>
  <c r="D10" i="7"/>
  <c r="E16"/>
  <c r="E17" s="1"/>
  <c r="AU106" i="23"/>
  <c r="AU105"/>
  <c r="AU104"/>
  <c r="AU103"/>
  <c r="AU102"/>
  <c r="AU101"/>
  <c r="AU100"/>
  <c r="AU99"/>
  <c r="AU98"/>
  <c r="AU97"/>
  <c r="AU96"/>
  <c r="AU95"/>
  <c r="AU94"/>
  <c r="AU93"/>
  <c r="AU92"/>
  <c r="AU91"/>
  <c r="AU90"/>
  <c r="AU89"/>
  <c r="AU88"/>
  <c r="AU87"/>
  <c r="AU86"/>
  <c r="AU85"/>
  <c r="AU84"/>
  <c r="AU83"/>
  <c r="AU82"/>
  <c r="AU81"/>
  <c r="AU80"/>
  <c r="AU79"/>
  <c r="AU78"/>
  <c r="AU77"/>
  <c r="AU76"/>
  <c r="AU75"/>
  <c r="AU74"/>
  <c r="AU73"/>
  <c r="AU72"/>
  <c r="AU71"/>
  <c r="AU32"/>
  <c r="AU34"/>
  <c r="AU36"/>
  <c r="AU38"/>
  <c r="AU40"/>
  <c r="AU42"/>
  <c r="AU44"/>
  <c r="AU46"/>
  <c r="AU48"/>
  <c r="AU50"/>
  <c r="AU52"/>
  <c r="AU54"/>
  <c r="AU56"/>
  <c r="AU58"/>
  <c r="AU60"/>
  <c r="AU62"/>
  <c r="AU64"/>
  <c r="AU66"/>
  <c r="AU68"/>
  <c r="AU70"/>
  <c r="AU31"/>
  <c r="AU33"/>
  <c r="AU35"/>
  <c r="AU37"/>
  <c r="AU39"/>
  <c r="AU41"/>
  <c r="AU43"/>
  <c r="AU45"/>
  <c r="AU47"/>
  <c r="AU49"/>
  <c r="AU51"/>
  <c r="AU53"/>
  <c r="AU55"/>
  <c r="AU57"/>
  <c r="AU59"/>
  <c r="AU61"/>
  <c r="AU63"/>
  <c r="AU65"/>
  <c r="AU67"/>
  <c r="AU69"/>
  <c r="AU6"/>
  <c r="AU8"/>
  <c r="AU10"/>
  <c r="AU12"/>
  <c r="AU14"/>
  <c r="AU16"/>
  <c r="AU18"/>
  <c r="AU20"/>
  <c r="AU22"/>
  <c r="AU24"/>
  <c r="AU5"/>
  <c r="AU7"/>
  <c r="AU9"/>
  <c r="AU11"/>
  <c r="AU13"/>
  <c r="AU15"/>
  <c r="AU17"/>
  <c r="AU19"/>
  <c r="AU21"/>
  <c r="AU23"/>
  <c r="AU25"/>
  <c r="Z150"/>
  <c r="Z107"/>
  <c r="Z26"/>
  <c r="Z27" s="1"/>
  <c r="Z28"/>
  <c r="C50" i="7" l="1"/>
  <c r="G5" i="11"/>
  <c r="C39" i="7"/>
  <c r="C49"/>
  <c r="D6"/>
  <c r="E10"/>
  <c r="T45" i="27"/>
  <c r="T46" s="1"/>
  <c r="F16" i="7"/>
  <c r="F17" s="1"/>
  <c r="T36" i="27"/>
  <c r="T64" s="1"/>
  <c r="T70" s="1"/>
  <c r="T26"/>
  <c r="T25" s="1"/>
  <c r="I9"/>
  <c r="H9"/>
  <c r="C81" i="29" l="1"/>
  <c r="T27" i="27"/>
  <c r="D39" i="7"/>
  <c r="D50"/>
  <c r="T65" i="27"/>
  <c r="T71" s="1"/>
  <c r="U46"/>
  <c r="T63"/>
  <c r="T69" s="1"/>
  <c r="G16" i="7"/>
  <c r="G17" s="1"/>
  <c r="H16"/>
  <c r="I11" i="27"/>
  <c r="B9"/>
  <c r="C9"/>
  <c r="D9"/>
  <c r="E9"/>
  <c r="F9"/>
  <c r="G9"/>
  <c r="T54" l="1"/>
  <c r="T57" s="1"/>
  <c r="T62"/>
  <c r="T68" s="1"/>
  <c r="H17" i="7"/>
  <c r="G11" i="27"/>
  <c r="E11"/>
  <c r="C11"/>
  <c r="F11"/>
  <c r="D11"/>
  <c r="H11"/>
  <c r="D99" i="26" l="1"/>
  <c r="D100"/>
  <c r="D101"/>
  <c r="D98"/>
  <c r="D102" s="1"/>
  <c r="D81" l="1"/>
  <c r="F83" s="1"/>
  <c r="D83"/>
  <c r="F81" s="1"/>
  <c r="D80"/>
  <c r="H80" s="1"/>
  <c r="E89"/>
  <c r="E90"/>
  <c r="D82" s="1"/>
  <c r="E91"/>
  <c r="E92"/>
  <c r="D84" s="1"/>
  <c r="E88"/>
  <c r="I82"/>
  <c r="I81"/>
  <c r="I80"/>
  <c r="I83"/>
  <c r="F84"/>
  <c r="M39"/>
  <c r="L39"/>
  <c r="K39"/>
  <c r="J39"/>
  <c r="I39"/>
  <c r="M67"/>
  <c r="L67"/>
  <c r="M65"/>
  <c r="L65"/>
  <c r="M60"/>
  <c r="L60"/>
  <c r="M58"/>
  <c r="L58"/>
  <c r="M53"/>
  <c r="L53"/>
  <c r="M51"/>
  <c r="L51"/>
  <c r="J46"/>
  <c r="K46"/>
  <c r="L46"/>
  <c r="M46"/>
  <c r="I46"/>
  <c r="J44"/>
  <c r="K44"/>
  <c r="L44"/>
  <c r="M44"/>
  <c r="I44"/>
  <c r="I37"/>
  <c r="J37"/>
  <c r="K37"/>
  <c r="L37"/>
  <c r="M37"/>
  <c r="D16"/>
  <c r="K68"/>
  <c r="L68"/>
  <c r="M68"/>
  <c r="K54"/>
  <c r="L54"/>
  <c r="M54"/>
  <c r="K61"/>
  <c r="L61"/>
  <c r="M61"/>
  <c r="I47"/>
  <c r="J47"/>
  <c r="K47"/>
  <c r="L47"/>
  <c r="M47"/>
  <c r="H47"/>
  <c r="I40"/>
  <c r="J40"/>
  <c r="K40"/>
  <c r="L40"/>
  <c r="G74" s="1"/>
  <c r="M40"/>
  <c r="H40"/>
  <c r="I72"/>
  <c r="J72"/>
  <c r="K72"/>
  <c r="L72"/>
  <c r="M72"/>
  <c r="H72"/>
  <c r="I71"/>
  <c r="J71"/>
  <c r="K71"/>
  <c r="L71"/>
  <c r="M71"/>
  <c r="H71"/>
  <c r="E4"/>
  <c r="E5"/>
  <c r="E6"/>
  <c r="E7"/>
  <c r="E8"/>
  <c r="E12"/>
  <c r="E13"/>
  <c r="E14"/>
  <c r="E15"/>
  <c r="E17"/>
  <c r="E18"/>
  <c r="E19"/>
  <c r="E20"/>
  <c r="E21"/>
  <c r="E23"/>
  <c r="E24"/>
  <c r="E25"/>
  <c r="E27"/>
  <c r="E28"/>
  <c r="E29"/>
  <c r="E30"/>
  <c r="E11"/>
  <c r="M47" i="3"/>
  <c r="N41" s="1"/>
  <c r="K47"/>
  <c r="L39" s="1"/>
  <c r="I47"/>
  <c r="G47"/>
  <c r="E47"/>
  <c r="F37" s="1"/>
  <c r="C47"/>
  <c r="D37" s="1"/>
  <c r="H83" i="26" l="1"/>
  <c r="F80"/>
  <c r="H82"/>
  <c r="H81"/>
  <c r="F82"/>
  <c r="J80"/>
  <c r="F74"/>
  <c r="G80"/>
  <c r="D39" i="3"/>
  <c r="F39"/>
  <c r="L45"/>
  <c r="L41"/>
  <c r="N37"/>
  <c r="N43"/>
  <c r="N39"/>
  <c r="L37"/>
  <c r="L43"/>
  <c r="N45"/>
  <c r="M48" i="26"/>
  <c r="H73"/>
  <c r="J73"/>
  <c r="H74"/>
  <c r="M73"/>
  <c r="K73"/>
  <c r="I73"/>
  <c r="L73"/>
  <c r="M62"/>
  <c r="M69"/>
  <c r="M41"/>
  <c r="M46" i="3"/>
  <c r="A45"/>
  <c r="A43"/>
  <c r="A41"/>
  <c r="A39"/>
  <c r="A37"/>
  <c r="AT4" i="23" l="1"/>
  <c r="AV4"/>
  <c r="Y22"/>
  <c r="Y20"/>
  <c r="Y13"/>
  <c r="Y25"/>
  <c r="Y23"/>
  <c r="Y10"/>
  <c r="Y11"/>
  <c r="Y9"/>
  <c r="Y17"/>
  <c r="Y14"/>
  <c r="Y6"/>
  <c r="Y5"/>
  <c r="Y19"/>
  <c r="Y24"/>
  <c r="Y8"/>
  <c r="Y16"/>
  <c r="Y21"/>
  <c r="Y7"/>
  <c r="Y15"/>
  <c r="Y18"/>
  <c r="Y12"/>
  <c r="Y26" l="1"/>
  <c r="AT5"/>
  <c r="AT6"/>
  <c r="AT7"/>
  <c r="AT8"/>
  <c r="AT9"/>
  <c r="AT10"/>
  <c r="AT11"/>
  <c r="AT12"/>
  <c r="AT13"/>
  <c r="AT14"/>
  <c r="AT15"/>
  <c r="AT16"/>
  <c r="AT17"/>
  <c r="AT18"/>
  <c r="AT19"/>
  <c r="AT20"/>
  <c r="AT21"/>
  <c r="AT22"/>
  <c r="AT23"/>
  <c r="AT24"/>
  <c r="AT25"/>
  <c r="Y30"/>
  <c r="AT30" s="1"/>
  <c r="Y87"/>
  <c r="Y31"/>
  <c r="Y104"/>
  <c r="Y105"/>
  <c r="Y37"/>
  <c r="Y67"/>
  <c r="Y39"/>
  <c r="Y71"/>
  <c r="Y86"/>
  <c r="Y41"/>
  <c r="Y101"/>
  <c r="Y70"/>
  <c r="Y49"/>
  <c r="Y106"/>
  <c r="Y35"/>
  <c r="Y75"/>
  <c r="Y103"/>
  <c r="Y99"/>
  <c r="Y91"/>
  <c r="Y32"/>
  <c r="Y96"/>
  <c r="Y72"/>
  <c r="Y94"/>
  <c r="Y92"/>
  <c r="Y85"/>
  <c r="Y43"/>
  <c r="Y45"/>
  <c r="Y52"/>
  <c r="Y46"/>
  <c r="Y82"/>
  <c r="Y80"/>
  <c r="Y83"/>
  <c r="Y98"/>
  <c r="Y63"/>
  <c r="Y102"/>
  <c r="Y76"/>
  <c r="Y62"/>
  <c r="Y59"/>
  <c r="Y57"/>
  <c r="Y78"/>
  <c r="Y60"/>
  <c r="Y40"/>
  <c r="Y42"/>
  <c r="Y50"/>
  <c r="Y89"/>
  <c r="Y95"/>
  <c r="Y88"/>
  <c r="Y48"/>
  <c r="Y68"/>
  <c r="Y74"/>
  <c r="Y33"/>
  <c r="Y56"/>
  <c r="Y77"/>
  <c r="Y55"/>
  <c r="Y47"/>
  <c r="Y61"/>
  <c r="Y64"/>
  <c r="Y58"/>
  <c r="Y93"/>
  <c r="Y97"/>
  <c r="Y100"/>
  <c r="Y38"/>
  <c r="Y44"/>
  <c r="Y79"/>
  <c r="Y65"/>
  <c r="Y66"/>
  <c r="Y84"/>
  <c r="Y81"/>
  <c r="Y34"/>
  <c r="Y73"/>
  <c r="Y51"/>
  <c r="Y53"/>
  <c r="Y69"/>
  <c r="Y36"/>
  <c r="AT106" l="1"/>
  <c r="AT105"/>
  <c r="AT104"/>
  <c r="AT103"/>
  <c r="AT102"/>
  <c r="AT101"/>
  <c r="AT100"/>
  <c r="AT99"/>
  <c r="AT98"/>
  <c r="AT97"/>
  <c r="AT96"/>
  <c r="AT95"/>
  <c r="AT94"/>
  <c r="AT93"/>
  <c r="AT92"/>
  <c r="AT91"/>
  <c r="AT89"/>
  <c r="AT88"/>
  <c r="AT87"/>
  <c r="AT86"/>
  <c r="AT85"/>
  <c r="AT84"/>
  <c r="AT83"/>
  <c r="AT82"/>
  <c r="AT81"/>
  <c r="AT80"/>
  <c r="AT79"/>
  <c r="AT78"/>
  <c r="AT77"/>
  <c r="AT76"/>
  <c r="AT75"/>
  <c r="AT74"/>
  <c r="AT73"/>
  <c r="AT72"/>
  <c r="AT71"/>
  <c r="AT31"/>
  <c r="AT32"/>
  <c r="AT33"/>
  <c r="AT34"/>
  <c r="AT35"/>
  <c r="AT36"/>
  <c r="AT37"/>
  <c r="AT38"/>
  <c r="AT39"/>
  <c r="AT40"/>
  <c r="AT41"/>
  <c r="AT42"/>
  <c r="AT43"/>
  <c r="AT44"/>
  <c r="AT45"/>
  <c r="AT46"/>
  <c r="AT47"/>
  <c r="AT48"/>
  <c r="AT49"/>
  <c r="AT50"/>
  <c r="AT51"/>
  <c r="AT52"/>
  <c r="AT53"/>
  <c r="AT55"/>
  <c r="AT56"/>
  <c r="AT57"/>
  <c r="AT58"/>
  <c r="AT59"/>
  <c r="AT60"/>
  <c r="AT61"/>
  <c r="AT62"/>
  <c r="AT63"/>
  <c r="AT64"/>
  <c r="AT65"/>
  <c r="AT66"/>
  <c r="AT67"/>
  <c r="AT68"/>
  <c r="AT69"/>
  <c r="AT70"/>
  <c r="Y28"/>
  <c r="Y107"/>
  <c r="Y110"/>
  <c r="Y142"/>
  <c r="Y113"/>
  <c r="Y132"/>
  <c r="Y137"/>
  <c r="Y129"/>
  <c r="Y90"/>
  <c r="Y126"/>
  <c r="Y120"/>
  <c r="Y149"/>
  <c r="Y116"/>
  <c r="Y139"/>
  <c r="Y114"/>
  <c r="Y136"/>
  <c r="Y134"/>
  <c r="Y141"/>
  <c r="Y117"/>
  <c r="Y118"/>
  <c r="Y147"/>
  <c r="Y119"/>
  <c r="Y125"/>
  <c r="Y127"/>
  <c r="Y115"/>
  <c r="Y121"/>
  <c r="Y144"/>
  <c r="Y111"/>
  <c r="Y138"/>
  <c r="Y122"/>
  <c r="Y140"/>
  <c r="Y128"/>
  <c r="Y123"/>
  <c r="Y133"/>
  <c r="Y130"/>
  <c r="Y143"/>
  <c r="Y135"/>
  <c r="Y131"/>
  <c r="Y112"/>
  <c r="Y145"/>
  <c r="Y54"/>
  <c r="Y124"/>
  <c r="AT54" l="1"/>
  <c r="AT90"/>
  <c r="Y27"/>
  <c r="Y150"/>
  <c r="M7"/>
  <c r="L24"/>
  <c r="L22"/>
  <c r="L21"/>
  <c r="L10"/>
  <c r="M11"/>
  <c r="L23"/>
  <c r="L17"/>
  <c r="M21"/>
  <c r="L7"/>
  <c r="L18"/>
  <c r="M18"/>
  <c r="L19"/>
  <c r="M20"/>
  <c r="L9"/>
  <c r="L13"/>
  <c r="M22"/>
  <c r="M14"/>
  <c r="L11"/>
  <c r="L20"/>
  <c r="L16"/>
  <c r="M8"/>
  <c r="L15"/>
  <c r="L14"/>
  <c r="M10"/>
  <c r="M25"/>
  <c r="M24"/>
  <c r="M12"/>
  <c r="L6"/>
  <c r="M13"/>
  <c r="M15"/>
  <c r="M23"/>
  <c r="M9"/>
  <c r="L5"/>
  <c r="M6"/>
  <c r="M16"/>
  <c r="M17"/>
  <c r="M5"/>
  <c r="L25"/>
  <c r="L8"/>
  <c r="L12"/>
  <c r="M19"/>
  <c r="M26" l="1"/>
  <c r="L26"/>
  <c r="L30"/>
  <c r="L110" s="1"/>
  <c r="M30"/>
  <c r="M110" s="1"/>
  <c r="A1" i="22" l="1"/>
  <c r="A1" i="18"/>
  <c r="M88" i="23"/>
  <c r="M68"/>
  <c r="M105"/>
  <c r="L39"/>
  <c r="L32"/>
  <c r="L139"/>
  <c r="L61"/>
  <c r="L117"/>
  <c r="L79"/>
  <c r="M80"/>
  <c r="L48"/>
  <c r="M137"/>
  <c r="M125"/>
  <c r="L57"/>
  <c r="L80"/>
  <c r="L60"/>
  <c r="L145"/>
  <c r="M117"/>
  <c r="M55"/>
  <c r="L115"/>
  <c r="L101"/>
  <c r="M81"/>
  <c r="L129"/>
  <c r="M129"/>
  <c r="M74"/>
  <c r="L125"/>
  <c r="L65"/>
  <c r="M131"/>
  <c r="M40"/>
  <c r="L73"/>
  <c r="L47"/>
  <c r="M64"/>
  <c r="M34"/>
  <c r="L70"/>
  <c r="M54"/>
  <c r="M75"/>
  <c r="L37"/>
  <c r="M102"/>
  <c r="L140"/>
  <c r="M66"/>
  <c r="L111"/>
  <c r="M104"/>
  <c r="M143"/>
  <c r="L77"/>
  <c r="M57"/>
  <c r="L40"/>
  <c r="M43"/>
  <c r="L83"/>
  <c r="M51"/>
  <c r="L88"/>
  <c r="M138"/>
  <c r="L143"/>
  <c r="M114"/>
  <c r="M85"/>
  <c r="L50"/>
  <c r="M77"/>
  <c r="M63"/>
  <c r="L54"/>
  <c r="L72"/>
  <c r="M70"/>
  <c r="M113"/>
  <c r="M53"/>
  <c r="L74"/>
  <c r="L63"/>
  <c r="L93"/>
  <c r="M61"/>
  <c r="M124"/>
  <c r="M134"/>
  <c r="L112"/>
  <c r="L45"/>
  <c r="M120"/>
  <c r="M121"/>
  <c r="M39"/>
  <c r="M56"/>
  <c r="L137"/>
  <c r="L84"/>
  <c r="L96"/>
  <c r="L85"/>
  <c r="L127"/>
  <c r="L34"/>
  <c r="L49"/>
  <c r="M38"/>
  <c r="M52"/>
  <c r="M95"/>
  <c r="L98"/>
  <c r="L86"/>
  <c r="M65"/>
  <c r="M78"/>
  <c r="M100"/>
  <c r="M127"/>
  <c r="M123"/>
  <c r="L130"/>
  <c r="L41"/>
  <c r="L69"/>
  <c r="M46"/>
  <c r="L99"/>
  <c r="M45"/>
  <c r="M47"/>
  <c r="L97"/>
  <c r="M115"/>
  <c r="L90"/>
  <c r="L53"/>
  <c r="L35"/>
  <c r="L124"/>
  <c r="M140"/>
  <c r="L114"/>
  <c r="M139"/>
  <c r="M48"/>
  <c r="M93"/>
  <c r="L81"/>
  <c r="L75"/>
  <c r="L105"/>
  <c r="M98"/>
  <c r="M86"/>
  <c r="L126"/>
  <c r="L42"/>
  <c r="L36"/>
  <c r="M89"/>
  <c r="L122"/>
  <c r="M72"/>
  <c r="M87"/>
  <c r="M82"/>
  <c r="L58"/>
  <c r="L123"/>
  <c r="M99"/>
  <c r="L113"/>
  <c r="L55"/>
  <c r="M133"/>
  <c r="M62"/>
  <c r="L66"/>
  <c r="M37"/>
  <c r="L104"/>
  <c r="L106"/>
  <c r="L62"/>
  <c r="M69"/>
  <c r="M67"/>
  <c r="M58"/>
  <c r="L59"/>
  <c r="L71"/>
  <c r="L142"/>
  <c r="M119"/>
  <c r="M36"/>
  <c r="M135"/>
  <c r="M106"/>
  <c r="L116"/>
  <c r="L100"/>
  <c r="L51"/>
  <c r="L141"/>
  <c r="L119"/>
  <c r="M59"/>
  <c r="L134"/>
  <c r="M111"/>
  <c r="M76"/>
  <c r="M96"/>
  <c r="L87"/>
  <c r="L147"/>
  <c r="L149"/>
  <c r="L33"/>
  <c r="L76"/>
  <c r="L136"/>
  <c r="M50"/>
  <c r="M92"/>
  <c r="L89"/>
  <c r="M33"/>
  <c r="L131"/>
  <c r="M60"/>
  <c r="M122"/>
  <c r="L102"/>
  <c r="M116"/>
  <c r="L44"/>
  <c r="L43"/>
  <c r="L135"/>
  <c r="M144"/>
  <c r="M147"/>
  <c r="M103"/>
  <c r="L92"/>
  <c r="M31"/>
  <c r="L78"/>
  <c r="L38"/>
  <c r="M142"/>
  <c r="M35"/>
  <c r="L46"/>
  <c r="L133"/>
  <c r="L103"/>
  <c r="M130"/>
  <c r="L64"/>
  <c r="L52"/>
  <c r="M91"/>
  <c r="M90"/>
  <c r="L128"/>
  <c r="M32"/>
  <c r="M132"/>
  <c r="M71"/>
  <c r="L82"/>
  <c r="M83"/>
  <c r="L31"/>
  <c r="L95"/>
  <c r="M97"/>
  <c r="L121"/>
  <c r="M42"/>
  <c r="L138"/>
  <c r="M149"/>
  <c r="L94"/>
  <c r="M141"/>
  <c r="L144"/>
  <c r="M73"/>
  <c r="M128"/>
  <c r="L132"/>
  <c r="L91"/>
  <c r="M136"/>
  <c r="M94"/>
  <c r="M49"/>
  <c r="M84"/>
  <c r="M145"/>
  <c r="M44"/>
  <c r="M101"/>
  <c r="L120"/>
  <c r="M112"/>
  <c r="M126"/>
  <c r="M79"/>
  <c r="M41"/>
  <c r="L67"/>
  <c r="M118"/>
  <c r="L68"/>
  <c r="L118"/>
  <c r="L56"/>
  <c r="L107" l="1"/>
  <c r="M28"/>
  <c r="M107"/>
  <c r="L28"/>
  <c r="M27"/>
  <c r="L27"/>
  <c r="A26" i="17"/>
  <c r="A15"/>
  <c r="AD30" i="23"/>
  <c r="AE30"/>
  <c r="AF30"/>
  <c r="AG30"/>
  <c r="AH30"/>
  <c r="AC30"/>
  <c r="AA30"/>
  <c r="AV30" s="1"/>
  <c r="O30"/>
  <c r="AJ30" s="1"/>
  <c r="P30"/>
  <c r="P110" s="1"/>
  <c r="Q30"/>
  <c r="AL30" s="1"/>
  <c r="R30"/>
  <c r="R110" s="1"/>
  <c r="S30"/>
  <c r="AN30" s="1"/>
  <c r="T30"/>
  <c r="T110" s="1"/>
  <c r="U30"/>
  <c r="U110" s="1"/>
  <c r="V30"/>
  <c r="V110" s="1"/>
  <c r="W30"/>
  <c r="W110" s="1"/>
  <c r="X30"/>
  <c r="X110" s="1"/>
  <c r="N30"/>
  <c r="N110" s="1"/>
  <c r="AK4"/>
  <c r="AL4"/>
  <c r="AM4"/>
  <c r="AN4"/>
  <c r="AO4"/>
  <c r="AP4"/>
  <c r="AQ4"/>
  <c r="AR4"/>
  <c r="AS4"/>
  <c r="AJ4"/>
  <c r="AD4"/>
  <c r="AE4"/>
  <c r="AF4"/>
  <c r="AG4"/>
  <c r="AH4"/>
  <c r="AC4"/>
  <c r="X7"/>
  <c r="X9"/>
  <c r="X22"/>
  <c r="X20"/>
  <c r="X14"/>
  <c r="X25"/>
  <c r="X18"/>
  <c r="X5"/>
  <c r="X10"/>
  <c r="X11"/>
  <c r="X19"/>
  <c r="X12"/>
  <c r="X13"/>
  <c r="X24"/>
  <c r="X17"/>
  <c r="X16"/>
  <c r="X15"/>
  <c r="X21"/>
  <c r="X8"/>
  <c r="U31"/>
  <c r="X6"/>
  <c r="W31"/>
  <c r="X23"/>
  <c r="S110" l="1"/>
  <c r="O110"/>
  <c r="Q110"/>
  <c r="X26"/>
  <c r="AA110"/>
  <c r="AA105"/>
  <c r="AA103"/>
  <c r="AA101"/>
  <c r="AA99"/>
  <c r="AA97"/>
  <c r="AA95"/>
  <c r="AA93"/>
  <c r="AA91"/>
  <c r="AA89"/>
  <c r="AA87"/>
  <c r="AA85"/>
  <c r="AA83"/>
  <c r="AA81"/>
  <c r="AA79"/>
  <c r="AA77"/>
  <c r="AA75"/>
  <c r="AA73"/>
  <c r="AA71"/>
  <c r="AA69"/>
  <c r="AA67"/>
  <c r="AA65"/>
  <c r="AA63"/>
  <c r="AA61"/>
  <c r="AA59"/>
  <c r="AA57"/>
  <c r="AA55"/>
  <c r="AA53"/>
  <c r="AA51"/>
  <c r="AA49"/>
  <c r="AA47"/>
  <c r="AA45"/>
  <c r="AA43"/>
  <c r="AA41"/>
  <c r="AA39"/>
  <c r="AA37"/>
  <c r="AA35"/>
  <c r="AA33"/>
  <c r="AA31"/>
  <c r="AA106"/>
  <c r="AA104"/>
  <c r="AV104" s="1"/>
  <c r="AA102"/>
  <c r="AA100"/>
  <c r="AA98"/>
  <c r="AA96"/>
  <c r="AA94"/>
  <c r="AA92"/>
  <c r="AA90"/>
  <c r="AA88"/>
  <c r="AA86"/>
  <c r="AA84"/>
  <c r="AA82"/>
  <c r="AA80"/>
  <c r="AA78"/>
  <c r="AA76"/>
  <c r="AA74"/>
  <c r="AA72"/>
  <c r="AA70"/>
  <c r="AA68"/>
  <c r="AA66"/>
  <c r="AA64"/>
  <c r="AA62"/>
  <c r="AA60"/>
  <c r="AA58"/>
  <c r="AA56"/>
  <c r="AA54"/>
  <c r="AA52"/>
  <c r="AA50"/>
  <c r="AA48"/>
  <c r="AA46"/>
  <c r="AA44"/>
  <c r="AA42"/>
  <c r="AA40"/>
  <c r="AA38"/>
  <c r="AA36"/>
  <c r="AA34"/>
  <c r="AA32"/>
  <c r="AA107"/>
  <c r="AS30"/>
  <c r="AQ30"/>
  <c r="AO30"/>
  <c r="AM30"/>
  <c r="AK30"/>
  <c r="AR30"/>
  <c r="AP30"/>
  <c r="AS6"/>
  <c r="AS8"/>
  <c r="AS10"/>
  <c r="AS12"/>
  <c r="AS16"/>
  <c r="AS20"/>
  <c r="AS24"/>
  <c r="AS5"/>
  <c r="AS7"/>
  <c r="AS9"/>
  <c r="AS11"/>
  <c r="AS13"/>
  <c r="AS15"/>
  <c r="AS17"/>
  <c r="AS19"/>
  <c r="AS21"/>
  <c r="AS23"/>
  <c r="AS25"/>
  <c r="AS14"/>
  <c r="AS18"/>
  <c r="AS22"/>
  <c r="A1" i="3"/>
  <c r="AV72" i="23" l="1"/>
  <c r="AV76"/>
  <c r="AV80"/>
  <c r="AV84"/>
  <c r="AV88"/>
  <c r="AV92"/>
  <c r="AV96"/>
  <c r="AV100"/>
  <c r="AV74"/>
  <c r="AV78"/>
  <c r="AV82"/>
  <c r="AV86"/>
  <c r="AV90"/>
  <c r="AV94"/>
  <c r="AV98"/>
  <c r="AV102"/>
  <c r="AV106"/>
  <c r="AV31"/>
  <c r="AV32"/>
  <c r="AV33"/>
  <c r="AV34"/>
  <c r="AV35"/>
  <c r="AV36"/>
  <c r="AV37"/>
  <c r="AV38"/>
  <c r="AV39"/>
  <c r="AV40"/>
  <c r="AV41"/>
  <c r="AV42"/>
  <c r="AV43"/>
  <c r="AV44"/>
  <c r="AV45"/>
  <c r="AV46"/>
  <c r="AV47"/>
  <c r="AV48"/>
  <c r="AV49"/>
  <c r="AV50"/>
  <c r="AV51"/>
  <c r="AV52"/>
  <c r="AV53"/>
  <c r="AV54"/>
  <c r="AV55"/>
  <c r="AV56"/>
  <c r="AV57"/>
  <c r="AV58"/>
  <c r="AV59"/>
  <c r="AV60"/>
  <c r="AV61"/>
  <c r="AV62"/>
  <c r="AV63"/>
  <c r="AV64"/>
  <c r="AV65"/>
  <c r="AV66"/>
  <c r="AV67"/>
  <c r="AV68"/>
  <c r="AV69"/>
  <c r="AV70"/>
  <c r="AV71"/>
  <c r="AV75"/>
  <c r="AV79"/>
  <c r="AV83"/>
  <c r="AV87"/>
  <c r="AV91"/>
  <c r="AV95"/>
  <c r="AV99"/>
  <c r="AV103"/>
  <c r="AV73"/>
  <c r="AV77"/>
  <c r="AV81"/>
  <c r="AV85"/>
  <c r="AV89"/>
  <c r="AV93"/>
  <c r="AV97"/>
  <c r="AV101"/>
  <c r="AV105"/>
  <c r="A69" i="3" l="1"/>
  <c r="A68"/>
  <c r="A67"/>
  <c r="A66"/>
  <c r="M44"/>
  <c r="M42"/>
  <c r="M40"/>
  <c r="M38"/>
  <c r="K40"/>
  <c r="K38"/>
  <c r="E38"/>
  <c r="E40"/>
  <c r="G38"/>
  <c r="G40"/>
  <c r="I38"/>
  <c r="I40"/>
  <c r="C15" i="7" l="1"/>
  <c r="C11" l="1"/>
  <c r="C13"/>
  <c r="D15"/>
  <c r="C89"/>
  <c r="D89" s="1"/>
  <c r="E89" s="1"/>
  <c r="F89" s="1"/>
  <c r="G89" s="1"/>
  <c r="C86"/>
  <c r="D86" s="1"/>
  <c r="E86" s="1"/>
  <c r="F86" s="1"/>
  <c r="G86" s="1"/>
  <c r="C85"/>
  <c r="D85" s="1"/>
  <c r="E85" s="1"/>
  <c r="F85" s="1"/>
  <c r="G85" s="1"/>
  <c r="C4" i="14"/>
  <c r="D4" s="1"/>
  <c r="E4" s="1"/>
  <c r="F4" s="1"/>
  <c r="G4" s="1"/>
  <c r="B22"/>
  <c r="C29" s="1"/>
  <c r="D13" i="7" l="1"/>
  <c r="D11"/>
  <c r="C58" l="1"/>
  <c r="D58" s="1"/>
  <c r="E58" s="1"/>
  <c r="F58" s="1"/>
  <c r="G58" s="1"/>
  <c r="C4" i="11" l="1"/>
  <c r="C25" s="1"/>
  <c r="C4" i="8"/>
  <c r="D4"/>
  <c r="E4"/>
  <c r="F4"/>
  <c r="B4"/>
  <c r="Q48" i="3" l="1"/>
  <c r="G10" i="16"/>
  <c r="H10"/>
  <c r="B18" s="1"/>
  <c r="E10"/>
  <c r="D10"/>
  <c r="G53" i="8"/>
  <c r="G54" s="1"/>
  <c r="G52"/>
  <c r="B14" i="16" l="1"/>
  <c r="C14"/>
  <c r="A1"/>
  <c r="A1" i="19" s="1"/>
  <c r="A1" i="20" s="1"/>
  <c r="A1" i="21" s="1"/>
  <c r="A1" i="25" s="1"/>
  <c r="C27" i="14" l="1"/>
  <c r="D27" s="1"/>
  <c r="E27" s="1"/>
  <c r="F27" s="1"/>
  <c r="G27" s="1"/>
  <c r="A1" i="13" l="1"/>
  <c r="C4"/>
  <c r="D4" s="1"/>
  <c r="E4" s="1"/>
  <c r="F4" s="1"/>
  <c r="G4" s="1"/>
  <c r="H4" s="1"/>
  <c r="I4" s="1"/>
  <c r="J4" s="1"/>
  <c r="K4" s="1"/>
  <c r="A1" i="14" l="1"/>
  <c r="K25" i="7" l="1"/>
  <c r="X38" i="23"/>
  <c r="V41"/>
  <c r="J20"/>
  <c r="U38"/>
  <c r="U14"/>
  <c r="U16"/>
  <c r="X149"/>
  <c r="X90"/>
  <c r="V61"/>
  <c r="J95"/>
  <c r="U88"/>
  <c r="V93"/>
  <c r="J23"/>
  <c r="U82"/>
  <c r="X100"/>
  <c r="U105"/>
  <c r="U45"/>
  <c r="T82"/>
  <c r="X33"/>
  <c r="J35"/>
  <c r="J51"/>
  <c r="X136"/>
  <c r="J66"/>
  <c r="V43"/>
  <c r="V81"/>
  <c r="T96"/>
  <c r="W96"/>
  <c r="X81"/>
  <c r="J25"/>
  <c r="U86"/>
  <c r="J6"/>
  <c r="T64"/>
  <c r="J105"/>
  <c r="X143"/>
  <c r="V37"/>
  <c r="X147"/>
  <c r="J85"/>
  <c r="T76"/>
  <c r="X51"/>
  <c r="T77"/>
  <c r="U98"/>
  <c r="W12"/>
  <c r="W8"/>
  <c r="V60"/>
  <c r="J136"/>
  <c r="J42"/>
  <c r="X144"/>
  <c r="U64"/>
  <c r="X91"/>
  <c r="J37"/>
  <c r="W52"/>
  <c r="W6"/>
  <c r="J77"/>
  <c r="J41"/>
  <c r="V104"/>
  <c r="V25"/>
  <c r="X77"/>
  <c r="X63"/>
  <c r="X140"/>
  <c r="X67"/>
  <c r="T52"/>
  <c r="V49"/>
  <c r="U52"/>
  <c r="T49"/>
  <c r="J86"/>
  <c r="T48"/>
  <c r="W58"/>
  <c r="W73"/>
  <c r="X65"/>
  <c r="U93"/>
  <c r="X89"/>
  <c r="W21"/>
  <c r="T73"/>
  <c r="J112"/>
  <c r="X137"/>
  <c r="J15"/>
  <c r="V103"/>
  <c r="T46"/>
  <c r="J76"/>
  <c r="J83"/>
  <c r="U42"/>
  <c r="U46"/>
  <c r="J121"/>
  <c r="U75"/>
  <c r="V84"/>
  <c r="T35"/>
  <c r="X101"/>
  <c r="J91"/>
  <c r="X80"/>
  <c r="W18"/>
  <c r="W74"/>
  <c r="V48"/>
  <c r="J117"/>
  <c r="W36"/>
  <c r="U57"/>
  <c r="U21"/>
  <c r="U49"/>
  <c r="T72"/>
  <c r="V22"/>
  <c r="J82"/>
  <c r="X113"/>
  <c r="V51"/>
  <c r="J12"/>
  <c r="V91"/>
  <c r="J40"/>
  <c r="W7"/>
  <c r="J47"/>
  <c r="W72"/>
  <c r="J64"/>
  <c r="J135"/>
  <c r="J24"/>
  <c r="W43"/>
  <c r="V102"/>
  <c r="X115"/>
  <c r="X59"/>
  <c r="J55"/>
  <c r="U41"/>
  <c r="T60"/>
  <c r="J70"/>
  <c r="W104"/>
  <c r="V35"/>
  <c r="J120"/>
  <c r="W83"/>
  <c r="X116"/>
  <c r="U92"/>
  <c r="U50"/>
  <c r="W59"/>
  <c r="U40"/>
  <c r="X66"/>
  <c r="V83"/>
  <c r="U15"/>
  <c r="J13"/>
  <c r="W79"/>
  <c r="V82"/>
  <c r="V33"/>
  <c r="T53"/>
  <c r="X73"/>
  <c r="W89"/>
  <c r="T38"/>
  <c r="V97"/>
  <c r="X52"/>
  <c r="W14"/>
  <c r="U54"/>
  <c r="V90"/>
  <c r="J52"/>
  <c r="T104"/>
  <c r="J146"/>
  <c r="X142"/>
  <c r="U71"/>
  <c r="W64"/>
  <c r="U22"/>
  <c r="X37"/>
  <c r="T62"/>
  <c r="U99"/>
  <c r="W76"/>
  <c r="W77"/>
  <c r="V68"/>
  <c r="J140"/>
  <c r="J113"/>
  <c r="X134"/>
  <c r="V66"/>
  <c r="J142"/>
  <c r="V76"/>
  <c r="W11"/>
  <c r="V45"/>
  <c r="V99"/>
  <c r="X83"/>
  <c r="U80"/>
  <c r="W16"/>
  <c r="T99"/>
  <c r="J65"/>
  <c r="W78"/>
  <c r="J80"/>
  <c r="V8"/>
  <c r="J74"/>
  <c r="U67"/>
  <c r="U20"/>
  <c r="J36"/>
  <c r="V7"/>
  <c r="J118"/>
  <c r="W105"/>
  <c r="J16"/>
  <c r="T84"/>
  <c r="V5"/>
  <c r="T50"/>
  <c r="T88"/>
  <c r="J116"/>
  <c r="J131"/>
  <c r="W34"/>
  <c r="V53"/>
  <c r="V40"/>
  <c r="T42"/>
  <c r="X69"/>
  <c r="U103"/>
  <c r="T71"/>
  <c r="J124"/>
  <c r="V64"/>
  <c r="X128"/>
  <c r="J63"/>
  <c r="W75"/>
  <c r="J21"/>
  <c r="T87"/>
  <c r="X125"/>
  <c r="U33"/>
  <c r="U96"/>
  <c r="J48"/>
  <c r="X48"/>
  <c r="T93"/>
  <c r="X92"/>
  <c r="J123"/>
  <c r="U73"/>
  <c r="U74"/>
  <c r="X129"/>
  <c r="V52"/>
  <c r="U43"/>
  <c r="X40"/>
  <c r="J43"/>
  <c r="W82"/>
  <c r="X86"/>
  <c r="J73"/>
  <c r="J39"/>
  <c r="W22"/>
  <c r="W63"/>
  <c r="J114"/>
  <c r="U18"/>
  <c r="W19"/>
  <c r="V9"/>
  <c r="X117"/>
  <c r="T70"/>
  <c r="U23"/>
  <c r="T56"/>
  <c r="U90"/>
  <c r="T51"/>
  <c r="V38"/>
  <c r="J101"/>
  <c r="W91"/>
  <c r="W95"/>
  <c r="T58"/>
  <c r="J88"/>
  <c r="W5"/>
  <c r="T85"/>
  <c r="T97"/>
  <c r="U25"/>
  <c r="U63"/>
  <c r="T74"/>
  <c r="X57"/>
  <c r="J17"/>
  <c r="X96"/>
  <c r="J50"/>
  <c r="J93"/>
  <c r="V101"/>
  <c r="V10"/>
  <c r="J57"/>
  <c r="X93"/>
  <c r="W88"/>
  <c r="W47"/>
  <c r="T95"/>
  <c r="W39"/>
  <c r="T98"/>
  <c r="V23"/>
  <c r="T40"/>
  <c r="X47"/>
  <c r="J106"/>
  <c r="W90"/>
  <c r="W61"/>
  <c r="X70"/>
  <c r="U55"/>
  <c r="W9"/>
  <c r="T69"/>
  <c r="U7"/>
  <c r="W40"/>
  <c r="X118"/>
  <c r="U85"/>
  <c r="U17"/>
  <c r="J137"/>
  <c r="W71"/>
  <c r="J97"/>
  <c r="U35"/>
  <c r="W13"/>
  <c r="X34"/>
  <c r="T59"/>
  <c r="U100"/>
  <c r="W33"/>
  <c r="T105"/>
  <c r="U84"/>
  <c r="X58"/>
  <c r="W25"/>
  <c r="T103"/>
  <c r="X53"/>
  <c r="X32"/>
  <c r="V16"/>
  <c r="T37"/>
  <c r="T90"/>
  <c r="J31"/>
  <c r="U53"/>
  <c r="V89"/>
  <c r="W53"/>
  <c r="T86"/>
  <c r="X71"/>
  <c r="X46"/>
  <c r="W17"/>
  <c r="X133"/>
  <c r="J132"/>
  <c r="W93"/>
  <c r="X75"/>
  <c r="U83"/>
  <c r="V59"/>
  <c r="J56"/>
  <c r="X132"/>
  <c r="J78"/>
  <c r="J54"/>
  <c r="W10"/>
  <c r="X127"/>
  <c r="J139"/>
  <c r="J79"/>
  <c r="U91"/>
  <c r="V92"/>
  <c r="U36"/>
  <c r="J145"/>
  <c r="U10"/>
  <c r="U94"/>
  <c r="U24"/>
  <c r="J148"/>
  <c r="U51"/>
  <c r="T33"/>
  <c r="X131"/>
  <c r="T80"/>
  <c r="W24"/>
  <c r="J84"/>
  <c r="T102"/>
  <c r="V78"/>
  <c r="J44"/>
  <c r="V17"/>
  <c r="W56"/>
  <c r="W84"/>
  <c r="W54"/>
  <c r="X79"/>
  <c r="V85"/>
  <c r="W38"/>
  <c r="J60"/>
  <c r="T89"/>
  <c r="U44"/>
  <c r="W60"/>
  <c r="X95"/>
  <c r="J92"/>
  <c r="U106"/>
  <c r="U65"/>
  <c r="U101"/>
  <c r="U81"/>
  <c r="X138"/>
  <c r="X56"/>
  <c r="W87"/>
  <c r="W97"/>
  <c r="T65"/>
  <c r="W44"/>
  <c r="X124"/>
  <c r="U61"/>
  <c r="X85"/>
  <c r="J72"/>
  <c r="J68"/>
  <c r="X76"/>
  <c r="V47"/>
  <c r="U32"/>
  <c r="W42"/>
  <c r="X94"/>
  <c r="J58"/>
  <c r="T68"/>
  <c r="J53"/>
  <c r="J49"/>
  <c r="U97"/>
  <c r="W41"/>
  <c r="J90"/>
  <c r="J125"/>
  <c r="X61"/>
  <c r="T55"/>
  <c r="X64"/>
  <c r="X31"/>
  <c r="V94"/>
  <c r="W99"/>
  <c r="U66"/>
  <c r="X50"/>
  <c r="V69"/>
  <c r="T75"/>
  <c r="J134"/>
  <c r="V71"/>
  <c r="J119"/>
  <c r="V44"/>
  <c r="W69"/>
  <c r="J9"/>
  <c r="J115"/>
  <c r="X123"/>
  <c r="V88"/>
  <c r="J99"/>
  <c r="V54"/>
  <c r="W62"/>
  <c r="X42"/>
  <c r="U59"/>
  <c r="W50"/>
  <c r="T45"/>
  <c r="J102"/>
  <c r="X62"/>
  <c r="X45"/>
  <c r="W45"/>
  <c r="X72"/>
  <c r="W20"/>
  <c r="T54"/>
  <c r="V95"/>
  <c r="X102"/>
  <c r="W51"/>
  <c r="V50"/>
  <c r="J130"/>
  <c r="V13"/>
  <c r="U58"/>
  <c r="J34"/>
  <c r="J22"/>
  <c r="V42"/>
  <c r="W35"/>
  <c r="J19"/>
  <c r="T32"/>
  <c r="X130"/>
  <c r="U56"/>
  <c r="T61"/>
  <c r="W68"/>
  <c r="U77"/>
  <c r="J133"/>
  <c r="W94"/>
  <c r="W103"/>
  <c r="U11"/>
  <c r="V21"/>
  <c r="W70"/>
  <c r="T91"/>
  <c r="W23"/>
  <c r="V70"/>
  <c r="X104"/>
  <c r="J45"/>
  <c r="U78"/>
  <c r="V79"/>
  <c r="W32"/>
  <c r="V46"/>
  <c r="T67"/>
  <c r="X60"/>
  <c r="X98"/>
  <c r="V98"/>
  <c r="X87"/>
  <c r="U39"/>
  <c r="V12"/>
  <c r="V73"/>
  <c r="T66"/>
  <c r="V72"/>
  <c r="X36"/>
  <c r="T57"/>
  <c r="U48"/>
  <c r="X49"/>
  <c r="W106"/>
  <c r="J75"/>
  <c r="V96"/>
  <c r="U95"/>
  <c r="V39"/>
  <c r="J61"/>
  <c r="W92"/>
  <c r="X103"/>
  <c r="U37"/>
  <c r="V86"/>
  <c r="J7"/>
  <c r="J62"/>
  <c r="X78"/>
  <c r="V34"/>
  <c r="X145"/>
  <c r="V80"/>
  <c r="T63"/>
  <c r="J87"/>
  <c r="X35"/>
  <c r="T31"/>
  <c r="X106"/>
  <c r="X68"/>
  <c r="J126"/>
  <c r="T47"/>
  <c r="W86"/>
  <c r="T81"/>
  <c r="V6"/>
  <c r="X114"/>
  <c r="U68"/>
  <c r="X120"/>
  <c r="W101"/>
  <c r="X41"/>
  <c r="V57"/>
  <c r="X84"/>
  <c r="V58"/>
  <c r="J141"/>
  <c r="J103"/>
  <c r="U76"/>
  <c r="T100"/>
  <c r="J144"/>
  <c r="J67"/>
  <c r="J18"/>
  <c r="J127"/>
  <c r="J138"/>
  <c r="U79"/>
  <c r="J98"/>
  <c r="U104"/>
  <c r="W49"/>
  <c r="J32"/>
  <c r="U102"/>
  <c r="V18"/>
  <c r="J96"/>
  <c r="U70"/>
  <c r="W67"/>
  <c r="J122"/>
  <c r="J129"/>
  <c r="V31"/>
  <c r="T94"/>
  <c r="U34"/>
  <c r="V15"/>
  <c r="V106"/>
  <c r="J100"/>
  <c r="T43"/>
  <c r="T39"/>
  <c r="J128"/>
  <c r="V77"/>
  <c r="W80"/>
  <c r="U12"/>
  <c r="U89"/>
  <c r="U19"/>
  <c r="V32"/>
  <c r="W85"/>
  <c r="J33"/>
  <c r="U9"/>
  <c r="V74"/>
  <c r="V75"/>
  <c r="V63"/>
  <c r="J143"/>
  <c r="J8"/>
  <c r="U5"/>
  <c r="V14"/>
  <c r="X112"/>
  <c r="J89"/>
  <c r="X111"/>
  <c r="V24"/>
  <c r="W66"/>
  <c r="J38"/>
  <c r="T106"/>
  <c r="T36"/>
  <c r="U69"/>
  <c r="X139"/>
  <c r="X74"/>
  <c r="J11"/>
  <c r="V11"/>
  <c r="U62"/>
  <c r="U60"/>
  <c r="X141"/>
  <c r="J149"/>
  <c r="X55"/>
  <c r="X43"/>
  <c r="U13"/>
  <c r="T78"/>
  <c r="V20"/>
  <c r="U72"/>
  <c r="X82"/>
  <c r="V19"/>
  <c r="J10"/>
  <c r="J81"/>
  <c r="T92"/>
  <c r="X121"/>
  <c r="X99"/>
  <c r="W48"/>
  <c r="X39"/>
  <c r="X105"/>
  <c r="V67"/>
  <c r="W15"/>
  <c r="V56"/>
  <c r="V36"/>
  <c r="X122"/>
  <c r="X54"/>
  <c r="T44"/>
  <c r="J5"/>
  <c r="W102"/>
  <c r="W37"/>
  <c r="J147"/>
  <c r="V55"/>
  <c r="W55"/>
  <c r="W100"/>
  <c r="W46"/>
  <c r="J71"/>
  <c r="J69"/>
  <c r="V100"/>
  <c r="U87"/>
  <c r="W81"/>
  <c r="W57"/>
  <c r="X88"/>
  <c r="T41"/>
  <c r="J46"/>
  <c r="T79"/>
  <c r="X135"/>
  <c r="T34"/>
  <c r="J94"/>
  <c r="X119"/>
  <c r="V105"/>
  <c r="T101"/>
  <c r="V65"/>
  <c r="X97"/>
  <c r="W65"/>
  <c r="U6"/>
  <c r="T83"/>
  <c r="V62"/>
  <c r="X44"/>
  <c r="U8"/>
  <c r="X126"/>
  <c r="W98"/>
  <c r="U47"/>
  <c r="J104"/>
  <c r="J59"/>
  <c r="V87"/>
  <c r="J14"/>
  <c r="B35" i="7" l="1"/>
  <c r="C35" s="1"/>
  <c r="B34"/>
  <c r="C34" s="1"/>
  <c r="F9" i="11"/>
  <c r="F8"/>
  <c r="F6"/>
  <c r="B22" i="7" s="1"/>
  <c r="B23" s="1"/>
  <c r="F16" i="11"/>
  <c r="F17"/>
  <c r="B9" i="14" s="1"/>
  <c r="AA19" i="23"/>
  <c r="AA5"/>
  <c r="U26"/>
  <c r="AA9"/>
  <c r="AA13"/>
  <c r="AA23"/>
  <c r="AA25"/>
  <c r="D40" i="13"/>
  <c r="AA22" i="23"/>
  <c r="AA21"/>
  <c r="V26"/>
  <c r="AA20"/>
  <c r="AA14"/>
  <c r="W26"/>
  <c r="AA7"/>
  <c r="AA17"/>
  <c r="AA18"/>
  <c r="AA12"/>
  <c r="AA6"/>
  <c r="E40" i="13"/>
  <c r="C40"/>
  <c r="AA11" i="23"/>
  <c r="B40" i="13"/>
  <c r="AA24" i="23"/>
  <c r="AA8"/>
  <c r="AA15"/>
  <c r="AA16"/>
  <c r="AA10"/>
  <c r="AS96"/>
  <c r="E34" i="11"/>
  <c r="F81"/>
  <c r="AH100" i="23"/>
  <c r="B16" i="10"/>
  <c r="F38" i="11"/>
  <c r="B15" i="10"/>
  <c r="E74" i="11"/>
  <c r="AG93" i="23"/>
  <c r="AH77"/>
  <c r="F58" i="11"/>
  <c r="AG79" i="23"/>
  <c r="E60" i="11"/>
  <c r="F49"/>
  <c r="X27" i="23"/>
  <c r="AS82"/>
  <c r="D12" i="13"/>
  <c r="E73" i="11"/>
  <c r="AG92" i="23"/>
  <c r="E34" i="13"/>
  <c r="AS105" i="23"/>
  <c r="F63" i="11"/>
  <c r="G63" s="1"/>
  <c r="AH82" i="23"/>
  <c r="D30" i="13"/>
  <c r="E48" i="11"/>
  <c r="AS76" i="23"/>
  <c r="E6" i="13"/>
  <c r="D8"/>
  <c r="E67" i="11"/>
  <c r="AG86" i="23"/>
  <c r="F11" i="11"/>
  <c r="E8" i="13"/>
  <c r="B6" i="14" s="1"/>
  <c r="E15" i="13"/>
  <c r="AG73" i="23"/>
  <c r="E54" i="11"/>
  <c r="E77"/>
  <c r="AG96" i="23"/>
  <c r="AH92"/>
  <c r="F73" i="11"/>
  <c r="B17" i="10"/>
  <c r="E14" i="13"/>
  <c r="E24"/>
  <c r="F60" i="11"/>
  <c r="AH79" i="23"/>
  <c r="F33" i="11"/>
  <c r="F31"/>
  <c r="AS104" i="23"/>
  <c r="D33" i="13"/>
  <c r="F57" i="11"/>
  <c r="AH76" i="23"/>
  <c r="E12" i="13"/>
  <c r="E80" i="11"/>
  <c r="AG99" i="23"/>
  <c r="AH81"/>
  <c r="F62" i="11"/>
  <c r="E86"/>
  <c r="AG106" i="23"/>
  <c r="F86" i="11"/>
  <c r="AH106" i="23"/>
  <c r="D26" i="13"/>
  <c r="E58" i="11"/>
  <c r="AG77" i="23"/>
  <c r="F28" i="11"/>
  <c r="E51"/>
  <c r="AS91" i="23"/>
  <c r="AS89"/>
  <c r="E26" i="13"/>
  <c r="AS101" i="23"/>
  <c r="AS102"/>
  <c r="E41" i="11"/>
  <c r="AS106" i="23"/>
  <c r="AH38"/>
  <c r="AH46"/>
  <c r="AH54"/>
  <c r="AH62"/>
  <c r="AH70"/>
  <c r="AH39"/>
  <c r="AH55"/>
  <c r="AH33"/>
  <c r="AH49"/>
  <c r="AH65"/>
  <c r="AH32"/>
  <c r="AH40"/>
  <c r="AH48"/>
  <c r="AH56"/>
  <c r="AH64"/>
  <c r="B52" i="7"/>
  <c r="AH43" i="23"/>
  <c r="AH59"/>
  <c r="AH37"/>
  <c r="AH53"/>
  <c r="AH69"/>
  <c r="AH34"/>
  <c r="AH50"/>
  <c r="AH66"/>
  <c r="AH47"/>
  <c r="AH41"/>
  <c r="F26" i="11"/>
  <c r="AH44" i="23"/>
  <c r="AH60"/>
  <c r="AH35"/>
  <c r="AH67"/>
  <c r="AH61"/>
  <c r="AH42"/>
  <c r="AH58"/>
  <c r="AH31"/>
  <c r="AH63"/>
  <c r="AH57"/>
  <c r="AH36"/>
  <c r="AH52"/>
  <c r="AH68"/>
  <c r="AH51"/>
  <c r="AH45"/>
  <c r="F34" i="11"/>
  <c r="AS86" i="23"/>
  <c r="E64" i="11"/>
  <c r="AG83" i="23"/>
  <c r="E39" i="13"/>
  <c r="D34"/>
  <c r="E33"/>
  <c r="J28" i="23"/>
  <c r="F22" i="11" s="1"/>
  <c r="B39" i="10"/>
  <c r="C35" s="1"/>
  <c r="C39" s="1"/>
  <c r="C21" s="1"/>
  <c r="G43" i="11" s="1"/>
  <c r="F43"/>
  <c r="B21" i="10"/>
  <c r="AG102" i="23"/>
  <c r="E83" i="11"/>
  <c r="AH104" i="23"/>
  <c r="E29" i="11"/>
  <c r="E57"/>
  <c r="AG76" i="23"/>
  <c r="AH89"/>
  <c r="F70" i="11"/>
  <c r="AS80" i="23"/>
  <c r="E30" i="11"/>
  <c r="AH87" i="23"/>
  <c r="F68" i="11"/>
  <c r="F30"/>
  <c r="F12" i="13" s="1"/>
  <c r="J26" i="23"/>
  <c r="J27" s="1"/>
  <c r="F19" i="11"/>
  <c r="F72"/>
  <c r="AH91" i="23"/>
  <c r="D29" i="13"/>
  <c r="E20"/>
  <c r="E45" i="11"/>
  <c r="B41" i="10"/>
  <c r="B22"/>
  <c r="B23"/>
  <c r="H23" s="1"/>
  <c r="F44" i="11"/>
  <c r="AG78" i="23"/>
  <c r="E59" i="11"/>
  <c r="AH72" i="23"/>
  <c r="F53" i="11"/>
  <c r="E38"/>
  <c r="F20"/>
  <c r="F50"/>
  <c r="E37"/>
  <c r="B28" i="10"/>
  <c r="AS79" i="23"/>
  <c r="F41" i="11"/>
  <c r="B19" i="10"/>
  <c r="C19" s="1"/>
  <c r="G41" i="11" s="1"/>
  <c r="AG74" i="23"/>
  <c r="E55" i="11"/>
  <c r="F54"/>
  <c r="AH73" i="23"/>
  <c r="AS90"/>
  <c r="AH6"/>
  <c r="AH14"/>
  <c r="AH22"/>
  <c r="AH13"/>
  <c r="F5" i="11"/>
  <c r="AH19" i="23"/>
  <c r="AH12"/>
  <c r="AH20"/>
  <c r="AH9"/>
  <c r="AH25"/>
  <c r="AH15"/>
  <c r="AH10"/>
  <c r="AH5"/>
  <c r="AH11"/>
  <c r="AH16"/>
  <c r="AH17"/>
  <c r="AH23"/>
  <c r="AH18"/>
  <c r="AH21"/>
  <c r="AH8"/>
  <c r="AH24"/>
  <c r="AH7"/>
  <c r="AS85"/>
  <c r="E40" i="11"/>
  <c r="F69"/>
  <c r="E5" i="17"/>
  <c r="AH88" i="23"/>
  <c r="E52" i="11"/>
  <c r="AG71" i="23"/>
  <c r="B9" i="10"/>
  <c r="C5" s="1"/>
  <c r="C9" s="1"/>
  <c r="D5" s="1"/>
  <c r="D9" s="1"/>
  <c r="B35"/>
  <c r="E43" i="11"/>
  <c r="E31"/>
  <c r="AG38" i="23"/>
  <c r="AG46"/>
  <c r="AG54"/>
  <c r="AG62"/>
  <c r="AG70"/>
  <c r="AG43"/>
  <c r="AG59"/>
  <c r="AG33"/>
  <c r="AG49"/>
  <c r="AG65"/>
  <c r="AG36"/>
  <c r="AG44"/>
  <c r="AG52"/>
  <c r="AG60"/>
  <c r="AG68"/>
  <c r="AG39"/>
  <c r="AG55"/>
  <c r="E26" i="11"/>
  <c r="AG45" i="23"/>
  <c r="AG61"/>
  <c r="AG34"/>
  <c r="AG50"/>
  <c r="AG66"/>
  <c r="AG51"/>
  <c r="AG41"/>
  <c r="AG32"/>
  <c r="AG48"/>
  <c r="AG64"/>
  <c r="AG47"/>
  <c r="AG37"/>
  <c r="AG69"/>
  <c r="AG42"/>
  <c r="AG58"/>
  <c r="AG35"/>
  <c r="AG67"/>
  <c r="AG57"/>
  <c r="AG40"/>
  <c r="AG56"/>
  <c r="AG31"/>
  <c r="AG63"/>
  <c r="AG53"/>
  <c r="B43" i="7"/>
  <c r="C43" s="1"/>
  <c r="D43" s="1"/>
  <c r="E43" s="1"/>
  <c r="F43" s="1"/>
  <c r="G43" s="1"/>
  <c r="H43" s="1"/>
  <c r="L76" i="11" s="1"/>
  <c r="F76"/>
  <c r="AH95" i="23"/>
  <c r="E56" i="11"/>
  <c r="AG75" i="23"/>
  <c r="E50" i="11"/>
  <c r="AG95" i="23"/>
  <c r="E76" i="11"/>
  <c r="AG97" i="23"/>
  <c r="E78" i="11"/>
  <c r="AH97" i="23"/>
  <c r="B44" i="7"/>
  <c r="C44" s="1"/>
  <c r="F78" i="11"/>
  <c r="E25" i="13"/>
  <c r="AS75" i="23"/>
  <c r="F75" i="11"/>
  <c r="AH94" i="23"/>
  <c r="B42" i="7"/>
  <c r="C42" s="1"/>
  <c r="E17" i="13"/>
  <c r="E47" i="11"/>
  <c r="F79"/>
  <c r="AH98" i="23"/>
  <c r="X150"/>
  <c r="AS92"/>
  <c r="E13" i="13"/>
  <c r="D24"/>
  <c r="F27" i="11"/>
  <c r="E70"/>
  <c r="AG89" i="23"/>
  <c r="AG11"/>
  <c r="AG20"/>
  <c r="AG6"/>
  <c r="AG23"/>
  <c r="AG16"/>
  <c r="AG5"/>
  <c r="AG13"/>
  <c r="AG22"/>
  <c r="AG10"/>
  <c r="AG21"/>
  <c r="AG15"/>
  <c r="AG14"/>
  <c r="AG17"/>
  <c r="AG18"/>
  <c r="AG19"/>
  <c r="AG7"/>
  <c r="AG24"/>
  <c r="AG8"/>
  <c r="AG9"/>
  <c r="AG25"/>
  <c r="AG12"/>
  <c r="E9" i="13"/>
  <c r="E82" i="11"/>
  <c r="AG101" i="23"/>
  <c r="F59" i="11"/>
  <c r="AH78" i="23"/>
  <c r="AG103"/>
  <c r="E84" i="11"/>
  <c r="E68"/>
  <c r="AG87" i="23"/>
  <c r="D23" i="13"/>
  <c r="AS103" i="23"/>
  <c r="D21" i="13"/>
  <c r="AS98" i="23"/>
  <c r="AH99"/>
  <c r="F80" i="11"/>
  <c r="AG104" i="23"/>
  <c r="F13" i="11"/>
  <c r="F32"/>
  <c r="G32" s="1"/>
  <c r="AS100" i="23"/>
  <c r="AG72"/>
  <c r="E53" i="11"/>
  <c r="E30" i="13"/>
  <c r="E33" i="11"/>
  <c r="E75"/>
  <c r="AG94" i="23"/>
  <c r="B33" i="10"/>
  <c r="C28" s="1"/>
  <c r="C33" s="1"/>
  <c r="B14"/>
  <c r="F37" i="11"/>
  <c r="AG82" i="23"/>
  <c r="E63" i="11"/>
  <c r="AH80" i="23"/>
  <c r="F61" i="11"/>
  <c r="E21" i="13"/>
  <c r="D20"/>
  <c r="F51" i="11"/>
  <c r="F56"/>
  <c r="AH75" i="23"/>
  <c r="B84" i="7"/>
  <c r="E22" i="13"/>
  <c r="AS84" i="23"/>
  <c r="AS81"/>
  <c r="AS97"/>
  <c r="F48" i="11"/>
  <c r="E71"/>
  <c r="AG90" i="23"/>
  <c r="AG91"/>
  <c r="E72" i="11"/>
  <c r="AH101" i="23"/>
  <c r="F82" i="11"/>
  <c r="AS78" i="23"/>
  <c r="D15" i="13"/>
  <c r="AS83" i="23"/>
  <c r="F66" i="11"/>
  <c r="AH85" i="23"/>
  <c r="AH84"/>
  <c r="F65" i="11"/>
  <c r="E44"/>
  <c r="D36" i="13"/>
  <c r="B18" i="10"/>
  <c r="C18" s="1"/>
  <c r="G40" i="11" s="1"/>
  <c r="F40"/>
  <c r="F84"/>
  <c r="AH103" i="23"/>
  <c r="D31" i="13"/>
  <c r="E66" i="11"/>
  <c r="AG85" i="23"/>
  <c r="J150"/>
  <c r="D5" i="17"/>
  <c r="AG88" i="23"/>
  <c r="E69" i="11"/>
  <c r="D22" i="13"/>
  <c r="AS73" i="23"/>
  <c r="E81" i="11"/>
  <c r="AG100" i="23"/>
  <c r="E61" i="11"/>
  <c r="AG80" i="23"/>
  <c r="F7" i="11"/>
  <c r="B85" i="29" s="1"/>
  <c r="E29" i="13"/>
  <c r="E27" i="11"/>
  <c r="F21"/>
  <c r="E36" i="13"/>
  <c r="D9"/>
  <c r="AS87" i="23"/>
  <c r="E23" i="13"/>
  <c r="F64" i="11"/>
  <c r="AH83" i="23"/>
  <c r="AH90"/>
  <c r="F71" i="11"/>
  <c r="E62"/>
  <c r="AG81" i="23"/>
  <c r="E28" i="11"/>
  <c r="X107" i="23"/>
  <c r="AS71"/>
  <c r="B13" i="10"/>
  <c r="AG84" i="23"/>
  <c r="E65" i="11"/>
  <c r="E32"/>
  <c r="E85"/>
  <c r="AG105" i="23"/>
  <c r="F29" i="11"/>
  <c r="AS77" i="23"/>
  <c r="X28"/>
  <c r="AS94"/>
  <c r="AS93"/>
  <c r="D13" i="13"/>
  <c r="B44" i="10"/>
  <c r="C41" s="1"/>
  <c r="C44" s="1"/>
  <c r="D41" s="1"/>
  <c r="D44" s="1"/>
  <c r="B24"/>
  <c r="F45" i="11"/>
  <c r="D17" i="13"/>
  <c r="AS32" i="23"/>
  <c r="AS48"/>
  <c r="AS64"/>
  <c r="AS39"/>
  <c r="AS55"/>
  <c r="AS34"/>
  <c r="AS66"/>
  <c r="AS57"/>
  <c r="AS54"/>
  <c r="AS45"/>
  <c r="AS36"/>
  <c r="AS52"/>
  <c r="AS68"/>
  <c r="AS43"/>
  <c r="AS59"/>
  <c r="AS42"/>
  <c r="AS33"/>
  <c r="AS65"/>
  <c r="AS62"/>
  <c r="AS53"/>
  <c r="AS56"/>
  <c r="AS47"/>
  <c r="AS50"/>
  <c r="AS38"/>
  <c r="AS61"/>
  <c r="AS60"/>
  <c r="AS51"/>
  <c r="AS58"/>
  <c r="AS46"/>
  <c r="AS69"/>
  <c r="AS40"/>
  <c r="AS31"/>
  <c r="AS63"/>
  <c r="AS41"/>
  <c r="AS70"/>
  <c r="AS44"/>
  <c r="AS35"/>
  <c r="AS67"/>
  <c r="AS49"/>
  <c r="AS37"/>
  <c r="AG98"/>
  <c r="E79" i="11"/>
  <c r="AS88" i="23"/>
  <c r="AS72"/>
  <c r="AH74"/>
  <c r="F55" i="11"/>
  <c r="G55" s="1"/>
  <c r="F32" i="13" s="1"/>
  <c r="E31"/>
  <c r="D6"/>
  <c r="D14"/>
  <c r="AS99" i="23"/>
  <c r="AS74"/>
  <c r="E49" i="11"/>
  <c r="F77"/>
  <c r="AH96" i="23"/>
  <c r="J107"/>
  <c r="F52" i="11"/>
  <c r="AH71" i="23"/>
  <c r="D25" i="13"/>
  <c r="F85" i="11"/>
  <c r="AH105" i="23"/>
  <c r="F67" i="11"/>
  <c r="AH86" i="23"/>
  <c r="AS95"/>
  <c r="F83" i="11"/>
  <c r="AH102" i="23"/>
  <c r="E32" i="13"/>
  <c r="AH93" i="23"/>
  <c r="F74" i="11"/>
  <c r="F47"/>
  <c r="D32" i="13"/>
  <c r="D39"/>
  <c r="B20" i="10"/>
  <c r="I47" i="11"/>
  <c r="G47"/>
  <c r="G48"/>
  <c r="D28" i="10" l="1"/>
  <c r="C14"/>
  <c r="G37" i="11" s="1"/>
  <c r="D42" i="7"/>
  <c r="E42" s="1"/>
  <c r="F42" s="1"/>
  <c r="G42" s="1"/>
  <c r="H42" s="1"/>
  <c r="G75" i="11"/>
  <c r="B87" i="29"/>
  <c r="C20" i="30"/>
  <c r="B86" i="29"/>
  <c r="C19" i="30"/>
  <c r="B81" i="29"/>
  <c r="C27" i="30"/>
  <c r="C28" s="1"/>
  <c r="B88" i="29"/>
  <c r="C25" i="30"/>
  <c r="C26"/>
  <c r="E1" i="11"/>
  <c r="B77" i="7"/>
  <c r="B5" i="14"/>
  <c r="E39" i="2"/>
  <c r="AV16" i="23"/>
  <c r="B48" i="7"/>
  <c r="D35"/>
  <c r="E35" s="1"/>
  <c r="F35" s="1"/>
  <c r="G35" s="1"/>
  <c r="H35" s="1"/>
  <c r="G9" i="11"/>
  <c r="D34" i="7"/>
  <c r="E34" s="1"/>
  <c r="F34" s="1"/>
  <c r="G34" s="1"/>
  <c r="H34" s="1"/>
  <c r="G8" i="11"/>
  <c r="F15"/>
  <c r="H15" s="1"/>
  <c r="F2"/>
  <c r="AV24" i="23"/>
  <c r="D19" i="10"/>
  <c r="H41" i="11" s="1"/>
  <c r="AA26" i="23"/>
  <c r="F46" i="11"/>
  <c r="AV13" i="23"/>
  <c r="AV17"/>
  <c r="AV15"/>
  <c r="AV12"/>
  <c r="AV23"/>
  <c r="AV5"/>
  <c r="AV20"/>
  <c r="AV11"/>
  <c r="AV14"/>
  <c r="AV10"/>
  <c r="AV8"/>
  <c r="AV18"/>
  <c r="AV9"/>
  <c r="AV19"/>
  <c r="AV22"/>
  <c r="AV21"/>
  <c r="AV25"/>
  <c r="AV7"/>
  <c r="AV6"/>
  <c r="C10" i="10"/>
  <c r="F36" i="11"/>
  <c r="C24" i="10"/>
  <c r="G45" i="11" s="1"/>
  <c r="E42"/>
  <c r="E39"/>
  <c r="B7" i="10"/>
  <c r="G76" i="11"/>
  <c r="D23" i="10"/>
  <c r="I76" i="11"/>
  <c r="C23" i="10"/>
  <c r="C22" s="1"/>
  <c r="G44" i="11" s="1"/>
  <c r="E23" i="10"/>
  <c r="F42" i="11"/>
  <c r="C17" i="10"/>
  <c r="E36" i="11"/>
  <c r="F39"/>
  <c r="H76"/>
  <c r="D18" i="10"/>
  <c r="H40" i="11" s="1"/>
  <c r="F23" i="10"/>
  <c r="G23"/>
  <c r="D35"/>
  <c r="D39" s="1"/>
  <c r="D21" s="1"/>
  <c r="H43" i="11" s="1"/>
  <c r="E46"/>
  <c r="D44" i="7"/>
  <c r="G78" i="11"/>
  <c r="F92"/>
  <c r="D24" i="10"/>
  <c r="H45" i="11" s="1"/>
  <c r="E41" i="10"/>
  <c r="E44" s="1"/>
  <c r="D10"/>
  <c r="E5"/>
  <c r="E9" s="1"/>
  <c r="H47" i="11"/>
  <c r="H48"/>
  <c r="H55" l="1"/>
  <c r="F6" i="30"/>
  <c r="L75" i="11"/>
  <c r="F80" i="7"/>
  <c r="E19" i="10"/>
  <c r="F19" s="1"/>
  <c r="F35" i="11"/>
  <c r="C20" i="10"/>
  <c r="E35" i="11"/>
  <c r="E35" i="10"/>
  <c r="E39" s="1"/>
  <c r="E21" s="1"/>
  <c r="I43" i="11" s="1"/>
  <c r="D22" i="10"/>
  <c r="E22" s="1"/>
  <c r="I44" i="11" s="1"/>
  <c r="D17" i="10"/>
  <c r="E18"/>
  <c r="I40" i="11" s="1"/>
  <c r="E44" i="7"/>
  <c r="H78" i="11"/>
  <c r="G30" i="13" s="1"/>
  <c r="D33" i="10"/>
  <c r="D14" s="1"/>
  <c r="H37" i="11" s="1"/>
  <c r="F41" i="10"/>
  <c r="F44" s="1"/>
  <c r="E24"/>
  <c r="I45" i="11" s="1"/>
  <c r="F5" i="10"/>
  <c r="F9" s="1"/>
  <c r="E10"/>
  <c r="K47" i="11"/>
  <c r="J47"/>
  <c r="K76"/>
  <c r="J76"/>
  <c r="B63" i="7"/>
  <c r="C70"/>
  <c r="C69"/>
  <c r="D69" s="1"/>
  <c r="H80" l="1"/>
  <c r="H78" s="1"/>
  <c r="E70"/>
  <c r="F70" s="1"/>
  <c r="D70"/>
  <c r="D61"/>
  <c r="C87"/>
  <c r="I41" i="11"/>
  <c r="D20" i="10"/>
  <c r="F35"/>
  <c r="F39" s="1"/>
  <c r="F21" s="1"/>
  <c r="J43" i="11" s="1"/>
  <c r="E17" i="10"/>
  <c r="F22"/>
  <c r="J44" i="11" s="1"/>
  <c r="E20" i="10"/>
  <c r="H44" i="11"/>
  <c r="F18" i="10"/>
  <c r="J40" i="11" s="1"/>
  <c r="F44" i="7"/>
  <c r="G44" s="1"/>
  <c r="H44" s="1"/>
  <c r="L78" i="11" s="1"/>
  <c r="I78"/>
  <c r="H30" i="13" s="1"/>
  <c r="G19" i="10"/>
  <c r="J41" i="11"/>
  <c r="E28" i="10"/>
  <c r="G41"/>
  <c r="G44" s="1"/>
  <c r="F24"/>
  <c r="J45" i="11" s="1"/>
  <c r="F10" i="10"/>
  <c r="G5"/>
  <c r="G9" s="1"/>
  <c r="I48" i="11"/>
  <c r="J48"/>
  <c r="G70" i="7"/>
  <c r="H70" s="1"/>
  <c r="D87" l="1"/>
  <c r="E61"/>
  <c r="G35" i="10"/>
  <c r="G39" s="1"/>
  <c r="G21" s="1"/>
  <c r="K43" i="11" s="1"/>
  <c r="F17" i="10"/>
  <c r="G22"/>
  <c r="K44" i="11" s="1"/>
  <c r="F20" i="10"/>
  <c r="G18"/>
  <c r="K40" i="11" s="1"/>
  <c r="H19" i="10"/>
  <c r="L41" i="11" s="1"/>
  <c r="K41"/>
  <c r="E33" i="10"/>
  <c r="E14" s="1"/>
  <c r="I37" i="11" s="1"/>
  <c r="H41" i="10"/>
  <c r="H44" s="1"/>
  <c r="H24" s="1"/>
  <c r="L45" i="11" s="1"/>
  <c r="G24" i="10"/>
  <c r="K45" i="11" s="1"/>
  <c r="H5" i="10"/>
  <c r="H9" s="1"/>
  <c r="H10" s="1"/>
  <c r="G10"/>
  <c r="K48" i="11"/>
  <c r="E87" i="7" l="1"/>
  <c r="F61"/>
  <c r="H35" i="10"/>
  <c r="H39" s="1"/>
  <c r="H21" s="1"/>
  <c r="L43" i="11" s="1"/>
  <c r="G20" i="10"/>
  <c r="H18"/>
  <c r="L40" i="11" s="1"/>
  <c r="L39" s="1"/>
  <c r="G17" i="10"/>
  <c r="H22"/>
  <c r="L44" i="11" s="1"/>
  <c r="F28" i="10"/>
  <c r="E80" i="7"/>
  <c r="D80" s="1"/>
  <c r="C80" s="1"/>
  <c r="C78" s="1"/>
  <c r="F87" l="1"/>
  <c r="G61"/>
  <c r="L42" i="11"/>
  <c r="H17" i="10"/>
  <c r="H20"/>
  <c r="B16" i="16"/>
  <c r="B24" i="14"/>
  <c r="D78" i="7"/>
  <c r="C16" i="16"/>
  <c r="F33" i="10"/>
  <c r="F14" s="1"/>
  <c r="J37" i="11" s="1"/>
  <c r="E78" i="7"/>
  <c r="H75" i="11"/>
  <c r="G29" i="13" s="1"/>
  <c r="F88" i="11" l="1"/>
  <c r="F89" s="1"/>
  <c r="E88"/>
  <c r="E89" s="1"/>
  <c r="G87" i="7"/>
  <c r="H61"/>
  <c r="H87" s="1"/>
  <c r="G28" i="10"/>
  <c r="F78" i="7"/>
  <c r="I75" i="11"/>
  <c r="H29" i="13" s="1"/>
  <c r="H91" i="7" l="1"/>
  <c r="G33" i="10"/>
  <c r="C7" i="7"/>
  <c r="J75" i="11"/>
  <c r="I29" i="13" s="1"/>
  <c r="H28" i="10" l="1"/>
  <c r="G14"/>
  <c r="K37" i="11" s="1"/>
  <c r="D7" i="7"/>
  <c r="K75" i="11"/>
  <c r="K29" i="13" s="1"/>
  <c r="G80" i="7"/>
  <c r="G78" s="1"/>
  <c r="K78" i="11"/>
  <c r="K30" i="13" s="1"/>
  <c r="J78" i="11"/>
  <c r="I30" i="13" s="1"/>
  <c r="J29" l="1"/>
  <c r="H33" i="10"/>
  <c r="H14" s="1"/>
  <c r="L37" i="11" s="1"/>
  <c r="K20" i="13" s="1"/>
  <c r="J30"/>
  <c r="D4" i="11"/>
  <c r="E4" l="1"/>
  <c r="D25"/>
  <c r="A1"/>
  <c r="F4" l="1"/>
  <c r="E25"/>
  <c r="D51" i="2"/>
  <c r="E51"/>
  <c r="C51"/>
  <c r="F7" i="17"/>
  <c r="F27"/>
  <c r="F29" s="1"/>
  <c r="F30" s="1"/>
  <c r="F32" s="1"/>
  <c r="G27"/>
  <c r="G29" s="1"/>
  <c r="H27"/>
  <c r="I27"/>
  <c r="J27"/>
  <c r="E27"/>
  <c r="E29" s="1"/>
  <c r="E30" s="1"/>
  <c r="E32" s="1"/>
  <c r="G4" i="11" l="1"/>
  <c r="H4" s="1"/>
  <c r="I4" s="1"/>
  <c r="J4" s="1"/>
  <c r="K4" s="1"/>
  <c r="L4" s="1"/>
  <c r="F25"/>
  <c r="G25" s="1"/>
  <c r="H25" s="1"/>
  <c r="I25" s="1"/>
  <c r="J25" s="1"/>
  <c r="K25" s="1"/>
  <c r="L25" s="1"/>
  <c r="D52" i="2"/>
  <c r="D57" s="1"/>
  <c r="B33" i="17"/>
  <c r="G31"/>
  <c r="G30"/>
  <c r="I16"/>
  <c r="J16"/>
  <c r="H16"/>
  <c r="F16"/>
  <c r="F18" s="1"/>
  <c r="F19" s="1"/>
  <c r="F21" s="1"/>
  <c r="G16"/>
  <c r="G18" s="1"/>
  <c r="E16"/>
  <c r="E18" s="1"/>
  <c r="E19" s="1"/>
  <c r="E21" s="1"/>
  <c r="B22" l="1"/>
  <c r="G20"/>
  <c r="G7" s="1"/>
  <c r="G32"/>
  <c r="H29"/>
  <c r="G19"/>
  <c r="G8"/>
  <c r="H30" l="1"/>
  <c r="H31"/>
  <c r="H18"/>
  <c r="G6"/>
  <c r="G10" s="1"/>
  <c r="G21"/>
  <c r="H32" l="1"/>
  <c r="I29"/>
  <c r="I31" s="1"/>
  <c r="H8"/>
  <c r="H20"/>
  <c r="H7" s="1"/>
  <c r="H19"/>
  <c r="H6" s="1"/>
  <c r="I30" l="1"/>
  <c r="J29" s="1"/>
  <c r="H10"/>
  <c r="I18"/>
  <c r="I20" s="1"/>
  <c r="I7" s="1"/>
  <c r="H21"/>
  <c r="I32"/>
  <c r="I19" l="1"/>
  <c r="J18" s="1"/>
  <c r="J20" s="1"/>
  <c r="I8"/>
  <c r="J30"/>
  <c r="J31"/>
  <c r="J19" l="1"/>
  <c r="J6" s="1"/>
  <c r="I21"/>
  <c r="I6"/>
  <c r="I10" s="1"/>
  <c r="J8"/>
  <c r="J7"/>
  <c r="J32"/>
  <c r="J21"/>
  <c r="A1"/>
  <c r="J10" l="1"/>
  <c r="M48" i="3" l="1"/>
  <c r="O48"/>
  <c r="H39" l="1"/>
  <c r="H37"/>
  <c r="K48"/>
  <c r="I48"/>
  <c r="G48"/>
  <c r="E48"/>
  <c r="C48"/>
  <c r="J37" l="1"/>
  <c r="J39"/>
  <c r="M23" i="2" l="1"/>
  <c r="B18" i="14" s="1"/>
  <c r="M24" i="2"/>
  <c r="E26"/>
  <c r="M25" s="1"/>
  <c r="B20" i="14" s="1"/>
  <c r="E37" i="2" l="1"/>
  <c r="M26" s="1"/>
  <c r="C37" i="14" l="1"/>
  <c r="D37" s="1"/>
  <c r="E37" s="1"/>
  <c r="F37" s="1"/>
  <c r="G37" s="1"/>
  <c r="A1" i="7" l="1"/>
  <c r="A1" i="8"/>
  <c r="A1" i="6"/>
  <c r="A1" i="23" l="1"/>
  <c r="A1" i="2" l="1"/>
  <c r="G46" i="11" l="1"/>
  <c r="H46" l="1"/>
  <c r="G23" i="13" s="1"/>
  <c r="I46" i="11" l="1"/>
  <c r="H23" i="13" l="1"/>
  <c r="K46" i="11"/>
  <c r="K23" i="13" s="1"/>
  <c r="J46" i="11"/>
  <c r="J23" i="13" l="1"/>
  <c r="I23"/>
  <c r="H5" i="11" l="1"/>
  <c r="D81" i="29" l="1"/>
  <c r="L1" i="11"/>
  <c r="M21"/>
  <c r="H30"/>
  <c r="H8"/>
  <c r="H9"/>
  <c r="H63"/>
  <c r="H61" i="8" l="1"/>
  <c r="G8" l="1"/>
  <c r="G9" s="1"/>
  <c r="H8"/>
  <c r="H9" s="1"/>
  <c r="G58" i="11" l="1"/>
  <c r="H58" s="1"/>
  <c r="G70"/>
  <c r="H70" s="1"/>
  <c r="I70" s="1"/>
  <c r="J70" s="1"/>
  <c r="K70" s="1"/>
  <c r="L70" s="1"/>
  <c r="G79"/>
  <c r="H79" s="1"/>
  <c r="I79" s="1"/>
  <c r="J79" s="1"/>
  <c r="K79" s="1"/>
  <c r="L79" s="1"/>
  <c r="G62"/>
  <c r="H62" s="1"/>
  <c r="I62" s="1"/>
  <c r="J62" s="1"/>
  <c r="K62" s="1"/>
  <c r="L62" s="1"/>
  <c r="G59"/>
  <c r="H59" s="1"/>
  <c r="G72"/>
  <c r="H72" s="1"/>
  <c r="I72" s="1"/>
  <c r="J72" s="1"/>
  <c r="K72" s="1"/>
  <c r="L72" s="1"/>
  <c r="G57"/>
  <c r="G67"/>
  <c r="H67" s="1"/>
  <c r="I67" s="1"/>
  <c r="J67" s="1"/>
  <c r="K67" s="1"/>
  <c r="L67" s="1"/>
  <c r="G64"/>
  <c r="H64" s="1"/>
  <c r="I64" s="1"/>
  <c r="J64" s="1"/>
  <c r="K64" s="1"/>
  <c r="L64" s="1"/>
  <c r="G83"/>
  <c r="H83" s="1"/>
  <c r="I83" s="1"/>
  <c r="J83" s="1"/>
  <c r="K83" s="1"/>
  <c r="L83" s="1"/>
  <c r="G66"/>
  <c r="G80"/>
  <c r="H80" s="1"/>
  <c r="I80" s="1"/>
  <c r="J80" s="1"/>
  <c r="K80" s="1"/>
  <c r="L80" s="1"/>
  <c r="F30" i="13"/>
  <c r="G77" i="11"/>
  <c r="F29" i="13"/>
  <c r="G51" i="11"/>
  <c r="H51" s="1"/>
  <c r="I51" s="1"/>
  <c r="J51" s="1"/>
  <c r="K51" s="1"/>
  <c r="G60"/>
  <c r="H60" s="1"/>
  <c r="G68"/>
  <c r="H68" s="1"/>
  <c r="I68" s="1"/>
  <c r="J68" s="1"/>
  <c r="K68" s="1"/>
  <c r="L68" s="1"/>
  <c r="G86"/>
  <c r="G61"/>
  <c r="H61" s="1"/>
  <c r="I61" s="1"/>
  <c r="J61" s="1"/>
  <c r="K61" s="1"/>
  <c r="L61" s="1"/>
  <c r="G54" l="1"/>
  <c r="H57"/>
  <c r="L51"/>
  <c r="K24" i="13" s="1"/>
  <c r="F87" i="11"/>
  <c r="F23" i="13"/>
  <c r="H86" i="11"/>
  <c r="F35" i="13"/>
  <c r="E25" i="8"/>
  <c r="E26"/>
  <c r="F62"/>
  <c r="F10" i="11"/>
  <c r="C23" i="30" s="1"/>
  <c r="F34" i="8"/>
  <c r="F26"/>
  <c r="F25"/>
  <c r="F20"/>
  <c r="F19"/>
  <c r="F6"/>
  <c r="F7" s="1"/>
  <c r="F10"/>
  <c r="F11" s="1"/>
  <c r="F30"/>
  <c r="F68"/>
  <c r="F37"/>
  <c r="F65"/>
  <c r="E19"/>
  <c r="E20"/>
  <c r="E50"/>
  <c r="F69"/>
  <c r="E30"/>
  <c r="G61"/>
  <c r="F16"/>
  <c r="F31"/>
  <c r="F8"/>
  <c r="F9" s="1"/>
  <c r="F14"/>
  <c r="F61"/>
  <c r="E37"/>
  <c r="F67"/>
  <c r="F50"/>
  <c r="E34"/>
  <c r="E42" i="13"/>
  <c r="F21" i="8"/>
  <c r="H77" i="11"/>
  <c r="F31" i="13"/>
  <c r="H66" i="11"/>
  <c r="E8" i="8"/>
  <c r="E9" s="1"/>
  <c r="E14"/>
  <c r="E31"/>
  <c r="F40"/>
  <c r="C31" i="30" s="1"/>
  <c r="F41" i="8"/>
  <c r="F39"/>
  <c r="C30" i="30" s="1"/>
  <c r="F38" i="8"/>
  <c r="F66"/>
  <c r="D42" i="13"/>
  <c r="E21" i="8"/>
  <c r="E10"/>
  <c r="E11" s="1"/>
  <c r="E6"/>
  <c r="E7" s="1"/>
  <c r="E38"/>
  <c r="E41"/>
  <c r="F15" i="13"/>
  <c r="H32" i="11"/>
  <c r="G15" i="13" s="1"/>
  <c r="E87" i="11"/>
  <c r="F18"/>
  <c r="F58" i="8" l="1"/>
  <c r="E12"/>
  <c r="E13" s="1"/>
  <c r="F27"/>
  <c r="F46"/>
  <c r="F45"/>
  <c r="I66" i="11"/>
  <c r="E51" i="8"/>
  <c r="E36"/>
  <c r="E46"/>
  <c r="F12"/>
  <c r="F13" s="1"/>
  <c r="E27"/>
  <c r="I77" i="11"/>
  <c r="G31" i="13"/>
  <c r="F12" i="11"/>
  <c r="C24" i="30" s="1"/>
  <c r="F36" i="8"/>
  <c r="F64"/>
  <c r="F51"/>
  <c r="I86" i="11"/>
  <c r="G35" i="13"/>
  <c r="E58" i="8"/>
  <c r="F15" l="1"/>
  <c r="J86" i="11"/>
  <c r="H35" i="13"/>
  <c r="F35" i="8"/>
  <c r="F63"/>
  <c r="F47"/>
  <c r="F28"/>
  <c r="H31" i="13"/>
  <c r="J77" i="11"/>
  <c r="E35" i="8"/>
  <c r="E28"/>
  <c r="E47"/>
  <c r="J66" i="11"/>
  <c r="K66" l="1"/>
  <c r="L66" s="1"/>
  <c r="I35" i="13"/>
  <c r="K86" i="11"/>
  <c r="L86" s="1"/>
  <c r="K35" i="13" s="1"/>
  <c r="K77" i="11"/>
  <c r="L77" s="1"/>
  <c r="K31" i="13" s="1"/>
  <c r="I31"/>
  <c r="J35" l="1"/>
  <c r="G39" i="11"/>
  <c r="F20" i="13"/>
  <c r="J31"/>
  <c r="H39" i="11" l="1"/>
  <c r="C59" i="7" l="1"/>
  <c r="C63" s="1"/>
  <c r="F42" i="8"/>
  <c r="E42"/>
  <c r="E40" i="2"/>
  <c r="I39" i="11"/>
  <c r="G24" i="13"/>
  <c r="F24"/>
  <c r="G29" i="11" l="1"/>
  <c r="B14" i="14"/>
  <c r="E16" i="13"/>
  <c r="B7" i="14" s="1"/>
  <c r="M27" i="2"/>
  <c r="M28"/>
  <c r="B23" i="14" s="1"/>
  <c r="D16" i="13"/>
  <c r="J39" i="11"/>
  <c r="D29" i="14" l="1"/>
  <c r="E29" s="1"/>
  <c r="F29" s="1"/>
  <c r="G29" s="1"/>
  <c r="E22" i="8"/>
  <c r="F21" i="13"/>
  <c r="F22" i="8"/>
  <c r="D38" i="13"/>
  <c r="E57" i="8"/>
  <c r="K39" i="11"/>
  <c r="H24" i="13"/>
  <c r="E29" i="8" l="1"/>
  <c r="D41" i="13"/>
  <c r="D43" s="1"/>
  <c r="E38"/>
  <c r="E41" s="1"/>
  <c r="F57" i="8"/>
  <c r="F29"/>
  <c r="J24" i="13"/>
  <c r="I24"/>
  <c r="F39" l="1"/>
  <c r="E43"/>
  <c r="H52" i="8" l="1"/>
  <c r="I52"/>
  <c r="J52"/>
  <c r="K52"/>
  <c r="AR13" i="23" l="1"/>
  <c r="AR5"/>
  <c r="AR24"/>
  <c r="AR8"/>
  <c r="AR22"/>
  <c r="AR20"/>
  <c r="AR18"/>
  <c r="AR14"/>
  <c r="AR16"/>
  <c r="AR25"/>
  <c r="AR6"/>
  <c r="AR15"/>
  <c r="AR11"/>
  <c r="AR10"/>
  <c r="AR9"/>
  <c r="AR17"/>
  <c r="AR19"/>
  <c r="AR23"/>
  <c r="AR12"/>
  <c r="AR7"/>
  <c r="AR21"/>
  <c r="AQ21"/>
  <c r="AQ12"/>
  <c r="AQ16"/>
  <c r="AQ9"/>
  <c r="AQ20"/>
  <c r="AQ8"/>
  <c r="AQ24"/>
  <c r="AQ14"/>
  <c r="AQ6"/>
  <c r="AQ15"/>
  <c r="AQ19"/>
  <c r="AQ7"/>
  <c r="AQ10"/>
  <c r="AQ23"/>
  <c r="AQ11"/>
  <c r="AQ22"/>
  <c r="AQ5"/>
  <c r="AQ25"/>
  <c r="AQ18"/>
  <c r="AQ13"/>
  <c r="AQ17"/>
  <c r="AP12"/>
  <c r="AP8"/>
  <c r="AP20"/>
  <c r="AP22"/>
  <c r="AP7"/>
  <c r="AP11"/>
  <c r="AP14"/>
  <c r="AP15"/>
  <c r="AP21"/>
  <c r="AP18"/>
  <c r="AP10"/>
  <c r="AP13"/>
  <c r="AP19"/>
  <c r="AP24"/>
  <c r="AP9"/>
  <c r="AP5"/>
  <c r="AP25"/>
  <c r="AP6"/>
  <c r="AP17"/>
  <c r="AP23"/>
  <c r="AP16"/>
  <c r="C90" i="7" l="1"/>
  <c r="D90" s="1"/>
  <c r="B91"/>
  <c r="C91"/>
  <c r="E90" l="1"/>
  <c r="D91"/>
  <c r="AR99" i="23" l="1"/>
  <c r="AP93"/>
  <c r="AP91"/>
  <c r="AO97"/>
  <c r="AQ88"/>
  <c r="AQ102"/>
  <c r="AR79"/>
  <c r="AR103"/>
  <c r="AP84"/>
  <c r="AR92"/>
  <c r="AQ104"/>
  <c r="AP105"/>
  <c r="AQ93"/>
  <c r="AQ79"/>
  <c r="AP90"/>
  <c r="AO71"/>
  <c r="AO106"/>
  <c r="AO81"/>
  <c r="AQ90"/>
  <c r="AQ100"/>
  <c r="AR96"/>
  <c r="AP94"/>
  <c r="AR102"/>
  <c r="AR74"/>
  <c r="AP102"/>
  <c r="AQ75"/>
  <c r="AO93"/>
  <c r="AO79"/>
  <c r="AO95"/>
  <c r="AR75"/>
  <c r="AQ92"/>
  <c r="AQ73"/>
  <c r="AQ72"/>
  <c r="AQ101"/>
  <c r="AP97"/>
  <c r="AO78"/>
  <c r="AR88"/>
  <c r="AR98"/>
  <c r="AQ89"/>
  <c r="AR86"/>
  <c r="AR97"/>
  <c r="AP89"/>
  <c r="AO100"/>
  <c r="AR89"/>
  <c r="AQ74"/>
  <c r="AR91"/>
  <c r="AO77"/>
  <c r="AR73"/>
  <c r="AO80"/>
  <c r="AR76"/>
  <c r="AQ76"/>
  <c r="AP79"/>
  <c r="AR95"/>
  <c r="AO99"/>
  <c r="AP72"/>
  <c r="AR84"/>
  <c r="AQ91"/>
  <c r="AO84"/>
  <c r="AP85"/>
  <c r="AO32"/>
  <c r="AO34"/>
  <c r="AO36"/>
  <c r="AO38"/>
  <c r="AO40"/>
  <c r="AO42"/>
  <c r="AO44"/>
  <c r="AO46"/>
  <c r="AO48"/>
  <c r="AO50"/>
  <c r="AO52"/>
  <c r="AO54"/>
  <c r="AO56"/>
  <c r="AO58"/>
  <c r="AO60"/>
  <c r="AO62"/>
  <c r="AO64"/>
  <c r="AO66"/>
  <c r="AO68"/>
  <c r="AO70"/>
  <c r="AO31"/>
  <c r="AO33"/>
  <c r="AO35"/>
  <c r="AO37"/>
  <c r="AO39"/>
  <c r="AO41"/>
  <c r="AO43"/>
  <c r="AO45"/>
  <c r="AO47"/>
  <c r="AO49"/>
  <c r="AO51"/>
  <c r="AO53"/>
  <c r="AO55"/>
  <c r="AO57"/>
  <c r="AO59"/>
  <c r="AO61"/>
  <c r="AO63"/>
  <c r="AO65"/>
  <c r="AO67"/>
  <c r="AO69"/>
  <c r="AP75"/>
  <c r="AR101"/>
  <c r="AP103"/>
  <c r="AO88"/>
  <c r="AQ97"/>
  <c r="AQ78"/>
  <c r="AQ98"/>
  <c r="AR83"/>
  <c r="AP77"/>
  <c r="AQ94"/>
  <c r="AQ77"/>
  <c r="AR31"/>
  <c r="AR33"/>
  <c r="AR35"/>
  <c r="AR37"/>
  <c r="AR39"/>
  <c r="AR41"/>
  <c r="AR43"/>
  <c r="AR45"/>
  <c r="AR47"/>
  <c r="AR49"/>
  <c r="AR51"/>
  <c r="AR53"/>
  <c r="AR55"/>
  <c r="AR57"/>
  <c r="AR59"/>
  <c r="AR61"/>
  <c r="AR63"/>
  <c r="AR65"/>
  <c r="AR67"/>
  <c r="AR69"/>
  <c r="AR32"/>
  <c r="AR34"/>
  <c r="AR36"/>
  <c r="AR38"/>
  <c r="AR40"/>
  <c r="AR42"/>
  <c r="AR44"/>
  <c r="AR46"/>
  <c r="AR48"/>
  <c r="AR50"/>
  <c r="AR52"/>
  <c r="AR54"/>
  <c r="AR56"/>
  <c r="AR58"/>
  <c r="AR60"/>
  <c r="AR62"/>
  <c r="AR64"/>
  <c r="AR66"/>
  <c r="AR68"/>
  <c r="AR70"/>
  <c r="AR81"/>
  <c r="AO75"/>
  <c r="AQ82"/>
  <c r="AP99"/>
  <c r="AP95"/>
  <c r="AR104"/>
  <c r="AR94"/>
  <c r="AO85"/>
  <c r="AQ86"/>
  <c r="AQ32"/>
  <c r="AQ34"/>
  <c r="AQ36"/>
  <c r="AQ38"/>
  <c r="AQ40"/>
  <c r="AQ42"/>
  <c r="AQ44"/>
  <c r="AQ46"/>
  <c r="AQ48"/>
  <c r="AQ50"/>
  <c r="AQ52"/>
  <c r="AQ54"/>
  <c r="AQ56"/>
  <c r="AQ58"/>
  <c r="AQ60"/>
  <c r="AQ62"/>
  <c r="AQ64"/>
  <c r="AQ66"/>
  <c r="AQ68"/>
  <c r="AQ70"/>
  <c r="AQ31"/>
  <c r="AQ33"/>
  <c r="AQ35"/>
  <c r="AQ37"/>
  <c r="AQ39"/>
  <c r="AQ41"/>
  <c r="AQ43"/>
  <c r="AQ45"/>
  <c r="AQ47"/>
  <c r="AQ49"/>
  <c r="AQ51"/>
  <c r="AQ53"/>
  <c r="AQ55"/>
  <c r="AQ57"/>
  <c r="AQ59"/>
  <c r="AQ61"/>
  <c r="AQ63"/>
  <c r="AQ65"/>
  <c r="AQ67"/>
  <c r="AQ69"/>
  <c r="AP101"/>
  <c r="AP104"/>
  <c r="AP87"/>
  <c r="AR87"/>
  <c r="AP86"/>
  <c r="AR78"/>
  <c r="AO96"/>
  <c r="AO74"/>
  <c r="AQ99"/>
  <c r="AP80"/>
  <c r="AQ71"/>
  <c r="AO102"/>
  <c r="AQ81"/>
  <c r="AO90"/>
  <c r="AR90"/>
  <c r="AO86"/>
  <c r="AR77"/>
  <c r="AQ95"/>
  <c r="AO73"/>
  <c r="AR93"/>
  <c r="AQ106"/>
  <c r="AO87"/>
  <c r="AP81"/>
  <c r="AP98"/>
  <c r="AQ84"/>
  <c r="AO91"/>
  <c r="AP31"/>
  <c r="AP33"/>
  <c r="AP35"/>
  <c r="AP37"/>
  <c r="AP39"/>
  <c r="AP41"/>
  <c r="AP43"/>
  <c r="AP45"/>
  <c r="AP47"/>
  <c r="AP49"/>
  <c r="AP51"/>
  <c r="AP53"/>
  <c r="AP55"/>
  <c r="AP57"/>
  <c r="AP59"/>
  <c r="AP61"/>
  <c r="AP63"/>
  <c r="AP65"/>
  <c r="AP67"/>
  <c r="AP69"/>
  <c r="AP32"/>
  <c r="AP34"/>
  <c r="AP36"/>
  <c r="AP38"/>
  <c r="AP40"/>
  <c r="AP42"/>
  <c r="AP44"/>
  <c r="AP46"/>
  <c r="AP48"/>
  <c r="AP50"/>
  <c r="AP52"/>
  <c r="AP54"/>
  <c r="AP56"/>
  <c r="AP58"/>
  <c r="AP60"/>
  <c r="AP62"/>
  <c r="AP64"/>
  <c r="AP66"/>
  <c r="AP68"/>
  <c r="AP70"/>
  <c r="AR71"/>
  <c r="AP78"/>
  <c r="AQ87"/>
  <c r="AR100"/>
  <c r="AP83"/>
  <c r="AO89"/>
  <c r="AO101"/>
  <c r="AQ103"/>
  <c r="AP74"/>
  <c r="AP100"/>
  <c r="AQ80"/>
  <c r="AO82"/>
  <c r="AO92"/>
  <c r="AP88"/>
  <c r="AQ85"/>
  <c r="AO105"/>
  <c r="AP73"/>
  <c r="AP96"/>
  <c r="AR72"/>
  <c r="AO103"/>
  <c r="AP106"/>
  <c r="AR85"/>
  <c r="AP71"/>
  <c r="AP92"/>
  <c r="AR105"/>
  <c r="AR82"/>
  <c r="AO76"/>
  <c r="AO94"/>
  <c r="AO104"/>
  <c r="AQ96"/>
  <c r="AP76"/>
  <c r="AO72"/>
  <c r="AR80"/>
  <c r="AQ83"/>
  <c r="AP82"/>
  <c r="AR106"/>
  <c r="AO98"/>
  <c r="AO83"/>
  <c r="AQ105"/>
  <c r="T107"/>
  <c r="U28"/>
  <c r="V28"/>
  <c r="W28"/>
  <c r="V107"/>
  <c r="W107"/>
  <c r="U107"/>
  <c r="E91" i="7"/>
  <c r="F90"/>
  <c r="AA28" i="23" l="1"/>
  <c r="G90" i="7"/>
  <c r="G91" s="1"/>
  <c r="F91"/>
  <c r="D59" l="1"/>
  <c r="D63" l="1"/>
  <c r="H29" i="11" s="1"/>
  <c r="E59" i="7"/>
  <c r="E63" l="1"/>
  <c r="I29" i="11" s="1"/>
  <c r="F59" i="7"/>
  <c r="G21" i="13"/>
  <c r="H21" l="1"/>
  <c r="G59" i="7"/>
  <c r="F63"/>
  <c r="J29" i="11" s="1"/>
  <c r="G63" i="7" l="1"/>
  <c r="K29" i="11" s="1"/>
  <c r="H59" i="7"/>
  <c r="H63" s="1"/>
  <c r="L29" i="11" s="1"/>
  <c r="I21" i="13"/>
  <c r="J21" l="1"/>
  <c r="K21"/>
  <c r="G20"/>
  <c r="H20" l="1"/>
  <c r="I20"/>
  <c r="J20" l="1"/>
  <c r="G42" i="11" l="1"/>
  <c r="H42"/>
  <c r="I42"/>
  <c r="J42"/>
  <c r="K42"/>
  <c r="F10" i="7" l="1"/>
  <c r="G10" l="1"/>
  <c r="H10" l="1"/>
  <c r="E12" l="1"/>
  <c r="E13" s="1"/>
  <c r="F12" l="1"/>
  <c r="F13" s="1"/>
  <c r="G12" l="1"/>
  <c r="G13" s="1"/>
  <c r="T29" i="27" l="1"/>
  <c r="T28" s="1"/>
  <c r="H12" i="7" l="1"/>
  <c r="H13" s="1"/>
  <c r="E14" l="1"/>
  <c r="E15" s="1"/>
  <c r="E6" l="1"/>
  <c r="E55" i="10"/>
  <c r="E56" s="1"/>
  <c r="E7" i="7" l="1"/>
  <c r="E39"/>
  <c r="E50"/>
  <c r="I5" i="11"/>
  <c r="E81" i="29" s="1"/>
  <c r="I15" i="11" l="1"/>
  <c r="I55"/>
  <c r="I32"/>
  <c r="I57"/>
  <c r="I58"/>
  <c r="I59"/>
  <c r="I60"/>
  <c r="I63"/>
  <c r="I61" i="8"/>
  <c r="I8" i="11"/>
  <c r="I9"/>
  <c r="I30"/>
  <c r="I8" i="8" s="1"/>
  <c r="I9" s="1"/>
  <c r="H15" i="13" l="1"/>
  <c r="H12"/>
  <c r="F14" i="7" l="1"/>
  <c r="F15" s="1"/>
  <c r="F6" l="1"/>
  <c r="F55" i="10"/>
  <c r="F56" s="1"/>
  <c r="F39" i="7" l="1"/>
  <c r="F49"/>
  <c r="F50"/>
  <c r="J5" i="11"/>
  <c r="F81" i="29" s="1"/>
  <c r="F7" i="7"/>
  <c r="AC105" i="23" l="1"/>
  <c r="AC87"/>
  <c r="AC86"/>
  <c r="AF51"/>
  <c r="AF32"/>
  <c r="AF69"/>
  <c r="AF45"/>
  <c r="AF50"/>
  <c r="AF65"/>
  <c r="AF55"/>
  <c r="AF70"/>
  <c r="AF64"/>
  <c r="AF49"/>
  <c r="AF41"/>
  <c r="AF43"/>
  <c r="AF68"/>
  <c r="AF52"/>
  <c r="AF34"/>
  <c r="AF66"/>
  <c r="AF35"/>
  <c r="AF57"/>
  <c r="AF58"/>
  <c r="AF46"/>
  <c r="AF62"/>
  <c r="AF39"/>
  <c r="AF33"/>
  <c r="AF54"/>
  <c r="AF42"/>
  <c r="AF56"/>
  <c r="AF61"/>
  <c r="AF67"/>
  <c r="AF63"/>
  <c r="AF47"/>
  <c r="AF44"/>
  <c r="AF60"/>
  <c r="D26" i="11"/>
  <c r="AF59" i="23"/>
  <c r="AF38"/>
  <c r="AF53"/>
  <c r="AF31"/>
  <c r="AF40"/>
  <c r="AF37"/>
  <c r="AF36"/>
  <c r="AF48"/>
  <c r="B25" i="13"/>
  <c r="AC85" i="23"/>
  <c r="C59" i="11"/>
  <c r="AE78" i="23"/>
  <c r="B22" i="13"/>
  <c r="B17"/>
  <c r="D16" i="11"/>
  <c r="C37"/>
  <c r="B6" i="13"/>
  <c r="D51" i="11"/>
  <c r="B85"/>
  <c r="AD105" i="23"/>
  <c r="D55" i="11"/>
  <c r="AF74" i="23"/>
  <c r="C76" i="11"/>
  <c r="AE95" i="23"/>
  <c r="AF98"/>
  <c r="D79" i="11"/>
  <c r="AE7" i="23"/>
  <c r="AE6"/>
  <c r="AE18"/>
  <c r="AE17"/>
  <c r="AE10"/>
  <c r="AE15"/>
  <c r="AE23"/>
  <c r="AE25"/>
  <c r="AE21"/>
  <c r="AE24"/>
  <c r="AE22"/>
  <c r="AE11"/>
  <c r="AE12"/>
  <c r="AE20"/>
  <c r="AE8"/>
  <c r="AE16"/>
  <c r="C5" i="11"/>
  <c r="AE19" i="23"/>
  <c r="AE9"/>
  <c r="AE5"/>
  <c r="AE13"/>
  <c r="AE14"/>
  <c r="C69" i="8"/>
  <c r="AC92" i="23"/>
  <c r="AD87"/>
  <c r="B68" i="11"/>
  <c r="AE104" i="23"/>
  <c r="AF73"/>
  <c r="D54" i="11"/>
  <c r="AF77" i="23"/>
  <c r="D58" i="11"/>
  <c r="AE81" i="23"/>
  <c r="C62" i="11"/>
  <c r="C65"/>
  <c r="AE84" i="23"/>
  <c r="C65" i="8"/>
  <c r="B66"/>
  <c r="D28" i="11"/>
  <c r="C42" i="13" s="1"/>
  <c r="AE103" i="23"/>
  <c r="C84" i="11"/>
  <c r="D52" i="8"/>
  <c r="D53"/>
  <c r="D54" s="1"/>
  <c r="B36" i="13"/>
  <c r="B9" i="11"/>
  <c r="AC89" i="23"/>
  <c r="C16" i="11"/>
  <c r="C29"/>
  <c r="D27"/>
  <c r="C38"/>
  <c r="AE71" i="23"/>
  <c r="C52" i="11"/>
  <c r="D82"/>
  <c r="AF101" i="23"/>
  <c r="AC81"/>
  <c r="C52" i="8"/>
  <c r="C53"/>
  <c r="C54" s="1"/>
  <c r="B14" i="13"/>
  <c r="C6"/>
  <c r="AE73" i="23"/>
  <c r="C54" i="11"/>
  <c r="C83"/>
  <c r="AE102" i="23"/>
  <c r="AD89"/>
  <c r="B70" i="11"/>
  <c r="D52"/>
  <c r="AF71" i="23"/>
  <c r="B63" i="11"/>
  <c r="AD82" i="23"/>
  <c r="C11" i="11"/>
  <c r="B8" i="13"/>
  <c r="AC82" i="23"/>
  <c r="D75" i="11"/>
  <c r="AF94" i="23"/>
  <c r="C17" i="13"/>
  <c r="B49" i="11"/>
  <c r="D67"/>
  <c r="AF86" i="23"/>
  <c r="D68" i="11"/>
  <c r="AF87" i="23"/>
  <c r="C29" i="13"/>
  <c r="B32"/>
  <c r="B9" i="17"/>
  <c r="AC88" i="23"/>
  <c r="B33" i="11"/>
  <c r="B31" i="13"/>
  <c r="B21"/>
  <c r="B59" i="11"/>
  <c r="AD78" i="23"/>
  <c r="C6" i="11"/>
  <c r="AE98" i="23"/>
  <c r="C79" i="11"/>
  <c r="B47"/>
  <c r="AD85" i="23"/>
  <c r="B66" i="11"/>
  <c r="D34"/>
  <c r="AF82" i="23"/>
  <c r="D63" i="11"/>
  <c r="AC78" i="23"/>
  <c r="C58" i="11"/>
  <c r="AE77" i="23"/>
  <c r="AD34"/>
  <c r="AD58"/>
  <c r="AD60"/>
  <c r="AD70"/>
  <c r="AD31"/>
  <c r="AD46"/>
  <c r="AD68"/>
  <c r="AD53"/>
  <c r="AD40"/>
  <c r="AD62"/>
  <c r="AD67"/>
  <c r="AD55"/>
  <c r="AD51"/>
  <c r="AD38"/>
  <c r="AD61"/>
  <c r="AD45"/>
  <c r="AD35"/>
  <c r="AD43"/>
  <c r="AD65"/>
  <c r="AD37"/>
  <c r="AD52"/>
  <c r="AD56"/>
  <c r="AD50"/>
  <c r="AD64"/>
  <c r="AD44"/>
  <c r="AD32"/>
  <c r="AD57"/>
  <c r="AD49"/>
  <c r="B26" i="11"/>
  <c r="AD33" i="23"/>
  <c r="AD54"/>
  <c r="AD59"/>
  <c r="AD63"/>
  <c r="AD41"/>
  <c r="AD66"/>
  <c r="AD48"/>
  <c r="AD42"/>
  <c r="AD47"/>
  <c r="AD69"/>
  <c r="AD36"/>
  <c r="AD39"/>
  <c r="D29" i="11"/>
  <c r="AD102" i="23"/>
  <c r="B83" i="11"/>
  <c r="D83"/>
  <c r="AF102" i="23"/>
  <c r="B33" i="13"/>
  <c r="C25"/>
  <c r="AE79" i="23"/>
  <c r="C60" i="11"/>
  <c r="D21"/>
  <c r="C45"/>
  <c r="C28"/>
  <c r="B42" i="13" s="1"/>
  <c r="B62" i="11"/>
  <c r="AD81" i="23"/>
  <c r="B31" i="11"/>
  <c r="B62" i="8"/>
  <c r="AC100" i="23"/>
  <c r="C21" i="13"/>
  <c r="C8" i="11"/>
  <c r="AF72" i="23"/>
  <c r="D53" i="11"/>
  <c r="D25" i="8" s="1"/>
  <c r="B13" i="11"/>
  <c r="C20" i="13"/>
  <c r="AD79" i="23"/>
  <c r="B60" i="11"/>
  <c r="C34"/>
  <c r="D22"/>
  <c r="B24" i="13"/>
  <c r="B5" i="17"/>
  <c r="B6" s="1"/>
  <c r="B10" s="1"/>
  <c r="D9"/>
  <c r="E6" s="1"/>
  <c r="E10" s="1"/>
  <c r="AE88" i="23"/>
  <c r="C69" i="11"/>
  <c r="B41"/>
  <c r="AC83" i="23"/>
  <c r="C67" i="11"/>
  <c r="AE86" i="23"/>
  <c r="AF92"/>
  <c r="D73" i="11"/>
  <c r="E40" i="8" s="1"/>
  <c r="AC84" i="23"/>
  <c r="AF83"/>
  <c r="D64" i="11"/>
  <c r="AE96" i="23"/>
  <c r="C77" i="11"/>
  <c r="AC43" i="23"/>
  <c r="C68" i="8"/>
  <c r="AC64" i="23"/>
  <c r="AC44"/>
  <c r="AC47"/>
  <c r="AC65"/>
  <c r="AC49"/>
  <c r="AC53"/>
  <c r="AC39"/>
  <c r="AC67"/>
  <c r="AC31"/>
  <c r="AC33"/>
  <c r="AC51"/>
  <c r="AC69"/>
  <c r="AC36"/>
  <c r="AC42"/>
  <c r="AC59"/>
  <c r="AC54"/>
  <c r="AC58"/>
  <c r="AC35"/>
  <c r="AC63"/>
  <c r="AC46"/>
  <c r="AC40"/>
  <c r="AC56"/>
  <c r="AC50"/>
  <c r="AC52"/>
  <c r="AC62"/>
  <c r="AC55"/>
  <c r="AC37"/>
  <c r="AC32"/>
  <c r="AC68"/>
  <c r="AC60"/>
  <c r="AC61"/>
  <c r="AC66"/>
  <c r="AC57"/>
  <c r="AC34"/>
  <c r="AC41"/>
  <c r="AC45"/>
  <c r="AC38"/>
  <c r="AC48"/>
  <c r="AC70"/>
  <c r="AE83"/>
  <c r="C64" i="11"/>
  <c r="AD75" i="23"/>
  <c r="B56" i="11"/>
  <c r="B68" i="8"/>
  <c r="AD104" i="23"/>
  <c r="B75" i="11"/>
  <c r="AD94" i="23"/>
  <c r="AE51"/>
  <c r="AE38"/>
  <c r="AE64"/>
  <c r="AE61"/>
  <c r="AE46"/>
  <c r="AE69"/>
  <c r="AE57"/>
  <c r="AE52"/>
  <c r="AE37"/>
  <c r="AE34"/>
  <c r="AE31"/>
  <c r="AE44"/>
  <c r="AE39"/>
  <c r="AE32"/>
  <c r="AE63"/>
  <c r="AE36"/>
  <c r="AE68"/>
  <c r="AE50"/>
  <c r="AE54"/>
  <c r="AE59"/>
  <c r="AE66"/>
  <c r="AE67"/>
  <c r="AE41"/>
  <c r="AE35"/>
  <c r="AE70"/>
  <c r="AE56"/>
  <c r="AE47"/>
  <c r="AE53"/>
  <c r="AE62"/>
  <c r="AE58"/>
  <c r="C26" i="11"/>
  <c r="AE40" i="23"/>
  <c r="AE33"/>
  <c r="AE60"/>
  <c r="AE55"/>
  <c r="AE43"/>
  <c r="AE45"/>
  <c r="AE42"/>
  <c r="AE65"/>
  <c r="AE48"/>
  <c r="AE49"/>
  <c r="AC102"/>
  <c r="B29" i="13"/>
  <c r="B12"/>
  <c r="D6" i="11"/>
  <c r="C44"/>
  <c r="B22"/>
  <c r="B50" i="8" s="1"/>
  <c r="B65"/>
  <c r="AC98" i="23"/>
  <c r="C33" i="13"/>
  <c r="AE85" i="23"/>
  <c r="C66" i="11"/>
  <c r="AC106" i="23"/>
  <c r="AC75"/>
  <c r="B79" i="11"/>
  <c r="AD98" i="23"/>
  <c r="C30" i="13"/>
  <c r="AE92" i="23"/>
  <c r="C73" i="11"/>
  <c r="D66"/>
  <c r="AF85" i="23"/>
  <c r="D30" i="11"/>
  <c r="B77"/>
  <c r="AD96" i="23"/>
  <c r="D32" i="11"/>
  <c r="B26" i="13"/>
  <c r="B37" i="11"/>
  <c r="AE100" i="23"/>
  <c r="C81" i="11"/>
  <c r="C57"/>
  <c r="AE76" i="23"/>
  <c r="C75" i="11"/>
  <c r="AE94" i="23"/>
  <c r="C5" i="17"/>
  <c r="C6" s="1"/>
  <c r="C10" s="1"/>
  <c r="AF88" i="23"/>
  <c r="E9" i="17"/>
  <c r="F5" s="1"/>
  <c r="D69" i="11"/>
  <c r="F52" i="8"/>
  <c r="F53"/>
  <c r="F54" s="1"/>
  <c r="C34" i="13"/>
  <c r="D17" i="11"/>
  <c r="C32"/>
  <c r="B48"/>
  <c r="AD80" i="23"/>
  <c r="B61" i="11"/>
  <c r="AC104" i="23"/>
  <c r="B8" i="11"/>
  <c r="B32"/>
  <c r="AF95" i="23"/>
  <c r="D76" i="11"/>
  <c r="B45"/>
  <c r="AF93" i="23"/>
  <c r="D74" i="11"/>
  <c r="AC97" i="23"/>
  <c r="B80" i="11"/>
  <c r="AD99" i="23"/>
  <c r="AE72"/>
  <c r="C53" i="11"/>
  <c r="B20" i="13"/>
  <c r="AC80" i="23"/>
  <c r="D71" i="11"/>
  <c r="AF90" i="23"/>
  <c r="C43" i="11"/>
  <c r="AE80" i="23"/>
  <c r="C61" i="11"/>
  <c r="B67"/>
  <c r="AD86" i="23"/>
  <c r="D7" i="11"/>
  <c r="B55"/>
  <c r="AD74" i="23"/>
  <c r="AE90"/>
  <c r="C71" i="11"/>
  <c r="AE89" i="23"/>
  <c r="C70" i="11"/>
  <c r="C22" i="13"/>
  <c r="B43" i="11"/>
  <c r="B13" i="13"/>
  <c r="D8" i="11"/>
  <c r="C74"/>
  <c r="AE93" i="23"/>
  <c r="B11" i="11"/>
  <c r="D44"/>
  <c r="C7"/>
  <c r="AC74" i="23"/>
  <c r="D81" i="11"/>
  <c r="AF100" i="23"/>
  <c r="B27" i="11"/>
  <c r="AF76" i="23"/>
  <c r="D57" i="11"/>
  <c r="C31"/>
  <c r="AC103" i="23"/>
  <c r="D45" i="11"/>
  <c r="B16"/>
  <c r="B71"/>
  <c r="AD90" i="23"/>
  <c r="C9" i="11"/>
  <c r="C19"/>
  <c r="B58"/>
  <c r="AD77" i="23"/>
  <c r="C51" i="11"/>
  <c r="AD73" i="23"/>
  <c r="B54" i="11"/>
  <c r="D84"/>
  <c r="AF103" i="23"/>
  <c r="D38" i="11"/>
  <c r="B30"/>
  <c r="AC77" i="23"/>
  <c r="C15" i="13"/>
  <c r="C27" i="11"/>
  <c r="C24" i="13"/>
  <c r="AD97" i="23"/>
  <c r="B78" i="11"/>
  <c r="C22"/>
  <c r="C50" i="8" s="1"/>
  <c r="D61" i="11"/>
  <c r="AF80" i="23"/>
  <c r="B21" i="11"/>
  <c r="C47"/>
  <c r="AD93" i="23"/>
  <c r="B74" i="11"/>
  <c r="B9" i="13"/>
  <c r="B84" i="11"/>
  <c r="AD103" i="23"/>
  <c r="AF79"/>
  <c r="D60" i="11"/>
  <c r="C32" i="13"/>
  <c r="AE101" i="23"/>
  <c r="C82" i="11"/>
  <c r="B19"/>
  <c r="C21"/>
  <c r="B65"/>
  <c r="AD84" i="23"/>
  <c r="B7" i="11"/>
  <c r="B6"/>
  <c r="C13" i="13"/>
  <c r="C49" i="11"/>
  <c r="C41"/>
  <c r="D80"/>
  <c r="AF99" i="23"/>
  <c r="B51" i="11"/>
  <c r="D48"/>
  <c r="C26" i="13"/>
  <c r="B39"/>
  <c r="AC99" i="23"/>
  <c r="AF106"/>
  <c r="D86" i="11"/>
  <c r="AF75" i="23"/>
  <c r="D56" i="11"/>
  <c r="D33"/>
  <c r="C31" i="13"/>
  <c r="AF97" i="23"/>
  <c r="D78" i="11"/>
  <c r="D59"/>
  <c r="AF78" i="23"/>
  <c r="B57" i="11"/>
  <c r="AD76" i="23"/>
  <c r="C36" i="13"/>
  <c r="B17" i="11"/>
  <c r="AE75" i="23"/>
  <c r="C56" i="11"/>
  <c r="B50"/>
  <c r="AC72" i="23"/>
  <c r="B40" i="11"/>
  <c r="B38"/>
  <c r="C9" i="13"/>
  <c r="D20" i="11"/>
  <c r="AD8" i="23"/>
  <c r="AD15"/>
  <c r="AD11"/>
  <c r="B5" i="11"/>
  <c r="AD19" i="23"/>
  <c r="AD17"/>
  <c r="AD10"/>
  <c r="AD14"/>
  <c r="AD5"/>
  <c r="AD23"/>
  <c r="AD21"/>
  <c r="AD7"/>
  <c r="AD13"/>
  <c r="AD6"/>
  <c r="AD20"/>
  <c r="AD9"/>
  <c r="AD24"/>
  <c r="AD22"/>
  <c r="AD25"/>
  <c r="AD18"/>
  <c r="AD12"/>
  <c r="AD16"/>
  <c r="B69" i="8"/>
  <c r="B30" i="13"/>
  <c r="B23"/>
  <c r="AC94" i="23"/>
  <c r="D11" i="11"/>
  <c r="C8" i="13"/>
  <c r="AD92" i="23"/>
  <c r="B73" i="11"/>
  <c r="B44"/>
  <c r="C50"/>
  <c r="B20"/>
  <c r="AD83" i="23"/>
  <c r="B64" i="11"/>
  <c r="C72"/>
  <c r="AE91" i="23"/>
  <c r="D41" i="11"/>
  <c r="AF84" i="23"/>
  <c r="D65" i="11"/>
  <c r="B82"/>
  <c r="AD101" i="23"/>
  <c r="AE87"/>
  <c r="C68" i="11"/>
  <c r="AC95" i="23"/>
  <c r="AD106"/>
  <c r="B86" i="11"/>
  <c r="AC76" i="23"/>
  <c r="AE82"/>
  <c r="C63" i="11"/>
  <c r="C14" i="13"/>
  <c r="AF14" i="23"/>
  <c r="AF9"/>
  <c r="AF15"/>
  <c r="AF13"/>
  <c r="AF22"/>
  <c r="AF18"/>
  <c r="AF11"/>
  <c r="AF10"/>
  <c r="D5" i="11"/>
  <c r="E61" i="8" s="1"/>
  <c r="AF20" i="23"/>
  <c r="AF6"/>
  <c r="AF21"/>
  <c r="AF24"/>
  <c r="AF25"/>
  <c r="AF5"/>
  <c r="AF19"/>
  <c r="AF23"/>
  <c r="AF17"/>
  <c r="AF7"/>
  <c r="AF12"/>
  <c r="AF8"/>
  <c r="AF16"/>
  <c r="D47" i="11"/>
  <c r="B53"/>
  <c r="AD72" i="23"/>
  <c r="D50" i="11"/>
  <c r="D49"/>
  <c r="AC96" i="23"/>
  <c r="D72" i="11"/>
  <c r="AF91" i="23"/>
  <c r="B72" i="11"/>
  <c r="AD91" i="23"/>
  <c r="B15" i="13"/>
  <c r="D37" i="11"/>
  <c r="D31"/>
  <c r="C20"/>
  <c r="AF81" i="23"/>
  <c r="D62" i="11"/>
  <c r="C12" i="13"/>
  <c r="D9" i="11"/>
  <c r="C23" i="13"/>
  <c r="AD88" i="23"/>
  <c r="C9" i="17"/>
  <c r="D6" s="1"/>
  <c r="D10" s="1"/>
  <c r="B69" i="11"/>
  <c r="AC101" i="23"/>
  <c r="AC73"/>
  <c r="D13" i="11"/>
  <c r="B52" i="8"/>
  <c r="B53"/>
  <c r="B54" s="1"/>
  <c r="AC91" i="23"/>
  <c r="B61" i="8"/>
  <c r="C66"/>
  <c r="C67"/>
  <c r="B67"/>
  <c r="C17" i="11"/>
  <c r="B29"/>
  <c r="E53" i="8"/>
  <c r="E54" s="1"/>
  <c r="B34" i="13"/>
  <c r="E52" i="8"/>
  <c r="D43" i="11"/>
  <c r="C85"/>
  <c r="AE105" i="23"/>
  <c r="D19" i="11"/>
  <c r="C78"/>
  <c r="AE97" i="23"/>
  <c r="AF105"/>
  <c r="D85" i="11"/>
  <c r="C33"/>
  <c r="AC79" i="23"/>
  <c r="B76" i="11"/>
  <c r="AD95" i="23"/>
  <c r="AE106"/>
  <c r="C86" i="11"/>
  <c r="D70"/>
  <c r="AF89" i="23"/>
  <c r="AF96"/>
  <c r="D77" i="11"/>
  <c r="AF104" i="23"/>
  <c r="C39" i="13"/>
  <c r="AC90" i="23"/>
  <c r="C40" i="11"/>
  <c r="AC71" i="23"/>
  <c r="AC5"/>
  <c r="AC21"/>
  <c r="AC23"/>
  <c r="AC10"/>
  <c r="AC18"/>
  <c r="AC11"/>
  <c r="AC14"/>
  <c r="AC13"/>
  <c r="C61" i="8"/>
  <c r="AC9" i="23"/>
  <c r="AC25"/>
  <c r="AC8"/>
  <c r="AC22"/>
  <c r="AC19"/>
  <c r="AC7"/>
  <c r="AC24"/>
  <c r="AC16"/>
  <c r="AC20"/>
  <c r="AC17"/>
  <c r="AC12"/>
  <c r="AC15"/>
  <c r="AC6"/>
  <c r="B28" i="11"/>
  <c r="B52"/>
  <c r="AD71" i="23"/>
  <c r="C30" i="11"/>
  <c r="C55"/>
  <c r="AE74" i="23"/>
  <c r="D40" i="11"/>
  <c r="D39" s="1"/>
  <c r="B34"/>
  <c r="AD100" i="23"/>
  <c r="B81" i="11"/>
  <c r="AE99" i="23"/>
  <c r="C80" i="11"/>
  <c r="C13"/>
  <c r="C62" i="8"/>
  <c r="AC93" i="23"/>
  <c r="C48" i="11"/>
  <c r="E39" i="8"/>
  <c r="E68"/>
  <c r="E16"/>
  <c r="J15" i="11"/>
  <c r="J55"/>
  <c r="J32"/>
  <c r="J58"/>
  <c r="J59"/>
  <c r="J60"/>
  <c r="J57"/>
  <c r="J63"/>
  <c r="J8"/>
  <c r="J9"/>
  <c r="J30"/>
  <c r="J8" i="8" s="1"/>
  <c r="J9" s="1"/>
  <c r="J61"/>
  <c r="C18" i="11" l="1"/>
  <c r="C31" i="8"/>
  <c r="D21"/>
  <c r="B87" i="11"/>
  <c r="C37" i="8"/>
  <c r="C19"/>
  <c r="C21"/>
  <c r="B36" i="11"/>
  <c r="C39"/>
  <c r="E69" i="8"/>
  <c r="D40"/>
  <c r="D30"/>
  <c r="D57"/>
  <c r="D26"/>
  <c r="C42"/>
  <c r="D36" i="11"/>
  <c r="B39"/>
  <c r="D29" i="8"/>
  <c r="C46" i="11"/>
  <c r="E45" i="8"/>
  <c r="D31"/>
  <c r="D87" i="11"/>
  <c r="D69" i="8"/>
  <c r="C16" i="13"/>
  <c r="D42" i="11"/>
  <c r="D14" i="8"/>
  <c r="B6"/>
  <c r="B7" s="1"/>
  <c r="B38" i="13"/>
  <c r="B41" s="1"/>
  <c r="B43" s="1"/>
  <c r="B16"/>
  <c r="C20" i="8"/>
  <c r="C29"/>
  <c r="D8"/>
  <c r="D9" s="1"/>
  <c r="D10"/>
  <c r="D11" s="1"/>
  <c r="D6"/>
  <c r="D7" s="1"/>
  <c r="B10"/>
  <c r="B11" s="1"/>
  <c r="D22"/>
  <c r="D38"/>
  <c r="B21"/>
  <c r="D46" i="11"/>
  <c r="C42"/>
  <c r="D42" i="8"/>
  <c r="D20"/>
  <c r="B16"/>
  <c r="B14"/>
  <c r="B31"/>
  <c r="B8"/>
  <c r="B9" s="1"/>
  <c r="C34"/>
  <c r="C10" i="11"/>
  <c r="D66" i="8"/>
  <c r="D39"/>
  <c r="E66"/>
  <c r="C30"/>
  <c r="B46" i="11"/>
  <c r="D18"/>
  <c r="B25" i="8"/>
  <c r="B26"/>
  <c r="D61"/>
  <c r="D16"/>
  <c r="B34"/>
  <c r="B10" i="11"/>
  <c r="B19" i="8"/>
  <c r="B20"/>
  <c r="D62"/>
  <c r="E62"/>
  <c r="D34"/>
  <c r="F6" i="17"/>
  <c r="F10" s="1"/>
  <c r="B64" i="8"/>
  <c r="B63"/>
  <c r="C6"/>
  <c r="C7" s="1"/>
  <c r="C10"/>
  <c r="C11" s="1"/>
  <c r="B37"/>
  <c r="C87" i="11"/>
  <c r="D19" i="8"/>
  <c r="C41"/>
  <c r="C39"/>
  <c r="C38"/>
  <c r="C40"/>
  <c r="B39"/>
  <c r="B41"/>
  <c r="B40"/>
  <c r="B38"/>
  <c r="C64"/>
  <c r="C63"/>
  <c r="C8"/>
  <c r="C9" s="1"/>
  <c r="C16"/>
  <c r="C14"/>
  <c r="B18" i="11"/>
  <c r="D10"/>
  <c r="D27" i="8" s="1"/>
  <c r="C38" i="13"/>
  <c r="C41" s="1"/>
  <c r="C43" s="1"/>
  <c r="C36" i="11"/>
  <c r="D37" i="8"/>
  <c r="E65"/>
  <c r="D65"/>
  <c r="C26"/>
  <c r="C25"/>
  <c r="E67"/>
  <c r="D50"/>
  <c r="D67"/>
  <c r="C22"/>
  <c r="C57"/>
  <c r="B42" i="11"/>
  <c r="B30" i="8"/>
  <c r="D41"/>
  <c r="D68"/>
  <c r="I15" i="13"/>
  <c r="I12"/>
  <c r="D45" i="8" l="1"/>
  <c r="B35" i="11"/>
  <c r="B15" i="8" s="1"/>
  <c r="D35" i="11"/>
  <c r="E15" i="8" s="1"/>
  <c r="D46"/>
  <c r="C12"/>
  <c r="C13" s="1"/>
  <c r="B12"/>
  <c r="B13" s="1"/>
  <c r="C35" i="11"/>
  <c r="C15" i="8" s="1"/>
  <c r="D12"/>
  <c r="D13" s="1"/>
  <c r="C46"/>
  <c r="C45"/>
  <c r="D58"/>
  <c r="D51"/>
  <c r="D12" i="11"/>
  <c r="E64" i="8"/>
  <c r="D36"/>
  <c r="D64"/>
  <c r="C12" i="11"/>
  <c r="C51" i="8"/>
  <c r="C36"/>
  <c r="C27"/>
  <c r="C58"/>
  <c r="B46"/>
  <c r="F9" i="17"/>
  <c r="B51" i="8"/>
  <c r="B36"/>
  <c r="B58"/>
  <c r="B12" i="11"/>
  <c r="B27" i="8"/>
  <c r="B45"/>
  <c r="D15" l="1"/>
  <c r="G69" i="11"/>
  <c r="G5" i="17"/>
  <c r="G9" s="1"/>
  <c r="B28" i="8"/>
  <c r="B35"/>
  <c r="B47"/>
  <c r="C28"/>
  <c r="C47"/>
  <c r="C35"/>
  <c r="D35"/>
  <c r="D47"/>
  <c r="D28"/>
  <c r="E63"/>
  <c r="D63"/>
  <c r="G14" i="7"/>
  <c r="G15" s="1"/>
  <c r="F33" i="13" l="1"/>
  <c r="G17" i="11"/>
  <c r="H69"/>
  <c r="H17" s="1"/>
  <c r="H5" i="17"/>
  <c r="H9" s="1"/>
  <c r="G6" i="7"/>
  <c r="G55" i="10"/>
  <c r="G56" s="1"/>
  <c r="G33" i="13" l="1"/>
  <c r="D33" i="14"/>
  <c r="I5" i="17"/>
  <c r="I9" s="1"/>
  <c r="I69" i="11"/>
  <c r="H33" i="13" s="1"/>
  <c r="K5" i="11"/>
  <c r="G81" i="29" s="1"/>
  <c r="G39" i="7"/>
  <c r="G50"/>
  <c r="G7"/>
  <c r="G49"/>
  <c r="J5" i="17" l="1"/>
  <c r="J9" s="1"/>
  <c r="K69" i="11" s="1"/>
  <c r="J69"/>
  <c r="I33" i="13" s="1"/>
  <c r="K15" i="11"/>
  <c r="K55"/>
  <c r="K57"/>
  <c r="K59"/>
  <c r="K63"/>
  <c r="K32"/>
  <c r="K58"/>
  <c r="K60"/>
  <c r="K9"/>
  <c r="K8"/>
  <c r="K30"/>
  <c r="K8" i="8" s="1"/>
  <c r="K9" s="1"/>
  <c r="K61"/>
  <c r="K33" i="13" l="1"/>
  <c r="J33"/>
  <c r="J12"/>
  <c r="J15"/>
  <c r="T134" i="23"/>
  <c r="P44"/>
  <c r="O141"/>
  <c r="U137"/>
  <c r="R94"/>
  <c r="U126"/>
  <c r="Q40"/>
  <c r="P97"/>
  <c r="R47"/>
  <c r="S58"/>
  <c r="R79"/>
  <c r="Q8"/>
  <c r="P128"/>
  <c r="R77"/>
  <c r="W136"/>
  <c r="S91"/>
  <c r="Q116"/>
  <c r="O16"/>
  <c r="Q81"/>
  <c r="O93"/>
  <c r="P79"/>
  <c r="V114"/>
  <c r="N129"/>
  <c r="O43"/>
  <c r="O81"/>
  <c r="P10"/>
  <c r="N81"/>
  <c r="T119"/>
  <c r="Q96"/>
  <c r="U125"/>
  <c r="T129"/>
  <c r="W140"/>
  <c r="S36"/>
  <c r="P73"/>
  <c r="P41"/>
  <c r="R41"/>
  <c r="N38"/>
  <c r="S10"/>
  <c r="P46"/>
  <c r="S115"/>
  <c r="T139"/>
  <c r="Q20"/>
  <c r="T25"/>
  <c r="S34"/>
  <c r="V147"/>
  <c r="Q69"/>
  <c r="N92"/>
  <c r="W114"/>
  <c r="V138"/>
  <c r="R45"/>
  <c r="S102"/>
  <c r="P116"/>
  <c r="T7"/>
  <c r="R139"/>
  <c r="P53"/>
  <c r="R31"/>
  <c r="N138"/>
  <c r="N5"/>
  <c r="W125"/>
  <c r="T17"/>
  <c r="R21"/>
  <c r="T131"/>
  <c r="S45"/>
  <c r="P68"/>
  <c r="P81"/>
  <c r="Q131"/>
  <c r="N79"/>
  <c r="P140"/>
  <c r="O88"/>
  <c r="N85"/>
  <c r="R64"/>
  <c r="O140"/>
  <c r="R23"/>
  <c r="O100"/>
  <c r="N73"/>
  <c r="O145"/>
  <c r="S7"/>
  <c r="Q49"/>
  <c r="N83"/>
  <c r="Q6"/>
  <c r="U117"/>
  <c r="R20"/>
  <c r="S19"/>
  <c r="P130"/>
  <c r="V140"/>
  <c r="P51"/>
  <c r="R18"/>
  <c r="W132"/>
  <c r="R43"/>
  <c r="O36"/>
  <c r="T117"/>
  <c r="Q147"/>
  <c r="N33"/>
  <c r="U120"/>
  <c r="R140"/>
  <c r="N77"/>
  <c r="Q24"/>
  <c r="O9"/>
  <c r="T10"/>
  <c r="N7"/>
  <c r="R53"/>
  <c r="V112"/>
  <c r="O128"/>
  <c r="N45"/>
  <c r="N115"/>
  <c r="O40"/>
  <c r="R121"/>
  <c r="R73"/>
  <c r="N87"/>
  <c r="N141"/>
  <c r="Q67"/>
  <c r="O8"/>
  <c r="Q57"/>
  <c r="O12"/>
  <c r="T120"/>
  <c r="S93"/>
  <c r="N99"/>
  <c r="S101"/>
  <c r="Q87"/>
  <c r="S59"/>
  <c r="O83"/>
  <c r="R115"/>
  <c r="N94"/>
  <c r="T125"/>
  <c r="W135"/>
  <c r="R102"/>
  <c r="P42"/>
  <c r="W130"/>
  <c r="T138"/>
  <c r="R56"/>
  <c r="Q44"/>
  <c r="O68"/>
  <c r="Q31"/>
  <c r="R128"/>
  <c r="P38"/>
  <c r="N61"/>
  <c r="V118"/>
  <c r="N89"/>
  <c r="N137"/>
  <c r="N40"/>
  <c r="O6"/>
  <c r="N96"/>
  <c r="P115"/>
  <c r="S106"/>
  <c r="P69"/>
  <c r="S125"/>
  <c r="O65"/>
  <c r="S98"/>
  <c r="Q118"/>
  <c r="O97"/>
  <c r="Q86"/>
  <c r="N100"/>
  <c r="T16"/>
  <c r="T19"/>
  <c r="S6"/>
  <c r="R116"/>
  <c r="P147"/>
  <c r="R138"/>
  <c r="Q102"/>
  <c r="Q54"/>
  <c r="R147"/>
  <c r="N66"/>
  <c r="Q56"/>
  <c r="R141"/>
  <c r="R84"/>
  <c r="P47"/>
  <c r="S147"/>
  <c r="R113"/>
  <c r="S25"/>
  <c r="P126"/>
  <c r="Q64"/>
  <c r="Q140"/>
  <c r="R65"/>
  <c r="U127"/>
  <c r="T124"/>
  <c r="S24"/>
  <c r="Q33"/>
  <c r="U121"/>
  <c r="Q84"/>
  <c r="O147"/>
  <c r="Q10"/>
  <c r="N90"/>
  <c r="S22"/>
  <c r="T14"/>
  <c r="O118"/>
  <c r="O131"/>
  <c r="T133"/>
  <c r="P101"/>
  <c r="S62"/>
  <c r="O10"/>
  <c r="N13"/>
  <c r="P149"/>
  <c r="Q50"/>
  <c r="Q43"/>
  <c r="R16"/>
  <c r="T136"/>
  <c r="P129"/>
  <c r="R106"/>
  <c r="P11"/>
  <c r="N41"/>
  <c r="S73"/>
  <c r="O149"/>
  <c r="S121"/>
  <c r="P127"/>
  <c r="Q5"/>
  <c r="N74"/>
  <c r="V149"/>
  <c r="N25"/>
  <c r="R101"/>
  <c r="U111"/>
  <c r="O72"/>
  <c r="O50"/>
  <c r="S63"/>
  <c r="Q134"/>
  <c r="W145"/>
  <c r="N42"/>
  <c r="N39"/>
  <c r="Q132"/>
  <c r="N84"/>
  <c r="P117"/>
  <c r="O113"/>
  <c r="R35"/>
  <c r="O96"/>
  <c r="T130"/>
  <c r="R36"/>
  <c r="Q47"/>
  <c r="Q63"/>
  <c r="T13"/>
  <c r="O69"/>
  <c r="Q13"/>
  <c r="N136"/>
  <c r="O135"/>
  <c r="W119"/>
  <c r="N46"/>
  <c r="R125"/>
  <c r="O132"/>
  <c r="R83"/>
  <c r="U136"/>
  <c r="T12"/>
  <c r="P13"/>
  <c r="R96"/>
  <c r="O136"/>
  <c r="P100"/>
  <c r="V124"/>
  <c r="O61"/>
  <c r="S129"/>
  <c r="P123"/>
  <c r="R91"/>
  <c r="R87"/>
  <c r="Q120"/>
  <c r="R75"/>
  <c r="Q90"/>
  <c r="N58"/>
  <c r="Q115"/>
  <c r="W129"/>
  <c r="T121"/>
  <c r="W122"/>
  <c r="N24"/>
  <c r="O87"/>
  <c r="N16"/>
  <c r="O120"/>
  <c r="Q53"/>
  <c r="N53"/>
  <c r="P37"/>
  <c r="N149"/>
  <c r="Q72"/>
  <c r="P60"/>
  <c r="Q100"/>
  <c r="S47"/>
  <c r="R131"/>
  <c r="S33"/>
  <c r="S9"/>
  <c r="N142"/>
  <c r="O19"/>
  <c r="O144"/>
  <c r="V132"/>
  <c r="R17"/>
  <c r="R122"/>
  <c r="O121"/>
  <c r="P133"/>
  <c r="S90"/>
  <c r="N50"/>
  <c r="P7"/>
  <c r="U138"/>
  <c r="Q22"/>
  <c r="O25"/>
  <c r="R136"/>
  <c r="S100"/>
  <c r="N145"/>
  <c r="O122"/>
  <c r="N35"/>
  <c r="S52"/>
  <c r="O67"/>
  <c r="N23"/>
  <c r="O116"/>
  <c r="Q45"/>
  <c r="T111"/>
  <c r="P61"/>
  <c r="R61"/>
  <c r="N114"/>
  <c r="S72"/>
  <c r="O62"/>
  <c r="S123"/>
  <c r="O91"/>
  <c r="U116"/>
  <c r="R52"/>
  <c r="V142"/>
  <c r="S15"/>
  <c r="R14"/>
  <c r="N111"/>
  <c r="Q12"/>
  <c r="Q74"/>
  <c r="N8"/>
  <c r="S40"/>
  <c r="S89"/>
  <c r="O112"/>
  <c r="S96"/>
  <c r="P63"/>
  <c r="P138"/>
  <c r="O37"/>
  <c r="R126"/>
  <c r="O126"/>
  <c r="N132"/>
  <c r="P142"/>
  <c r="O99"/>
  <c r="P88"/>
  <c r="Q82"/>
  <c r="P144"/>
  <c r="U118"/>
  <c r="O34"/>
  <c r="T122"/>
  <c r="P131"/>
  <c r="R72"/>
  <c r="P91"/>
  <c r="R81"/>
  <c r="O44"/>
  <c r="Q80"/>
  <c r="S84"/>
  <c r="R129"/>
  <c r="P132"/>
  <c r="R63"/>
  <c r="Q18"/>
  <c r="Q137"/>
  <c r="O14"/>
  <c r="S42"/>
  <c r="P15"/>
  <c r="S128"/>
  <c r="R127"/>
  <c r="Q32"/>
  <c r="W124"/>
  <c r="T9"/>
  <c r="O133"/>
  <c r="U112"/>
  <c r="Q93"/>
  <c r="N14"/>
  <c r="O5"/>
  <c r="P145"/>
  <c r="W142"/>
  <c r="R100"/>
  <c r="Q11"/>
  <c r="V131"/>
  <c r="N11"/>
  <c r="O18"/>
  <c r="Q78"/>
  <c r="W126"/>
  <c r="V128"/>
  <c r="S149"/>
  <c r="V136"/>
  <c r="O32"/>
  <c r="Q114"/>
  <c r="N65"/>
  <c r="V119"/>
  <c r="N6"/>
  <c r="S53"/>
  <c r="R12"/>
  <c r="N44"/>
  <c r="P71"/>
  <c r="S39"/>
  <c r="O94"/>
  <c r="S145"/>
  <c r="T135"/>
  <c r="O104"/>
  <c r="W128"/>
  <c r="N37"/>
  <c r="N144"/>
  <c r="P70"/>
  <c r="O77"/>
  <c r="P114"/>
  <c r="V135"/>
  <c r="V111"/>
  <c r="O23"/>
  <c r="P112"/>
  <c r="R117"/>
  <c r="N49"/>
  <c r="P58"/>
  <c r="Q7"/>
  <c r="S87"/>
  <c r="P12"/>
  <c r="V134"/>
  <c r="W113"/>
  <c r="P23"/>
  <c r="S140"/>
  <c r="Q104"/>
  <c r="R60"/>
  <c r="W112"/>
  <c r="U142"/>
  <c r="S75"/>
  <c r="N22"/>
  <c r="O125"/>
  <c r="P121"/>
  <c r="R42"/>
  <c r="Q121"/>
  <c r="W116"/>
  <c r="R78"/>
  <c r="O143"/>
  <c r="S99"/>
  <c r="N60"/>
  <c r="R44"/>
  <c r="R9"/>
  <c r="S5"/>
  <c r="N48"/>
  <c r="N106"/>
  <c r="Q98"/>
  <c r="R13"/>
  <c r="Q106"/>
  <c r="P86"/>
  <c r="Q142"/>
  <c r="O54"/>
  <c r="N64"/>
  <c r="S14"/>
  <c r="Q21"/>
  <c r="U141"/>
  <c r="R50"/>
  <c r="R124"/>
  <c r="P65"/>
  <c r="R33"/>
  <c r="N18"/>
  <c r="S78"/>
  <c r="T24"/>
  <c r="P82"/>
  <c r="S105"/>
  <c r="T141"/>
  <c r="S18"/>
  <c r="P48"/>
  <c r="U133"/>
  <c r="S120"/>
  <c r="Q19"/>
  <c r="T132"/>
  <c r="N116"/>
  <c r="O130"/>
  <c r="T128"/>
  <c r="S21"/>
  <c r="O134"/>
  <c r="T126"/>
  <c r="O76"/>
  <c r="Q89"/>
  <c r="S116"/>
  <c r="V145"/>
  <c r="Q91"/>
  <c r="W111"/>
  <c r="R58"/>
  <c r="P57"/>
  <c r="N117"/>
  <c r="V125"/>
  <c r="N67"/>
  <c r="O123"/>
  <c r="V133"/>
  <c r="R104"/>
  <c r="R142"/>
  <c r="S64"/>
  <c r="P36"/>
  <c r="P90"/>
  <c r="N19"/>
  <c r="O137"/>
  <c r="P105"/>
  <c r="U129"/>
  <c r="S85"/>
  <c r="O60"/>
  <c r="R49"/>
  <c r="O114"/>
  <c r="U113"/>
  <c r="N55"/>
  <c r="V144"/>
  <c r="S66"/>
  <c r="N103"/>
  <c r="O129"/>
  <c r="R55"/>
  <c r="N102"/>
  <c r="T116"/>
  <c r="Q17"/>
  <c r="S68"/>
  <c r="O58"/>
  <c r="N21"/>
  <c r="Q141"/>
  <c r="V129"/>
  <c r="N101"/>
  <c r="S74"/>
  <c r="R137"/>
  <c r="N82"/>
  <c r="N91"/>
  <c r="Q35"/>
  <c r="W143"/>
  <c r="S117"/>
  <c r="P34"/>
  <c r="P141"/>
  <c r="S54"/>
  <c r="P19"/>
  <c r="R66"/>
  <c r="R67"/>
  <c r="S44"/>
  <c r="Q60"/>
  <c r="S55"/>
  <c r="S79"/>
  <c r="N104"/>
  <c r="Q126"/>
  <c r="R82"/>
  <c r="P125"/>
  <c r="O142"/>
  <c r="N57"/>
  <c r="T115"/>
  <c r="N134"/>
  <c r="N56"/>
  <c r="Q37"/>
  <c r="S69"/>
  <c r="R111"/>
  <c r="P64"/>
  <c r="R25"/>
  <c r="R144"/>
  <c r="N70"/>
  <c r="Q76"/>
  <c r="P32"/>
  <c r="S8"/>
  <c r="O80"/>
  <c r="P111"/>
  <c r="V130"/>
  <c r="S41"/>
  <c r="Q92"/>
  <c r="O51"/>
  <c r="N113"/>
  <c r="N140"/>
  <c r="N105"/>
  <c r="Q113"/>
  <c r="R6"/>
  <c r="V120"/>
  <c r="S61"/>
  <c r="S112"/>
  <c r="O117"/>
  <c r="P113"/>
  <c r="U145"/>
  <c r="O92"/>
  <c r="S127"/>
  <c r="T21"/>
  <c r="Q25"/>
  <c r="O115"/>
  <c r="N54"/>
  <c r="N143"/>
  <c r="T23"/>
  <c r="N69"/>
  <c r="V113"/>
  <c r="T118"/>
  <c r="R135"/>
  <c r="P24"/>
  <c r="R7"/>
  <c r="R22"/>
  <c r="S51"/>
  <c r="R51"/>
  <c r="R99"/>
  <c r="Q99"/>
  <c r="P139"/>
  <c r="R68"/>
  <c r="R24"/>
  <c r="U114"/>
  <c r="W137"/>
  <c r="W138"/>
  <c r="N34"/>
  <c r="R85"/>
  <c r="S133"/>
  <c r="U128"/>
  <c r="Q139"/>
  <c r="S38"/>
  <c r="O101"/>
  <c r="N128"/>
  <c r="S118"/>
  <c r="N75"/>
  <c r="S35"/>
  <c r="Q14"/>
  <c r="Q101"/>
  <c r="S67"/>
  <c r="O66"/>
  <c r="R123"/>
  <c r="Q135"/>
  <c r="U119"/>
  <c r="V143"/>
  <c r="O82"/>
  <c r="N20"/>
  <c r="O84"/>
  <c r="V141"/>
  <c r="Q41"/>
  <c r="Q48"/>
  <c r="T8"/>
  <c r="N120"/>
  <c r="T149"/>
  <c r="Q55"/>
  <c r="O111"/>
  <c r="Q111"/>
  <c r="N135"/>
  <c r="R74"/>
  <c r="R62"/>
  <c r="R37"/>
  <c r="P102"/>
  <c r="S130"/>
  <c r="O22"/>
  <c r="Q16"/>
  <c r="O35"/>
  <c r="P16"/>
  <c r="S17"/>
  <c r="S119"/>
  <c r="N139"/>
  <c r="W115"/>
  <c r="R103"/>
  <c r="S103"/>
  <c r="N86"/>
  <c r="Q130"/>
  <c r="T145"/>
  <c r="P74"/>
  <c r="P94"/>
  <c r="P25"/>
  <c r="U124"/>
  <c r="P50"/>
  <c r="W133"/>
  <c r="O64"/>
  <c r="O138"/>
  <c r="S13"/>
  <c r="Q136"/>
  <c r="R143"/>
  <c r="P134"/>
  <c r="S48"/>
  <c r="U147"/>
  <c r="P54"/>
  <c r="S142"/>
  <c r="P118"/>
  <c r="N147"/>
  <c r="W134"/>
  <c r="P22"/>
  <c r="R98"/>
  <c r="N93"/>
  <c r="R95"/>
  <c r="N126"/>
  <c r="O33"/>
  <c r="T123"/>
  <c r="R149"/>
  <c r="Q68"/>
  <c r="P135"/>
  <c r="W123"/>
  <c r="S135"/>
  <c r="S111"/>
  <c r="P104"/>
  <c r="O53"/>
  <c r="P95"/>
  <c r="N32"/>
  <c r="N127"/>
  <c r="O75"/>
  <c r="P122"/>
  <c r="N68"/>
  <c r="N80"/>
  <c r="S122"/>
  <c r="P136"/>
  <c r="P55"/>
  <c r="S16"/>
  <c r="S56"/>
  <c r="N17"/>
  <c r="R54"/>
  <c r="P96"/>
  <c r="V117"/>
  <c r="O124"/>
  <c r="S82"/>
  <c r="Q138"/>
  <c r="T142"/>
  <c r="O20"/>
  <c r="R132"/>
  <c r="P143"/>
  <c r="R112"/>
  <c r="W127"/>
  <c r="P8"/>
  <c r="T147"/>
  <c r="S132"/>
  <c r="S88"/>
  <c r="S86"/>
  <c r="N10"/>
  <c r="T113"/>
  <c r="Q36"/>
  <c r="U131"/>
  <c r="Q88"/>
  <c r="N43"/>
  <c r="P67"/>
  <c r="T144"/>
  <c r="S20"/>
  <c r="N122"/>
  <c r="R97"/>
  <c r="O11"/>
  <c r="U115"/>
  <c r="O41"/>
  <c r="T6"/>
  <c r="R93"/>
  <c r="P59"/>
  <c r="O52"/>
  <c r="R105"/>
  <c r="P66"/>
  <c r="N71"/>
  <c r="V123"/>
  <c r="U134"/>
  <c r="U123"/>
  <c r="R90"/>
  <c r="P77"/>
  <c r="S113"/>
  <c r="T140"/>
  <c r="U149"/>
  <c r="S104"/>
  <c r="R32"/>
  <c r="R34"/>
  <c r="S95"/>
  <c r="S137"/>
  <c r="P106"/>
  <c r="R114"/>
  <c r="T5"/>
  <c r="Q66"/>
  <c r="O106"/>
  <c r="Q145"/>
  <c r="Q129"/>
  <c r="Q133"/>
  <c r="R70"/>
  <c r="N119"/>
  <c r="R80"/>
  <c r="S50"/>
  <c r="Q95"/>
  <c r="O119"/>
  <c r="N78"/>
  <c r="O86"/>
  <c r="N133"/>
  <c r="R119"/>
  <c r="Q15"/>
  <c r="O24"/>
  <c r="N76"/>
  <c r="Q70"/>
  <c r="P124"/>
  <c r="V139"/>
  <c r="S83"/>
  <c r="O127"/>
  <c r="N72"/>
  <c r="N97"/>
  <c r="O38"/>
  <c r="P83"/>
  <c r="S144"/>
  <c r="S139"/>
  <c r="O73"/>
  <c r="O70"/>
  <c r="S32"/>
  <c r="N12"/>
  <c r="N62"/>
  <c r="Q97"/>
  <c r="O103"/>
  <c r="R92"/>
  <c r="O39"/>
  <c r="O95"/>
  <c r="Q23"/>
  <c r="P56"/>
  <c r="P9"/>
  <c r="N124"/>
  <c r="S31"/>
  <c r="N123"/>
  <c r="S46"/>
  <c r="Q42"/>
  <c r="R5"/>
  <c r="S97"/>
  <c r="R134"/>
  <c r="R40"/>
  <c r="R38"/>
  <c r="R118"/>
  <c r="T20"/>
  <c r="Q94"/>
  <c r="U132"/>
  <c r="S143"/>
  <c r="T143"/>
  <c r="R71"/>
  <c r="P75"/>
  <c r="Q52"/>
  <c r="Q9"/>
  <c r="O78"/>
  <c r="O79"/>
  <c r="Q105"/>
  <c r="O47"/>
  <c r="O21"/>
  <c r="R86"/>
  <c r="Q117"/>
  <c r="R59"/>
  <c r="P103"/>
  <c r="T137"/>
  <c r="P93"/>
  <c r="Q149"/>
  <c r="S141"/>
  <c r="S23"/>
  <c r="O56"/>
  <c r="W139"/>
  <c r="R76"/>
  <c r="R19"/>
  <c r="R10"/>
  <c r="R69"/>
  <c r="N112"/>
  <c r="Q128"/>
  <c r="Q65"/>
  <c r="O90"/>
  <c r="Q143"/>
  <c r="S138"/>
  <c r="S134"/>
  <c r="N88"/>
  <c r="W121"/>
  <c r="S43"/>
  <c r="S49"/>
  <c r="R8"/>
  <c r="T18"/>
  <c r="O63"/>
  <c r="S114"/>
  <c r="T11"/>
  <c r="P39"/>
  <c r="P20"/>
  <c r="P49"/>
  <c r="Q46"/>
  <c r="P18"/>
  <c r="S126"/>
  <c r="S80"/>
  <c r="O139"/>
  <c r="U130"/>
  <c r="O59"/>
  <c r="R11"/>
  <c r="Q119"/>
  <c r="N121"/>
  <c r="P85"/>
  <c r="P99"/>
  <c r="O85"/>
  <c r="Q59"/>
  <c r="N15"/>
  <c r="P137"/>
  <c r="S65"/>
  <c r="Q38"/>
  <c r="P89"/>
  <c r="T114"/>
  <c r="W144"/>
  <c r="P33"/>
  <c r="S12"/>
  <c r="R57"/>
  <c r="W141"/>
  <c r="N9"/>
  <c r="T112"/>
  <c r="O105"/>
  <c r="R15"/>
  <c r="Q122"/>
  <c r="P14"/>
  <c r="P87"/>
  <c r="P5"/>
  <c r="R120"/>
  <c r="Q127"/>
  <c r="O17"/>
  <c r="N63"/>
  <c r="Q83"/>
  <c r="V121"/>
  <c r="P35"/>
  <c r="P52"/>
  <c r="P17"/>
  <c r="Q77"/>
  <c r="O45"/>
  <c r="Q123"/>
  <c r="P78"/>
  <c r="S92"/>
  <c r="N47"/>
  <c r="Q71"/>
  <c r="P43"/>
  <c r="U144"/>
  <c r="O31"/>
  <c r="O71"/>
  <c r="U140"/>
  <c r="P62"/>
  <c r="O74"/>
  <c r="V115"/>
  <c r="P45"/>
  <c r="P76"/>
  <c r="Q39"/>
  <c r="S124"/>
  <c r="O49"/>
  <c r="P21"/>
  <c r="S57"/>
  <c r="Q58"/>
  <c r="O98"/>
  <c r="S94"/>
  <c r="P84"/>
  <c r="P119"/>
  <c r="R89"/>
  <c r="O57"/>
  <c r="W131"/>
  <c r="N51"/>
  <c r="N130"/>
  <c r="T15"/>
  <c r="R145"/>
  <c r="S11"/>
  <c r="Q34"/>
  <c r="V137"/>
  <c r="Q73"/>
  <c r="P80"/>
  <c r="U135"/>
  <c r="S71"/>
  <c r="N118"/>
  <c r="Q62"/>
  <c r="O48"/>
  <c r="V122"/>
  <c r="S81"/>
  <c r="O102"/>
  <c r="N52"/>
  <c r="P92"/>
  <c r="S136"/>
  <c r="O89"/>
  <c r="O46"/>
  <c r="R88"/>
  <c r="W118"/>
  <c r="U122"/>
  <c r="V127"/>
  <c r="V116"/>
  <c r="V126"/>
  <c r="N31"/>
  <c r="O42"/>
  <c r="R39"/>
  <c r="Q112"/>
  <c r="T127"/>
  <c r="Q75"/>
  <c r="S60"/>
  <c r="N59"/>
  <c r="P72"/>
  <c r="U139"/>
  <c r="Q124"/>
  <c r="T22"/>
  <c r="S76"/>
  <c r="R48"/>
  <c r="P120"/>
  <c r="U143"/>
  <c r="P40"/>
  <c r="Q79"/>
  <c r="R133"/>
  <c r="W120"/>
  <c r="O13"/>
  <c r="N131"/>
  <c r="W149"/>
  <c r="P98"/>
  <c r="R130"/>
  <c r="Q61"/>
  <c r="P6"/>
  <c r="N98"/>
  <c r="N36"/>
  <c r="S37"/>
  <c r="P31"/>
  <c r="N125"/>
  <c r="Q144"/>
  <c r="Q125"/>
  <c r="S77"/>
  <c r="O15"/>
  <c r="O7"/>
  <c r="Q51"/>
  <c r="N95"/>
  <c r="S131"/>
  <c r="Q85"/>
  <c r="S70"/>
  <c r="O55"/>
  <c r="R46"/>
  <c r="W147"/>
  <c r="Q103"/>
  <c r="W117"/>
  <c r="AL105" l="1"/>
  <c r="AM73"/>
  <c r="AL97"/>
  <c r="AJ105"/>
  <c r="AK100"/>
  <c r="P26"/>
  <c r="P27" s="1"/>
  <c r="AK85"/>
  <c r="U150"/>
  <c r="AN83"/>
  <c r="N107"/>
  <c r="AN105"/>
  <c r="AM98"/>
  <c r="AK104"/>
  <c r="AM88"/>
  <c r="AM77"/>
  <c r="AO24"/>
  <c r="AO25"/>
  <c r="AO9"/>
  <c r="AO23"/>
  <c r="AO16"/>
  <c r="AO6"/>
  <c r="AO22"/>
  <c r="AO5"/>
  <c r="AO14"/>
  <c r="AO10"/>
  <c r="AO18"/>
  <c r="AO15"/>
  <c r="AO13"/>
  <c r="AO17"/>
  <c r="AO8"/>
  <c r="AO19"/>
  <c r="AO11"/>
  <c r="AO7"/>
  <c r="AO20"/>
  <c r="AO12"/>
  <c r="AO21"/>
  <c r="AJ83"/>
  <c r="AJ74"/>
  <c r="AK5"/>
  <c r="AK17"/>
  <c r="AK20"/>
  <c r="AK12"/>
  <c r="AK25"/>
  <c r="AK6"/>
  <c r="AK9"/>
  <c r="AK16"/>
  <c r="AK8"/>
  <c r="AK13"/>
  <c r="AK24"/>
  <c r="AK22"/>
  <c r="AK11"/>
  <c r="AK21"/>
  <c r="AK14"/>
  <c r="AK18"/>
  <c r="AK15"/>
  <c r="AK23"/>
  <c r="AK10"/>
  <c r="AK7"/>
  <c r="AK19"/>
  <c r="AJ78"/>
  <c r="AL86"/>
  <c r="AM76"/>
  <c r="AK93"/>
  <c r="AJ100"/>
  <c r="AL98"/>
  <c r="AL96"/>
  <c r="O26"/>
  <c r="O27" s="1"/>
  <c r="AK71"/>
  <c r="P107"/>
  <c r="AL77"/>
  <c r="AJ72"/>
  <c r="AK84"/>
  <c r="AK102"/>
  <c r="AK105"/>
  <c r="AJ97"/>
  <c r="AL89"/>
  <c r="AM104"/>
  <c r="AM75"/>
  <c r="AM82"/>
  <c r="AJ95"/>
  <c r="AJ86"/>
  <c r="AN95"/>
  <c r="AL100"/>
  <c r="AK82"/>
  <c r="AL102"/>
  <c r="AL78"/>
  <c r="AK77"/>
  <c r="AL35"/>
  <c r="AL56"/>
  <c r="AL64"/>
  <c r="AL47"/>
  <c r="AL62"/>
  <c r="AL66"/>
  <c r="AL34"/>
  <c r="AL70"/>
  <c r="AL67"/>
  <c r="AL37"/>
  <c r="AL57"/>
  <c r="AL61"/>
  <c r="AL68"/>
  <c r="AL50"/>
  <c r="AL63"/>
  <c r="AL39"/>
  <c r="AL31"/>
  <c r="AL52"/>
  <c r="AL40"/>
  <c r="AL60"/>
  <c r="AL32"/>
  <c r="AL33"/>
  <c r="AL45"/>
  <c r="AL59"/>
  <c r="AL65"/>
  <c r="AL46"/>
  <c r="AL58"/>
  <c r="AL51"/>
  <c r="AL54"/>
  <c r="AL36"/>
  <c r="AL42"/>
  <c r="AL43"/>
  <c r="AL44"/>
  <c r="AL69"/>
  <c r="AL41"/>
  <c r="AL55"/>
  <c r="AL49"/>
  <c r="AL48"/>
  <c r="AL53"/>
  <c r="AL38"/>
  <c r="AM81"/>
  <c r="AK96"/>
  <c r="AL93"/>
  <c r="AJ76"/>
  <c r="AM79"/>
  <c r="AK87"/>
  <c r="AN86"/>
  <c r="AM96"/>
  <c r="AM10"/>
  <c r="AM12"/>
  <c r="AM18"/>
  <c r="AM13"/>
  <c r="AM20"/>
  <c r="AM24"/>
  <c r="AM8"/>
  <c r="AM9"/>
  <c r="AM22"/>
  <c r="AM14"/>
  <c r="AM25"/>
  <c r="AM21"/>
  <c r="AM6"/>
  <c r="AM19"/>
  <c r="AM23"/>
  <c r="AM11"/>
  <c r="AM7"/>
  <c r="AM16"/>
  <c r="AM17"/>
  <c r="AM5"/>
  <c r="AM15"/>
  <c r="AL101"/>
  <c r="AM101"/>
  <c r="AJ75"/>
  <c r="AJ91"/>
  <c r="AJ73"/>
  <c r="AN98"/>
  <c r="O28"/>
  <c r="AL99"/>
  <c r="U27"/>
  <c r="AL94"/>
  <c r="AN94"/>
  <c r="AN102"/>
  <c r="AL87"/>
  <c r="AJ71"/>
  <c r="O107"/>
  <c r="P28"/>
  <c r="AL72"/>
  <c r="AN90"/>
  <c r="AJ84"/>
  <c r="P150"/>
  <c r="N28"/>
  <c r="AN88"/>
  <c r="AM97"/>
  <c r="AM86"/>
  <c r="AJ102"/>
  <c r="AJ81"/>
  <c r="AJ101"/>
  <c r="AM105"/>
  <c r="AM90"/>
  <c r="N150"/>
  <c r="AJ64"/>
  <c r="AJ42"/>
  <c r="AJ32"/>
  <c r="AJ49"/>
  <c r="AJ50"/>
  <c r="AJ62"/>
  <c r="AJ58"/>
  <c r="AJ33"/>
  <c r="AJ51"/>
  <c r="AJ53"/>
  <c r="AJ66"/>
  <c r="AJ44"/>
  <c r="AJ60"/>
  <c r="AJ69"/>
  <c r="AJ37"/>
  <c r="AJ38"/>
  <c r="AJ56"/>
  <c r="AJ31"/>
  <c r="AJ35"/>
  <c r="AJ59"/>
  <c r="AJ45"/>
  <c r="AJ36"/>
  <c r="AJ68"/>
  <c r="AJ61"/>
  <c r="AJ70"/>
  <c r="AJ52"/>
  <c r="AJ57"/>
  <c r="AJ54"/>
  <c r="AJ47"/>
  <c r="AJ48"/>
  <c r="AJ41"/>
  <c r="AJ67"/>
  <c r="AJ55"/>
  <c r="AJ40"/>
  <c r="AJ63"/>
  <c r="AJ43"/>
  <c r="AJ65"/>
  <c r="AJ46"/>
  <c r="AJ39"/>
  <c r="AJ34"/>
  <c r="V150"/>
  <c r="N26"/>
  <c r="N27" s="1"/>
  <c r="AM74"/>
  <c r="AJ89"/>
  <c r="AL84"/>
  <c r="AN79"/>
  <c r="AN104"/>
  <c r="AJ88"/>
  <c r="AJ80"/>
  <c r="AK97"/>
  <c r="AN101"/>
  <c r="AN75"/>
  <c r="AJ104"/>
  <c r="AM84"/>
  <c r="AN72"/>
  <c r="AN96"/>
  <c r="AK75"/>
  <c r="AK94"/>
  <c r="Q28"/>
  <c r="AK91"/>
  <c r="AN84"/>
  <c r="AK57"/>
  <c r="AK31"/>
  <c r="AK61"/>
  <c r="AK46"/>
  <c r="AK62"/>
  <c r="AK66"/>
  <c r="AK38"/>
  <c r="AK68"/>
  <c r="AK39"/>
  <c r="AK69"/>
  <c r="AK44"/>
  <c r="AK67"/>
  <c r="AK55"/>
  <c r="AK52"/>
  <c r="AK64"/>
  <c r="AK47"/>
  <c r="AK33"/>
  <c r="AK45"/>
  <c r="AK51"/>
  <c r="AK54"/>
  <c r="AK32"/>
  <c r="AK58"/>
  <c r="AK50"/>
  <c r="AK41"/>
  <c r="AK65"/>
  <c r="AK36"/>
  <c r="AK59"/>
  <c r="AK43"/>
  <c r="AK63"/>
  <c r="AK53"/>
  <c r="AK35"/>
  <c r="AK49"/>
  <c r="AK70"/>
  <c r="AK40"/>
  <c r="AK48"/>
  <c r="AK34"/>
  <c r="AK56"/>
  <c r="AK37"/>
  <c r="AK42"/>
  <c r="AK60"/>
  <c r="AJ79"/>
  <c r="AJ90"/>
  <c r="AJ98"/>
  <c r="AJ82"/>
  <c r="S26"/>
  <c r="S27" s="1"/>
  <c r="T28"/>
  <c r="AN103"/>
  <c r="AN106"/>
  <c r="AM87"/>
  <c r="AM99"/>
  <c r="AN78"/>
  <c r="R150"/>
  <c r="AN77"/>
  <c r="T26"/>
  <c r="T27" s="1"/>
  <c r="V27"/>
  <c r="AL83"/>
  <c r="AK83"/>
  <c r="AJ92"/>
  <c r="AN74"/>
  <c r="AN76"/>
  <c r="AM92"/>
  <c r="AM68"/>
  <c r="AM32"/>
  <c r="AM59"/>
  <c r="AM38"/>
  <c r="AM45"/>
  <c r="AM31"/>
  <c r="AM53"/>
  <c r="AM55"/>
  <c r="AM42"/>
  <c r="AM48"/>
  <c r="AM60"/>
  <c r="AM35"/>
  <c r="AM70"/>
  <c r="AM44"/>
  <c r="AM50"/>
  <c r="AM58"/>
  <c r="AM66"/>
  <c r="AM46"/>
  <c r="AM36"/>
  <c r="AM39"/>
  <c r="AM49"/>
  <c r="AM63"/>
  <c r="AM61"/>
  <c r="AM51"/>
  <c r="AM62"/>
  <c r="AM40"/>
  <c r="AM52"/>
  <c r="AM67"/>
  <c r="AM65"/>
  <c r="AM64"/>
  <c r="AM54"/>
  <c r="AM43"/>
  <c r="AM69"/>
  <c r="AM47"/>
  <c r="AM41"/>
  <c r="AM56"/>
  <c r="AM37"/>
  <c r="AM57"/>
  <c r="AM34"/>
  <c r="AM33"/>
  <c r="AK101"/>
  <c r="AN89"/>
  <c r="AN80"/>
  <c r="AK92"/>
  <c r="AK103"/>
  <c r="R26"/>
  <c r="R27" s="1"/>
  <c r="AM89"/>
  <c r="S107"/>
  <c r="AN71"/>
  <c r="AN81"/>
  <c r="AM94"/>
  <c r="AK79"/>
  <c r="AL79"/>
  <c r="AN82"/>
  <c r="AN97"/>
  <c r="AK73"/>
  <c r="Q26"/>
  <c r="Q27" s="1"/>
  <c r="AM100"/>
  <c r="AJ77"/>
  <c r="Q107"/>
  <c r="AL71"/>
  <c r="AK76"/>
  <c r="AN87"/>
  <c r="AK90"/>
  <c r="AM102"/>
  <c r="AL90"/>
  <c r="AK74"/>
  <c r="AK81"/>
  <c r="AM103"/>
  <c r="AK98"/>
  <c r="AJ93"/>
  <c r="AN93"/>
  <c r="AN99"/>
  <c r="AK106"/>
  <c r="AL82"/>
  <c r="AL75"/>
  <c r="AJ85"/>
  <c r="AK89"/>
  <c r="O150"/>
  <c r="Q150"/>
  <c r="AM72"/>
  <c r="AL80"/>
  <c r="AN52"/>
  <c r="AN60"/>
  <c r="AN56"/>
  <c r="AN67"/>
  <c r="AN66"/>
  <c r="AN46"/>
  <c r="AN50"/>
  <c r="AN33"/>
  <c r="AN35"/>
  <c r="AN53"/>
  <c r="AN49"/>
  <c r="AN32"/>
  <c r="AN37"/>
  <c r="AN43"/>
  <c r="AN57"/>
  <c r="AN31"/>
  <c r="AN59"/>
  <c r="AN44"/>
  <c r="AN69"/>
  <c r="AN42"/>
  <c r="AN61"/>
  <c r="AN55"/>
  <c r="AN36"/>
  <c r="AN39"/>
  <c r="AN41"/>
  <c r="AN38"/>
  <c r="AN54"/>
  <c r="AN62"/>
  <c r="AN64"/>
  <c r="AN65"/>
  <c r="AN48"/>
  <c r="AN58"/>
  <c r="AN68"/>
  <c r="AN63"/>
  <c r="AN40"/>
  <c r="AN34"/>
  <c r="AN70"/>
  <c r="AN51"/>
  <c r="AN45"/>
  <c r="AN47"/>
  <c r="AK86"/>
  <c r="AL81"/>
  <c r="AJ106"/>
  <c r="AJ103"/>
  <c r="AJ87"/>
  <c r="AM83"/>
  <c r="AL104"/>
  <c r="W27"/>
  <c r="AN73"/>
  <c r="AK95"/>
  <c r="AL74"/>
  <c r="R107"/>
  <c r="AM71"/>
  <c r="AK72"/>
  <c r="AL85"/>
  <c r="AK80"/>
  <c r="AM91"/>
  <c r="AN100"/>
  <c r="AM80"/>
  <c r="AJ96"/>
  <c r="AN92"/>
  <c r="AK88"/>
  <c r="AM85"/>
  <c r="AL103"/>
  <c r="T150"/>
  <c r="AL92"/>
  <c r="AN91"/>
  <c r="AK99"/>
  <c r="AL106"/>
  <c r="AL88"/>
  <c r="AL9"/>
  <c r="AL13"/>
  <c r="AL12"/>
  <c r="AL19"/>
  <c r="AL22"/>
  <c r="AL8"/>
  <c r="AL18"/>
  <c r="AL21"/>
  <c r="AL14"/>
  <c r="AL5"/>
  <c r="AL25"/>
  <c r="AL23"/>
  <c r="AL16"/>
  <c r="AL20"/>
  <c r="AL24"/>
  <c r="AL6"/>
  <c r="AL10"/>
  <c r="AL7"/>
  <c r="AL17"/>
  <c r="AL11"/>
  <c r="AL15"/>
  <c r="AN85"/>
  <c r="AM78"/>
  <c r="AL73"/>
  <c r="AL76"/>
  <c r="R28"/>
  <c r="AM95"/>
  <c r="AJ99"/>
  <c r="AK78"/>
  <c r="AM106"/>
  <c r="S28"/>
  <c r="AJ94"/>
  <c r="S150"/>
  <c r="AL91"/>
  <c r="AL95"/>
  <c r="AM93"/>
  <c r="AN10"/>
  <c r="AN17"/>
  <c r="AN9"/>
  <c r="AN20"/>
  <c r="AN8"/>
  <c r="AN5"/>
  <c r="AN23"/>
  <c r="AN19"/>
  <c r="AN25"/>
  <c r="AN15"/>
  <c r="AN18"/>
  <c r="AN22"/>
  <c r="AN24"/>
  <c r="AN21"/>
  <c r="AN7"/>
  <c r="AN6"/>
  <c r="AN12"/>
  <c r="AN11"/>
  <c r="AN13"/>
  <c r="AN14"/>
  <c r="AN16"/>
  <c r="W150"/>
  <c r="AJ19"/>
  <c r="AJ14"/>
  <c r="AJ21"/>
  <c r="AJ9"/>
  <c r="AJ13"/>
  <c r="AJ8"/>
  <c r="AJ23"/>
  <c r="AJ18"/>
  <c r="AJ22"/>
  <c r="AJ7"/>
  <c r="AJ17"/>
  <c r="AJ25"/>
  <c r="AJ6"/>
  <c r="AJ24"/>
  <c r="AJ5"/>
  <c r="AJ11"/>
  <c r="AJ16"/>
  <c r="AJ10"/>
  <c r="AJ12"/>
  <c r="AJ20"/>
  <c r="AJ15"/>
  <c r="T37" i="27"/>
  <c r="AA27" i="23" l="1"/>
  <c r="H14" i="7"/>
  <c r="H15" s="1"/>
  <c r="T55" i="27"/>
  <c r="U37"/>
  <c r="U55" l="1"/>
  <c r="H55" i="10"/>
  <c r="H56" s="1"/>
  <c r="H6" i="7"/>
  <c r="T58" i="27"/>
  <c r="H39" i="7" l="1"/>
  <c r="L5" i="11"/>
  <c r="H7" i="7"/>
  <c r="H50"/>
  <c r="H49"/>
  <c r="L15" i="11" l="1"/>
  <c r="L55"/>
  <c r="L60"/>
  <c r="L59"/>
  <c r="L58"/>
  <c r="L32"/>
  <c r="L57"/>
  <c r="L63"/>
  <c r="L9"/>
  <c r="L8"/>
  <c r="L30"/>
  <c r="K15" i="13" l="1"/>
  <c r="K12"/>
  <c r="C48" i="7" l="1"/>
  <c r="C51" s="1"/>
  <c r="C52" s="1"/>
  <c r="C53" s="1"/>
  <c r="C71" l="1"/>
  <c r="C73"/>
  <c r="G34" i="11"/>
  <c r="G71"/>
  <c r="F14" i="13" s="1"/>
  <c r="D48" i="7"/>
  <c r="G65" i="11" l="1"/>
  <c r="E48" i="7"/>
  <c r="D51"/>
  <c r="D52" s="1"/>
  <c r="D53" s="1"/>
  <c r="D73" s="1"/>
  <c r="C67"/>
  <c r="C72" s="1"/>
  <c r="G49" i="11" s="1"/>
  <c r="F25" i="13"/>
  <c r="H34" i="11" l="1"/>
  <c r="G25" i="13" s="1"/>
  <c r="D71" i="7"/>
  <c r="D67" s="1"/>
  <c r="D72" s="1"/>
  <c r="H49" i="11" s="1"/>
  <c r="G22" i="13" s="1"/>
  <c r="H71" i="11"/>
  <c r="H65" s="1"/>
  <c r="E51" i="7"/>
  <c r="E52" s="1"/>
  <c r="E53" s="1"/>
  <c r="F48"/>
  <c r="F22" i="13"/>
  <c r="F26" s="1"/>
  <c r="I34" i="11" l="1"/>
  <c r="H25" i="13" s="1"/>
  <c r="G26"/>
  <c r="E73" i="7"/>
  <c r="I71" i="11"/>
  <c r="I65" s="1"/>
  <c r="E71" i="7"/>
  <c r="F51"/>
  <c r="F52" s="1"/>
  <c r="F53" s="1"/>
  <c r="G48"/>
  <c r="J34" i="11" l="1"/>
  <c r="I25" i="13" s="1"/>
  <c r="J71" i="11"/>
  <c r="J65" s="1"/>
  <c r="F73" i="7"/>
  <c r="G51"/>
  <c r="G52" s="1"/>
  <c r="G53" s="1"/>
  <c r="H48"/>
  <c r="H51" s="1"/>
  <c r="E67"/>
  <c r="E72" s="1"/>
  <c r="I49" i="11" s="1"/>
  <c r="F71" i="7"/>
  <c r="K34" i="11" l="1"/>
  <c r="J25" i="13" s="1"/>
  <c r="G73" i="7"/>
  <c r="G71"/>
  <c r="F67"/>
  <c r="H52"/>
  <c r="H53" s="1"/>
  <c r="H22" i="13"/>
  <c r="H26" s="1"/>
  <c r="K71" i="11"/>
  <c r="F72" i="7" l="1"/>
  <c r="J49" i="11" s="1"/>
  <c r="I22" i="13" s="1"/>
  <c r="I26" s="1"/>
  <c r="L34" i="11"/>
  <c r="K25" i="13" s="1"/>
  <c r="H73" i="7"/>
  <c r="K65" i="11"/>
  <c r="L71"/>
  <c r="G67" i="7"/>
  <c r="G72" s="1"/>
  <c r="K49" i="11" s="1"/>
  <c r="H71" i="7"/>
  <c r="H67" s="1"/>
  <c r="H72" s="1"/>
  <c r="L49" i="11" s="1"/>
  <c r="K22" i="13" l="1"/>
  <c r="K26" s="1"/>
  <c r="J22"/>
  <c r="J26" s="1"/>
  <c r="L65" i="11"/>
  <c r="D11" i="29" l="1"/>
  <c r="K36" i="7" l="1"/>
  <c r="E4" i="29"/>
  <c r="M69" i="28" l="1"/>
  <c r="C14" i="14" l="1"/>
  <c r="G32" i="13"/>
  <c r="D14" i="14" s="1"/>
  <c r="H32" i="13"/>
  <c r="E14" i="14" s="1"/>
  <c r="I32" i="13"/>
  <c r="F14" i="14" s="1"/>
  <c r="J32" i="13"/>
  <c r="G14" i="14" s="1"/>
  <c r="K32" i="13"/>
  <c r="C33" i="14"/>
  <c r="I17" i="11"/>
  <c r="J17"/>
  <c r="K17"/>
  <c r="L17"/>
  <c r="L16" s="1"/>
  <c r="F9" i="14" l="1"/>
  <c r="F11" s="1"/>
  <c r="G9"/>
  <c r="G11" s="1"/>
  <c r="H16" i="11"/>
  <c r="D9" i="14"/>
  <c r="D11" s="1"/>
  <c r="E9"/>
  <c r="E11" s="1"/>
  <c r="B11"/>
  <c r="C9"/>
  <c r="C11" s="1"/>
  <c r="I16" i="11"/>
  <c r="J16"/>
  <c r="K16"/>
  <c r="G16"/>
  <c r="C22" i="7"/>
  <c r="C23" s="1"/>
  <c r="D22"/>
  <c r="D23" s="1"/>
  <c r="E22"/>
  <c r="E23" s="1"/>
  <c r="F22"/>
  <c r="F23" s="1"/>
  <c r="G22"/>
  <c r="G23" s="1"/>
  <c r="K37"/>
  <c r="K38"/>
  <c r="K39"/>
  <c r="M49" i="28"/>
  <c r="M55" s="1"/>
  <c r="M71" s="1"/>
  <c r="M60"/>
  <c r="M66" s="1"/>
  <c r="M72" s="1"/>
  <c r="G2" i="11"/>
  <c r="H6"/>
  <c r="H2" s="1"/>
  <c r="I6"/>
  <c r="I2" s="1"/>
  <c r="J6"/>
  <c r="J2" s="1"/>
  <c r="K6"/>
  <c r="K2" s="1"/>
  <c r="E3" i="29"/>
  <c r="E5"/>
  <c r="E6"/>
  <c r="D10"/>
  <c r="D13"/>
  <c r="N6" i="11" l="1"/>
  <c r="J56"/>
  <c r="J54" s="1"/>
  <c r="J53" s="1"/>
  <c r="J7"/>
  <c r="H56"/>
  <c r="H10" i="8" s="1"/>
  <c r="H11" s="1"/>
  <c r="H31" i="11"/>
  <c r="H6" i="8" s="1"/>
  <c r="H7" s="1"/>
  <c r="H12" s="1"/>
  <c r="H7" i="11"/>
  <c r="K56"/>
  <c r="K54" s="1"/>
  <c r="K53" s="1"/>
  <c r="G56"/>
  <c r="G53" s="1"/>
  <c r="I56"/>
  <c r="J31"/>
  <c r="J6" i="8" s="1"/>
  <c r="J7" s="1"/>
  <c r="J12" s="1"/>
  <c r="K10"/>
  <c r="K11" s="1"/>
  <c r="K31" i="11"/>
  <c r="K6" i="8" s="1"/>
  <c r="K7" s="1"/>
  <c r="K12" s="1"/>
  <c r="F13" i="13"/>
  <c r="K7" i="11"/>
  <c r="G85" i="29" s="1"/>
  <c r="G7" i="11"/>
  <c r="C85" i="29" s="1"/>
  <c r="I31" i="11"/>
  <c r="I7"/>
  <c r="M6"/>
  <c r="M15" i="28"/>
  <c r="M68"/>
  <c r="M44"/>
  <c r="M70" s="1"/>
  <c r="I74" l="1"/>
  <c r="D85" i="29"/>
  <c r="J62" i="8"/>
  <c r="E85" i="29"/>
  <c r="K74" i="28"/>
  <c r="F85" i="29"/>
  <c r="M21" i="28"/>
  <c r="L6" i="11" s="1"/>
  <c r="L7" s="1"/>
  <c r="M13" i="28"/>
  <c r="M12" s="1"/>
  <c r="G10" i="8"/>
  <c r="G11" s="1"/>
  <c r="H54" i="11"/>
  <c r="H53" s="1"/>
  <c r="F16" i="13"/>
  <c r="G6" i="8"/>
  <c r="G7" s="1"/>
  <c r="G12" s="1"/>
  <c r="J14" i="13"/>
  <c r="I13"/>
  <c r="J13"/>
  <c r="H14"/>
  <c r="H13" i="8"/>
  <c r="G14" i="13"/>
  <c r="G16" s="1"/>
  <c r="H10" i="11"/>
  <c r="E23" i="30" s="1"/>
  <c r="G13" i="13"/>
  <c r="J10" i="8"/>
  <c r="J11" s="1"/>
  <c r="J13" s="1"/>
  <c r="J34"/>
  <c r="J10" i="11"/>
  <c r="I54"/>
  <c r="I53" s="1"/>
  <c r="H62" i="8"/>
  <c r="I14" i="13"/>
  <c r="I16" s="1"/>
  <c r="F7" i="14" s="1"/>
  <c r="H34" i="8"/>
  <c r="K13"/>
  <c r="I10"/>
  <c r="I11" s="1"/>
  <c r="H13" i="13"/>
  <c r="J74" i="28"/>
  <c r="I10" i="11"/>
  <c r="I62" i="8"/>
  <c r="I34"/>
  <c r="L74" i="28"/>
  <c r="K34" i="8"/>
  <c r="K62"/>
  <c r="K10" i="11"/>
  <c r="I6" i="8"/>
  <c r="I7" s="1"/>
  <c r="I12" s="1"/>
  <c r="H74" i="28"/>
  <c r="G34" i="8"/>
  <c r="G10" i="11"/>
  <c r="G62" i="8"/>
  <c r="M73" i="28"/>
  <c r="C7" i="14" l="1"/>
  <c r="D23" i="30"/>
  <c r="J36" i="8"/>
  <c r="L31" i="11"/>
  <c r="K13" i="13" s="1"/>
  <c r="L56" i="11"/>
  <c r="K14" i="13" s="1"/>
  <c r="L2" i="11"/>
  <c r="H22" i="7"/>
  <c r="H23" s="1"/>
  <c r="H51" i="8"/>
  <c r="G13"/>
  <c r="J16" i="13"/>
  <c r="G7" i="14" s="1"/>
  <c r="H36" i="8"/>
  <c r="H27"/>
  <c r="H64"/>
  <c r="K64"/>
  <c r="J58"/>
  <c r="H16" i="13"/>
  <c r="E7" i="14" s="1"/>
  <c r="H58" i="8"/>
  <c r="D7" i="14"/>
  <c r="J64" i="8"/>
  <c r="J27"/>
  <c r="J51"/>
  <c r="I58"/>
  <c r="I27"/>
  <c r="I13"/>
  <c r="G64"/>
  <c r="G36"/>
  <c r="G58"/>
  <c r="G51"/>
  <c r="G27"/>
  <c r="K36"/>
  <c r="K27"/>
  <c r="K51"/>
  <c r="K58"/>
  <c r="I51"/>
  <c r="I36"/>
  <c r="I64"/>
  <c r="N69" i="28"/>
  <c r="N71"/>
  <c r="N72"/>
  <c r="N70"/>
  <c r="M74"/>
  <c r="L10" i="11"/>
  <c r="B8" i="14"/>
  <c r="L54" i="11" l="1"/>
  <c r="L53" s="1"/>
  <c r="K16" i="13"/>
  <c r="C77" i="7"/>
  <c r="D77"/>
  <c r="E77"/>
  <c r="F77"/>
  <c r="G77"/>
  <c r="H77"/>
  <c r="D79"/>
  <c r="E79"/>
  <c r="F79"/>
  <c r="G79"/>
  <c r="H79"/>
  <c r="C7" i="10"/>
  <c r="D7"/>
  <c r="E7"/>
  <c r="F7"/>
  <c r="G7"/>
  <c r="H7"/>
  <c r="C8"/>
  <c r="D8"/>
  <c r="E8"/>
  <c r="F8"/>
  <c r="G8"/>
  <c r="H8"/>
  <c r="C13"/>
  <c r="D13"/>
  <c r="E13"/>
  <c r="F13"/>
  <c r="G13"/>
  <c r="H13"/>
  <c r="C15"/>
  <c r="D15"/>
  <c r="E15"/>
  <c r="F15"/>
  <c r="G15"/>
  <c r="H15"/>
  <c r="C16"/>
  <c r="D16"/>
  <c r="E16"/>
  <c r="F16"/>
  <c r="G16"/>
  <c r="H16"/>
  <c r="C63"/>
  <c r="C64"/>
  <c r="E67"/>
  <c r="F67"/>
  <c r="G67"/>
  <c r="H67"/>
  <c r="I67"/>
  <c r="J67"/>
  <c r="K67"/>
  <c r="L67"/>
  <c r="E68"/>
  <c r="F68"/>
  <c r="G68"/>
  <c r="H68"/>
  <c r="I68"/>
  <c r="J68"/>
  <c r="K68"/>
  <c r="L68"/>
  <c r="F6" i="13"/>
  <c r="G6"/>
  <c r="H6"/>
  <c r="I6"/>
  <c r="J6"/>
  <c r="K6"/>
  <c r="F8"/>
  <c r="G8"/>
  <c r="H8"/>
  <c r="I8"/>
  <c r="J8"/>
  <c r="K8"/>
  <c r="F9"/>
  <c r="G9"/>
  <c r="H9"/>
  <c r="I9"/>
  <c r="J9"/>
  <c r="K9"/>
  <c r="F17"/>
  <c r="G17"/>
  <c r="H17"/>
  <c r="I17"/>
  <c r="J17"/>
  <c r="K17"/>
  <c r="F34"/>
  <c r="G34"/>
  <c r="H34"/>
  <c r="I34"/>
  <c r="J34"/>
  <c r="K34"/>
  <c r="F36"/>
  <c r="G36"/>
  <c r="H36"/>
  <c r="I36"/>
  <c r="J36"/>
  <c r="K36"/>
  <c r="F38"/>
  <c r="G38"/>
  <c r="H38"/>
  <c r="I38"/>
  <c r="J38"/>
  <c r="K38"/>
  <c r="G39"/>
  <c r="H39"/>
  <c r="I39"/>
  <c r="J39"/>
  <c r="K39"/>
  <c r="F41"/>
  <c r="G41"/>
  <c r="H41"/>
  <c r="I41"/>
  <c r="J41"/>
  <c r="K41"/>
  <c r="F42"/>
  <c r="G42"/>
  <c r="H42"/>
  <c r="I42"/>
  <c r="J42"/>
  <c r="K42"/>
  <c r="F43"/>
  <c r="C5" i="14"/>
  <c r="D5"/>
  <c r="E5"/>
  <c r="F5"/>
  <c r="G5"/>
  <c r="C6"/>
  <c r="D6"/>
  <c r="E6"/>
  <c r="F6"/>
  <c r="G6"/>
  <c r="C8"/>
  <c r="D8"/>
  <c r="E8"/>
  <c r="F8"/>
  <c r="G8"/>
  <c r="C13"/>
  <c r="D13"/>
  <c r="E13"/>
  <c r="F13"/>
  <c r="G13"/>
  <c r="C15"/>
  <c r="D15"/>
  <c r="E15"/>
  <c r="F15"/>
  <c r="G15"/>
  <c r="C28"/>
  <c r="D28"/>
  <c r="E28"/>
  <c r="F28"/>
  <c r="G28"/>
  <c r="C30"/>
  <c r="D30"/>
  <c r="E30"/>
  <c r="F30"/>
  <c r="G30"/>
  <c r="G31"/>
  <c r="C32"/>
  <c r="D32"/>
  <c r="I32"/>
  <c r="C34"/>
  <c r="D34"/>
  <c r="C35"/>
  <c r="D35"/>
  <c r="C36"/>
  <c r="D36"/>
  <c r="E36"/>
  <c r="F36"/>
  <c r="G36"/>
  <c r="J36"/>
  <c r="C38"/>
  <c r="D38"/>
  <c r="E38"/>
  <c r="F38"/>
  <c r="G38"/>
  <c r="G39"/>
  <c r="C40"/>
  <c r="D40"/>
  <c r="C41"/>
  <c r="D41"/>
  <c r="B13" i="16"/>
  <c r="C13"/>
  <c r="B15"/>
  <c r="C15"/>
  <c r="B17"/>
  <c r="B19"/>
  <c r="D22"/>
  <c r="F22"/>
  <c r="D23"/>
  <c r="F23"/>
  <c r="D24"/>
  <c r="F24"/>
  <c r="D25"/>
  <c r="D26"/>
  <c r="F26"/>
  <c r="C28"/>
  <c r="F28"/>
  <c r="F1" i="11"/>
  <c r="G1"/>
  <c r="H1"/>
  <c r="I1"/>
  <c r="J1"/>
  <c r="K1"/>
  <c r="G11"/>
  <c r="H11"/>
  <c r="I11"/>
  <c r="J11"/>
  <c r="K11"/>
  <c r="L11"/>
  <c r="G12"/>
  <c r="H12"/>
  <c r="I12"/>
  <c r="J12"/>
  <c r="K12"/>
  <c r="L12"/>
  <c r="G13"/>
  <c r="H13"/>
  <c r="I13"/>
  <c r="J13"/>
  <c r="K13"/>
  <c r="L13"/>
  <c r="G14"/>
  <c r="H14"/>
  <c r="I14"/>
  <c r="J14"/>
  <c r="K14"/>
  <c r="L14"/>
  <c r="G19"/>
  <c r="H19"/>
  <c r="I19"/>
  <c r="J19"/>
  <c r="K19"/>
  <c r="L19"/>
  <c r="G20"/>
  <c r="H20"/>
  <c r="I20"/>
  <c r="J20"/>
  <c r="K20"/>
  <c r="L20"/>
  <c r="G21"/>
  <c r="H21"/>
  <c r="I21"/>
  <c r="J21"/>
  <c r="K21"/>
  <c r="L21"/>
  <c r="N21"/>
  <c r="G22"/>
  <c r="H22"/>
  <c r="I22"/>
  <c r="J22"/>
  <c r="K22"/>
  <c r="L22"/>
  <c r="M22"/>
  <c r="G26"/>
  <c r="H26"/>
  <c r="I26"/>
  <c r="J26"/>
  <c r="K26"/>
  <c r="L26"/>
  <c r="G27"/>
  <c r="H27"/>
  <c r="I27"/>
  <c r="J27"/>
  <c r="K27"/>
  <c r="L27"/>
  <c r="G28"/>
  <c r="H28"/>
  <c r="I28"/>
  <c r="J28"/>
  <c r="K28"/>
  <c r="L28"/>
  <c r="G33"/>
  <c r="H33"/>
  <c r="I33"/>
  <c r="J33"/>
  <c r="K33"/>
  <c r="L33"/>
  <c r="G35"/>
  <c r="H35"/>
  <c r="I35"/>
  <c r="J35"/>
  <c r="K35"/>
  <c r="L35"/>
  <c r="G36"/>
  <c r="H36"/>
  <c r="I36"/>
  <c r="J36"/>
  <c r="K36"/>
  <c r="L36"/>
  <c r="G38"/>
  <c r="H38"/>
  <c r="I38"/>
  <c r="J38"/>
  <c r="K38"/>
  <c r="L38"/>
  <c r="G52"/>
  <c r="H52"/>
  <c r="I52"/>
  <c r="J52"/>
  <c r="K52"/>
  <c r="L52"/>
  <c r="G73"/>
  <c r="H73"/>
  <c r="I73"/>
  <c r="J73"/>
  <c r="K73"/>
  <c r="L73"/>
  <c r="M73"/>
  <c r="N73"/>
  <c r="G74"/>
  <c r="H74"/>
  <c r="I74"/>
  <c r="J74"/>
  <c r="K74"/>
  <c r="L74"/>
  <c r="M74"/>
  <c r="N74"/>
  <c r="G81"/>
  <c r="H81"/>
  <c r="I81"/>
  <c r="J81"/>
  <c r="K81"/>
  <c r="L81"/>
  <c r="G82"/>
  <c r="H82"/>
  <c r="I82"/>
  <c r="J82"/>
  <c r="K82"/>
  <c r="L82"/>
  <c r="G84"/>
  <c r="H84"/>
  <c r="I84"/>
  <c r="J84"/>
  <c r="K84"/>
  <c r="L84"/>
  <c r="G85"/>
  <c r="H85"/>
  <c r="I85"/>
  <c r="J85"/>
  <c r="K85"/>
  <c r="L85"/>
  <c r="G87"/>
  <c r="H87"/>
  <c r="I87"/>
  <c r="J87"/>
  <c r="K87"/>
  <c r="L87"/>
  <c r="G88"/>
  <c r="H88"/>
  <c r="I88"/>
  <c r="J88"/>
  <c r="K88"/>
  <c r="L88"/>
  <c r="G89"/>
  <c r="H89"/>
  <c r="I89"/>
  <c r="J89"/>
  <c r="K89"/>
  <c r="L89"/>
  <c r="G91"/>
  <c r="G14" i="8"/>
  <c r="H14"/>
  <c r="I14"/>
  <c r="J14"/>
  <c r="K14"/>
  <c r="G15"/>
  <c r="H15"/>
  <c r="I15"/>
  <c r="J15"/>
  <c r="K15"/>
  <c r="G16"/>
  <c r="H16"/>
  <c r="I16"/>
  <c r="J16"/>
  <c r="K16"/>
  <c r="G19"/>
  <c r="H19"/>
  <c r="I19"/>
  <c r="J19"/>
  <c r="K19"/>
  <c r="G20"/>
  <c r="H20"/>
  <c r="I20"/>
  <c r="J20"/>
  <c r="K20"/>
  <c r="G21"/>
  <c r="H21"/>
  <c r="I21"/>
  <c r="J21"/>
  <c r="K21"/>
  <c r="G22"/>
  <c r="H22"/>
  <c r="I22"/>
  <c r="J22"/>
  <c r="K22"/>
  <c r="G25"/>
  <c r="H25"/>
  <c r="I25"/>
  <c r="J25"/>
  <c r="K25"/>
  <c r="G26"/>
  <c r="H26"/>
  <c r="I26"/>
  <c r="J26"/>
  <c r="K26"/>
  <c r="G28"/>
  <c r="H28"/>
  <c r="I28"/>
  <c r="J28"/>
  <c r="K28"/>
  <c r="G29"/>
  <c r="H29"/>
  <c r="I29"/>
  <c r="J29"/>
  <c r="K29"/>
  <c r="G30"/>
  <c r="H30"/>
  <c r="I30"/>
  <c r="J30"/>
  <c r="K30"/>
  <c r="G31"/>
  <c r="H31"/>
  <c r="I31"/>
  <c r="J31"/>
  <c r="K31"/>
  <c r="G35"/>
  <c r="H35"/>
  <c r="I35"/>
  <c r="J35"/>
  <c r="K35"/>
  <c r="G37"/>
  <c r="H37"/>
  <c r="I37"/>
  <c r="J37"/>
  <c r="K37"/>
  <c r="G38"/>
  <c r="H38"/>
  <c r="I38"/>
  <c r="J38"/>
  <c r="K38"/>
  <c r="G39"/>
  <c r="H39"/>
  <c r="I39"/>
  <c r="J39"/>
  <c r="K39"/>
  <c r="G40"/>
  <c r="H40"/>
  <c r="I40"/>
  <c r="J40"/>
  <c r="K40"/>
  <c r="G41"/>
  <c r="H41"/>
  <c r="I41"/>
  <c r="J41"/>
  <c r="K41"/>
  <c r="G42"/>
  <c r="H42"/>
  <c r="I42"/>
  <c r="J42"/>
  <c r="K42"/>
  <c r="G45"/>
  <c r="H45"/>
  <c r="I45"/>
  <c r="J45"/>
  <c r="K45"/>
  <c r="G46"/>
  <c r="H46"/>
  <c r="I46"/>
  <c r="J46"/>
  <c r="K46"/>
  <c r="G47"/>
  <c r="H47"/>
  <c r="I47"/>
  <c r="J47"/>
  <c r="K47"/>
  <c r="G50"/>
  <c r="H50"/>
  <c r="I50"/>
  <c r="J50"/>
  <c r="K50"/>
  <c r="H53"/>
  <c r="I53"/>
  <c r="J53"/>
  <c r="K53"/>
  <c r="H54"/>
  <c r="I54"/>
  <c r="J54"/>
  <c r="K54"/>
  <c r="G57"/>
  <c r="H57"/>
  <c r="I57"/>
  <c r="J57"/>
  <c r="K57"/>
  <c r="G63"/>
  <c r="H63"/>
  <c r="I63"/>
  <c r="J63"/>
  <c r="K63"/>
  <c r="G65"/>
  <c r="H65"/>
  <c r="I65"/>
  <c r="J65"/>
  <c r="K65"/>
  <c r="G66"/>
  <c r="H66"/>
  <c r="I66"/>
  <c r="J66"/>
  <c r="K66"/>
  <c r="G67"/>
  <c r="H67"/>
  <c r="I67"/>
  <c r="J67"/>
  <c r="K67"/>
  <c r="G68"/>
  <c r="H68"/>
  <c r="I68"/>
  <c r="J68"/>
  <c r="K68"/>
  <c r="G69"/>
  <c r="H69"/>
  <c r="I69"/>
  <c r="J69"/>
  <c r="K69"/>
  <c r="C86" i="29"/>
  <c r="D86"/>
  <c r="E86"/>
  <c r="F86"/>
  <c r="G86"/>
  <c r="C87"/>
  <c r="D87"/>
  <c r="E87"/>
  <c r="F87"/>
  <c r="G87"/>
  <c r="C88"/>
  <c r="D88"/>
  <c r="E88"/>
  <c r="F88"/>
  <c r="G88"/>
  <c r="D24" i="30"/>
  <c r="E24"/>
  <c r="D25"/>
  <c r="E25"/>
  <c r="D26"/>
  <c r="E26"/>
  <c r="D27"/>
  <c r="E27"/>
  <c r="D28"/>
  <c r="E28"/>
  <c r="D30"/>
  <c r="E30"/>
  <c r="D31"/>
  <c r="E31"/>
</calcChain>
</file>

<file path=xl/comments1.xml><?xml version="1.0" encoding="utf-8"?>
<comments xmlns="http://schemas.openxmlformats.org/spreadsheetml/2006/main">
  <authors>
    <author>IT</author>
  </authors>
  <commentList>
    <comment ref="B5" authorId="0">
      <text>
        <r>
          <rPr>
            <b/>
            <sz val="8"/>
            <color indexed="81"/>
            <rFont val="Tahoma"/>
            <family val="2"/>
          </rPr>
          <t>Giá vào năm 2008</t>
        </r>
      </text>
    </comment>
  </commentList>
</comments>
</file>

<file path=xl/comments2.xml><?xml version="1.0" encoding="utf-8"?>
<comments xmlns="http://schemas.openxmlformats.org/spreadsheetml/2006/main">
  <authors>
    <author>IT</author>
  </authors>
  <commentList>
    <comment ref="N17" authorId="0">
      <text>
        <r>
          <rPr>
            <b/>
            <sz val="8"/>
            <color indexed="81"/>
            <rFont val="Tahoma"/>
            <family val="2"/>
          </rPr>
          <t>Tăng theo chi tiêu công. DN 235k</t>
        </r>
      </text>
    </comment>
    <comment ref="N19" authorId="0">
      <text>
        <r>
          <rPr>
            <b/>
            <sz val="8"/>
            <color indexed="81"/>
            <rFont val="Tahoma"/>
            <family val="2"/>
          </rPr>
          <t>Giá bán trung bình đá 1x2 là 130k, đá mi là 80k</t>
        </r>
      </text>
    </comment>
    <comment ref="N29" authorId="0">
      <text>
        <r>
          <rPr>
            <b/>
            <sz val="8"/>
            <color indexed="81"/>
            <rFont val="Tahoma"/>
            <family val="2"/>
          </rPr>
          <t>Giá bán đá 1x2 là 170k, đá mi là 108k</t>
        </r>
      </text>
    </comment>
    <comment ref="O29" authorId="0">
      <text>
        <r>
          <rPr>
            <b/>
            <sz val="8"/>
            <color indexed="81"/>
            <rFont val="Tahoma"/>
            <family val="2"/>
          </rPr>
          <t>Giá bán đá 1x2 là 170k, đá mi là 108k</t>
        </r>
      </text>
    </comment>
    <comment ref="N30" authorId="0">
      <text>
        <r>
          <rPr>
            <b/>
            <sz val="8"/>
            <color indexed="81"/>
            <rFont val="Tahoma"/>
            <family val="2"/>
          </rPr>
          <t>Sản lượng tăng theo đầu tư công: Nguồn BMI</t>
        </r>
      </text>
    </comment>
    <comment ref="N39" authorId="0">
      <text>
        <r>
          <rPr>
            <b/>
            <sz val="8"/>
            <color indexed="81"/>
            <rFont val="Tahoma"/>
            <family val="2"/>
          </rPr>
          <t>Sản lượng tăng theo đầu tư công: Nguồn BMI</t>
        </r>
      </text>
    </comment>
    <comment ref="N48" authorId="0">
      <text>
        <r>
          <rPr>
            <b/>
            <sz val="8"/>
            <color indexed="81"/>
            <rFont val="Tahoma"/>
            <family val="2"/>
          </rPr>
          <t>Sản lượng tăng theo đầu tư công: Nguồn BMI</t>
        </r>
      </text>
    </comment>
  </commentList>
</comments>
</file>

<file path=xl/comments3.xml><?xml version="1.0" encoding="utf-8"?>
<comments xmlns="http://schemas.openxmlformats.org/spreadsheetml/2006/main">
  <authors>
    <author>nantt</author>
  </authors>
  <commentList>
    <comment ref="A17" authorId="0">
      <text>
        <r>
          <rPr>
            <b/>
            <sz val="9"/>
            <color indexed="81"/>
            <rFont val="Tahoma"/>
            <family val="2"/>
          </rPr>
          <t>Đá tốt hơn Thạnh Phú</t>
        </r>
      </text>
    </comment>
    <comment ref="A22" authorId="0">
      <text>
        <r>
          <rPr>
            <b/>
            <sz val="9"/>
            <color indexed="81"/>
            <rFont val="Tahoma"/>
            <family val="2"/>
          </rPr>
          <t>Chất lượng đá tương đương Hóa An</t>
        </r>
      </text>
    </comment>
    <comment ref="H22" authorId="0">
      <text>
        <r>
          <rPr>
            <b/>
            <sz val="9"/>
            <color indexed="81"/>
            <rFont val="Tahoma"/>
            <family val="2"/>
          </rPr>
          <t>Ban đầu là 5,87 trm3</t>
        </r>
      </text>
    </comment>
    <comment ref="A27" authorId="0">
      <text>
        <r>
          <rPr>
            <b/>
            <sz val="9"/>
            <color indexed="81"/>
            <rFont val="Tahoma"/>
            <family val="2"/>
          </rPr>
          <t>Mỏ mới, nhiều đá phong hóa</t>
        </r>
        <r>
          <rPr>
            <sz val="9"/>
            <color indexed="81"/>
            <rFont val="Tahoma"/>
            <family val="2"/>
          </rPr>
          <t xml:space="preserve">
</t>
        </r>
      </text>
    </comment>
  </commentList>
</comments>
</file>

<file path=xl/comments4.xml><?xml version="1.0" encoding="utf-8"?>
<comments xmlns="http://schemas.openxmlformats.org/spreadsheetml/2006/main">
  <authors>
    <author>IT</author>
  </authors>
  <commentList>
    <comment ref="D70" authorId="0">
      <text>
        <r>
          <rPr>
            <b/>
            <sz val="8"/>
            <color indexed="81"/>
            <rFont val="Tahoma"/>
            <family val="2"/>
          </rPr>
          <t>Bán cp CT fico Tay Ninh 34 ty</t>
        </r>
      </text>
    </comment>
  </commentList>
</comments>
</file>

<file path=xl/comments5.xml><?xml version="1.0" encoding="utf-8"?>
<comments xmlns="http://schemas.openxmlformats.org/spreadsheetml/2006/main">
  <authors>
    <author>Homolka Lubor</author>
    <author>Thanhnk</author>
    <author>IT</author>
  </authors>
  <commentList>
    <comment ref="G29" authorId="0">
      <text>
        <r>
          <rPr>
            <b/>
            <sz val="9"/>
            <color indexed="81"/>
            <rFont val="Tahoma"/>
            <charset val="1"/>
          </rPr>
          <t>Homolka Lubor:</t>
        </r>
        <r>
          <rPr>
            <sz val="9"/>
            <color indexed="81"/>
            <rFont val="Tahoma"/>
            <charset val="1"/>
          </rPr>
          <t xml:space="preserve">
sht_0</t>
        </r>
      </text>
    </comment>
    <comment ref="A58" authorId="1">
      <text>
        <r>
          <rPr>
            <b/>
            <sz val="8"/>
            <color indexed="81"/>
            <rFont val="Tahoma"/>
            <family val="2"/>
          </rPr>
          <t>Thanhnk:</t>
        </r>
        <r>
          <rPr>
            <sz val="8"/>
            <color indexed="81"/>
            <rFont val="Tahoma"/>
            <family val="2"/>
          </rPr>
          <t xml:space="preserve">
Thuế TNDN chiếm 70%</t>
        </r>
      </text>
    </comment>
    <comment ref="A63" authorId="1">
      <text>
        <r>
          <rPr>
            <b/>
            <sz val="8"/>
            <color indexed="81"/>
            <rFont val="Tahoma"/>
            <family val="2"/>
          </rPr>
          <t>Thanhnk:</t>
        </r>
        <r>
          <rPr>
            <sz val="8"/>
            <color indexed="81"/>
            <rFont val="Tahoma"/>
            <family val="2"/>
          </rPr>
          <t xml:space="preserve">
Chủ yếu là thuế nhập khẩu nguyên liệu</t>
        </r>
      </text>
    </comment>
    <comment ref="A82" authorId="2">
      <text>
        <r>
          <rPr>
            <b/>
            <sz val="8"/>
            <color indexed="81"/>
            <rFont val="Tahoma"/>
            <family val="2"/>
          </rPr>
          <t xml:space="preserve">Trích 5% (dừng trích khi vượt quá 10% vốn điều lệ)
</t>
        </r>
      </text>
    </comment>
  </commentList>
</comments>
</file>

<file path=xl/sharedStrings.xml><?xml version="1.0" encoding="utf-8"?>
<sst xmlns="http://schemas.openxmlformats.org/spreadsheetml/2006/main" count="2040" uniqueCount="1056">
  <si>
    <t>Std equity market</t>
  </si>
  <si>
    <t>Std bond market</t>
  </si>
  <si>
    <t xml:space="preserve">Country risk premium </t>
  </si>
  <si>
    <t>Equity</t>
  </si>
  <si>
    <t>Risk free</t>
  </si>
  <si>
    <t>Debt</t>
  </si>
  <si>
    <t>Long term cost of debt</t>
  </si>
  <si>
    <t>Credit spread US</t>
  </si>
  <si>
    <t>LT government bond yield</t>
  </si>
  <si>
    <t>Adjust debt spread</t>
  </si>
  <si>
    <t>LT government bond yield US</t>
  </si>
  <si>
    <t>Cost of debt US</t>
  </si>
  <si>
    <t>Credit spread</t>
  </si>
  <si>
    <t>Caculation</t>
  </si>
  <si>
    <t>Hard code</t>
  </si>
  <si>
    <t>Debt-to-Capitalization</t>
  </si>
  <si>
    <t>Equity-to-Capitalization</t>
  </si>
  <si>
    <t xml:space="preserve">Credit defaut spread </t>
  </si>
  <si>
    <t>Financing asummption</t>
  </si>
  <si>
    <t>INPUT</t>
  </si>
  <si>
    <t>OUTPUT</t>
  </si>
  <si>
    <t>Cost of capital</t>
  </si>
  <si>
    <t xml:space="preserve">1.000.000 </t>
  </si>
  <si>
    <t>Sheet</t>
  </si>
  <si>
    <t>Valuation</t>
  </si>
  <si>
    <t>US Equity risk premium</t>
  </si>
  <si>
    <t>Information</t>
  </si>
  <si>
    <t>Company name</t>
  </si>
  <si>
    <t>Periority</t>
  </si>
  <si>
    <t>Unit (VND)</t>
  </si>
  <si>
    <t>Yearly</t>
  </si>
  <si>
    <t>Total preriority</t>
  </si>
  <si>
    <t>Link</t>
  </si>
  <si>
    <t>Description</t>
  </si>
  <si>
    <t>Overview</t>
  </si>
  <si>
    <t>Financial summary</t>
  </si>
  <si>
    <t>Market research</t>
  </si>
  <si>
    <t xml:space="preserve">Description </t>
  </si>
  <si>
    <t>Financial assumption</t>
  </si>
  <si>
    <t>Revenue assumption</t>
  </si>
  <si>
    <t>CAPEX and depreciation</t>
  </si>
  <si>
    <t>Discount rate</t>
  </si>
  <si>
    <t>Liabilities</t>
  </si>
  <si>
    <t>Ratios</t>
  </si>
  <si>
    <t>Cash flow projection</t>
  </si>
  <si>
    <t>INFORMATION</t>
  </si>
  <si>
    <t>INPUT DATA</t>
  </si>
  <si>
    <t>VALUATION DATA</t>
  </si>
  <si>
    <t>Mutiple analysis</t>
  </si>
  <si>
    <t>Company overview</t>
  </si>
  <si>
    <t>MCK:</t>
  </si>
  <si>
    <t>Website:</t>
  </si>
  <si>
    <t>Key statistic</t>
  </si>
  <si>
    <t>Market cap (tỷ VND)</t>
  </si>
  <si>
    <t xml:space="preserve">Beta:  </t>
  </si>
  <si>
    <t/>
  </si>
  <si>
    <t>P/B:</t>
  </si>
  <si>
    <t>Av volume 3M:</t>
  </si>
  <si>
    <t>Price (VND)</t>
  </si>
  <si>
    <t>Outstanding shares:</t>
  </si>
  <si>
    <t>Enterprise value:</t>
  </si>
  <si>
    <t xml:space="preserve">% Foreign: </t>
  </si>
  <si>
    <t>% Free floating :</t>
  </si>
  <si>
    <t>Trailing P/E:</t>
  </si>
  <si>
    <t>Forward P/E:</t>
  </si>
  <si>
    <t>Dividend yield:</t>
  </si>
  <si>
    <t>Adress:</t>
  </si>
  <si>
    <t>Telephone:</t>
  </si>
  <si>
    <t>Industry:</t>
  </si>
  <si>
    <t>Sector:</t>
  </si>
  <si>
    <t>Shareholder structure</t>
  </si>
  <si>
    <t>Others</t>
  </si>
  <si>
    <t>Shareholder</t>
  </si>
  <si>
    <t>No. shares</t>
  </si>
  <si>
    <t>% holding</t>
  </si>
  <si>
    <t>Observed beta</t>
  </si>
  <si>
    <t>TỔNG CỘNG TÀI SẢN</t>
  </si>
  <si>
    <t>TỔNG CỘNG NGUỒN VỐN</t>
  </si>
  <si>
    <t>Giá vốn hàng bán</t>
  </si>
  <si>
    <t>Chi phí tài chính</t>
  </si>
  <si>
    <t>Chi phí bán hàng</t>
  </si>
  <si>
    <t>Thu nhập khác</t>
  </si>
  <si>
    <t>Chi phí khác</t>
  </si>
  <si>
    <t>I. Lưu chuyển tiền từ hoạt động kinh doanh</t>
  </si>
  <si>
    <t>Lưu chuyển tiền thuần trong kỳ</t>
  </si>
  <si>
    <t>Tiền và tương đương tiền đầu kỳ</t>
  </si>
  <si>
    <t>Tiền và tương đương tiền cuối kỳ</t>
  </si>
  <si>
    <t>Báo cáo lãi lỗ</t>
  </si>
  <si>
    <t>Triệu VNĐ</t>
  </si>
  <si>
    <t>Q3/2010</t>
  </si>
  <si>
    <t>Q4/2010</t>
  </si>
  <si>
    <t>Q1/2011</t>
  </si>
  <si>
    <t>Q2/2011</t>
  </si>
  <si>
    <t>Q3/2011</t>
  </si>
  <si>
    <t>Doanh số</t>
  </si>
  <si>
    <t>Các khoản giảm trừ</t>
  </si>
  <si>
    <t>Doanh số thuần</t>
  </si>
  <si>
    <t>Lãi gộp</t>
  </si>
  <si>
    <t>Thu nhập tài chính</t>
  </si>
  <si>
    <t>Chi phí tiền lãi</t>
  </si>
  <si>
    <t>Chi phí quản lý doanh  nghiệp</t>
  </si>
  <si>
    <t>Lãi/(lỗ) từ hoạt động kinh doanh</t>
  </si>
  <si>
    <t>Thu nhập khác, ròng</t>
  </si>
  <si>
    <t>Lãi/(lỗ) từ công ty liên doanh</t>
  </si>
  <si>
    <t>Lãi/(lỗ) ròng trước thuế</t>
  </si>
  <si>
    <t>Thuế thu nhập doanh nghiệp – hiện thời</t>
  </si>
  <si>
    <t>Thuế thu nhập doanh nghiệp – hoãn lại</t>
  </si>
  <si>
    <t>Chi phí thuế thu nhập doanh nghiệp</t>
  </si>
  <si>
    <t>Lãi/(lỗ) thuần sau thuế</t>
  </si>
  <si>
    <t>Lợi ích của cổ đông thiểu số</t>
  </si>
  <si>
    <t>Cổ đông của Công ty mẹ</t>
  </si>
  <si>
    <t>Lãi cơ bản trên cổ phiếu (VNĐ)</t>
  </si>
  <si>
    <t>Lãi trên cổ phiếu pha loãng (VNĐ)</t>
  </si>
  <si>
    <t>Báo cáo Cân đối</t>
  </si>
  <si>
    <t>TÀI SẢN NGẮN HẠN</t>
  </si>
  <si>
    <t>Tiền và tương đương tiền</t>
  </si>
  <si>
    <t>Tiền</t>
  </si>
  <si>
    <t>Các khoản tương đương tiền</t>
  </si>
  <si>
    <t>Giá trị thuần đầu tư ngắn hạn</t>
  </si>
  <si>
    <t>Đầu tư ngắn hạn</t>
  </si>
  <si>
    <t>Dự phòng đầu tư ngắn hạn</t>
  </si>
  <si>
    <t>Các khoản phải thu</t>
  </si>
  <si>
    <t>Phải thu khách hàng</t>
  </si>
  <si>
    <t>Trả trước người bán</t>
  </si>
  <si>
    <t>Phải thu nội bộ</t>
  </si>
  <si>
    <t>Phải thu về XDCB</t>
  </si>
  <si>
    <t>Phải thu khác</t>
  </si>
  <si>
    <t>Dự phòng nợ khó đòi</t>
  </si>
  <si>
    <t>Hàng tồn kho, ròng</t>
  </si>
  <si>
    <t>Hàng tồn kho</t>
  </si>
  <si>
    <t>Dự phòng giảm giá HTK</t>
  </si>
  <si>
    <t>Tài sản lưu động khác</t>
  </si>
  <si>
    <t>Trả trước ngắn hạn</t>
  </si>
  <si>
    <t>Thuế VAT phải thu</t>
  </si>
  <si>
    <t>Phải thu thuế khác</t>
  </si>
  <si>
    <t>TÀI SẢN DÀI HẠN</t>
  </si>
  <si>
    <t>Phải thu dài hạn</t>
  </si>
  <si>
    <t>Phải thu khách hang dài hạn</t>
  </si>
  <si>
    <t>Phải thu nội bộ dài hạn</t>
  </si>
  <si>
    <t>Phải thu dài hạn khác</t>
  </si>
  <si>
    <t>Dự phòng phải thu dài hạn</t>
  </si>
  <si>
    <t>Tài sản cố định</t>
  </si>
  <si>
    <t>GTCL TSCĐ hữu hình</t>
  </si>
  <si>
    <t>Nguyên giá TSCĐ hữu hình</t>
  </si>
  <si>
    <t>Khấu hao lũy kế TSCĐ hữu hình</t>
  </si>
  <si>
    <t>GTCL Tài sản thuê tài chính</t>
  </si>
  <si>
    <t>Nguyên giá tài sản thuê tài chính</t>
  </si>
  <si>
    <t>Khấu hao lũy kế tài sản thuê tài chính</t>
  </si>
  <si>
    <t>GTCL tài sản cố định vô hình</t>
  </si>
  <si>
    <t>Nguyên giá TSCĐ vô hình</t>
  </si>
  <si>
    <t>Khấu khao lũy kế TSCĐ vô hình</t>
  </si>
  <si>
    <t>Xây dựng cơ bản dở dang</t>
  </si>
  <si>
    <t>Giá trị ròng tài sản đầu tư</t>
  </si>
  <si>
    <t>Nguyên giá tài sản đầu tư</t>
  </si>
  <si>
    <t>Khấu hao lũy kế tài sản đầu tư</t>
  </si>
  <si>
    <t>Đầu tư dài hạn</t>
  </si>
  <si>
    <t>Đầu tư vào các công ty con</t>
  </si>
  <si>
    <t>Đầu tư vào các công ty liên kết</t>
  </si>
  <si>
    <t>Đầu tư dài hạn khác</t>
  </si>
  <si>
    <t>Dự phòng giảm giá đầu tư dài hạn</t>
  </si>
  <si>
    <t>Lợi thế thương mại</t>
  </si>
  <si>
    <t>Tài sản dài hạn khác</t>
  </si>
  <si>
    <t>Trả trước dài hạn</t>
  </si>
  <si>
    <t>Thuế thu nhập hoãn lại phải thu</t>
  </si>
  <si>
    <t>Các tài sản dài hạn khác</t>
  </si>
  <si>
    <t>NỢ PHẢI TRẢ</t>
  </si>
  <si>
    <t>Nợ ngắn hạn</t>
  </si>
  <si>
    <t>Vay ngắn hạn</t>
  </si>
  <si>
    <t>Phải trả người bán</t>
  </si>
  <si>
    <t>Người mua trả tiền trước</t>
  </si>
  <si>
    <t>Thuế và các khoản phải trả Nhà nước</t>
  </si>
  <si>
    <t>Phải trả người lao động</t>
  </si>
  <si>
    <t>Chi phí phải trả</t>
  </si>
  <si>
    <t>Phải trả nội bộ</t>
  </si>
  <si>
    <t>Phải trả về xây dựng cơ bản</t>
  </si>
  <si>
    <t>Phải trả khác</t>
  </si>
  <si>
    <t>Dự phòng các khoản phải trả ngắn hạn</t>
  </si>
  <si>
    <t>Nợ dài hạn</t>
  </si>
  <si>
    <t>Phải trả nhà cung cấp dài hạn</t>
  </si>
  <si>
    <t>Phải trả nội bộ dài hạn</t>
  </si>
  <si>
    <t>Phải trả dài hạn khác</t>
  </si>
  <si>
    <t>Vay dài hạn</t>
  </si>
  <si>
    <t>Thuế thu nhập hoãn lại phải trả</t>
  </si>
  <si>
    <t>Dự phòng trợ cấp thôi việc</t>
  </si>
  <si>
    <t>Dự phòng các khoản công nợ dài hạn</t>
  </si>
  <si>
    <t>Dự phòng nghiệp vụ (áp dụng cho Cty Bảo hiểm)</t>
  </si>
  <si>
    <t>VỐN CHỦ SỞ HỮU</t>
  </si>
  <si>
    <t>Vốn và các quỹ</t>
  </si>
  <si>
    <t>Vốn góp</t>
  </si>
  <si>
    <t>Thặng dư vốn cổ phần</t>
  </si>
  <si>
    <t>Vốn khác</t>
  </si>
  <si>
    <t>Cổ phiếu quỹ</t>
  </si>
  <si>
    <t>Chênh lệch đánh giá lại tài sản</t>
  </si>
  <si>
    <t>Chênh lệch tỷ giá</t>
  </si>
  <si>
    <t>Quỹ đầu tư và phát triển</t>
  </si>
  <si>
    <t>Quỹ dự phòng tài chính</t>
  </si>
  <si>
    <t>Quỹ dự trữ bắt buốc (Cty bảo hiểm)</t>
  </si>
  <si>
    <t>Quỹ quỹ khác</t>
  </si>
  <si>
    <t>Lãi chưa phân phối</t>
  </si>
  <si>
    <t>Vốn Ngân sách nhà nước và quỹ khác</t>
  </si>
  <si>
    <t>Quỹ khen thưởng, phúc lợi</t>
  </si>
  <si>
    <t>Vốn ngân sách nhà nước</t>
  </si>
  <si>
    <t>LỢI ÍCH CỦA CỔ ĐONG THIỂU SỐ</t>
  </si>
  <si>
    <t>Sheet tham chieu</t>
  </si>
  <si>
    <t>APL</t>
  </si>
  <si>
    <t>QPL</t>
  </si>
  <si>
    <t>ABS</t>
  </si>
  <si>
    <t>QBS</t>
  </si>
  <si>
    <t>ACF</t>
  </si>
  <si>
    <t>QCF</t>
  </si>
  <si>
    <t>Check</t>
  </si>
  <si>
    <t>1. Sales</t>
  </si>
  <si>
    <t>2. Deductible items</t>
  </si>
  <si>
    <t>3. Net revenue</t>
  </si>
  <si>
    <t>4. Cost of goods sold</t>
  </si>
  <si>
    <t xml:space="preserve">5. Gross profit </t>
  </si>
  <si>
    <t>6. Financial income</t>
  </si>
  <si>
    <t>7. Financial expenses</t>
  </si>
  <si>
    <t xml:space="preserve">    Interest expenses</t>
  </si>
  <si>
    <t>8. Selling expenses</t>
  </si>
  <si>
    <t>9.General and Admin Expenses</t>
  </si>
  <si>
    <t xml:space="preserve">10. Operating profit/(loss) </t>
  </si>
  <si>
    <t>11. Other income</t>
  </si>
  <si>
    <t>12. Other expenses</t>
  </si>
  <si>
    <t>13. Other profit</t>
  </si>
  <si>
    <t>14. Net Income from Associated Companies</t>
  </si>
  <si>
    <t>15. Profit before tax</t>
  </si>
  <si>
    <t>16. Corporate income tax - current</t>
  </si>
  <si>
    <t>17. Corporate income tax - deferred</t>
  </si>
  <si>
    <t>18. Net profit after tax</t>
  </si>
  <si>
    <t xml:space="preserve">19. Minority interests </t>
  </si>
  <si>
    <t xml:space="preserve">20. Profit to parent company </t>
  </si>
  <si>
    <t>TOTAL ASSETS</t>
  </si>
  <si>
    <t>A. SHORT-TERM ASSETS</t>
  </si>
  <si>
    <t>I.Cash and cash equivalents</t>
  </si>
  <si>
    <t>II. Short-term investments</t>
  </si>
  <si>
    <t>1. Short-term investments</t>
  </si>
  <si>
    <t>III. Accounts receivable</t>
  </si>
  <si>
    <t>1. Trade receivable</t>
  </si>
  <si>
    <t>2. Prepayments to Suppliers</t>
  </si>
  <si>
    <t>5. Other receivables</t>
  </si>
  <si>
    <t>2. Provision for diminution</t>
  </si>
  <si>
    <t>3. Intercompany receivables</t>
  </si>
  <si>
    <t>4. Construction contract in progress receivables</t>
  </si>
  <si>
    <t>6. Provision for doubtful debts</t>
  </si>
  <si>
    <t>IV. Net Inventories</t>
  </si>
  <si>
    <t>1. Inventories</t>
  </si>
  <si>
    <t>2. Provision for decline in inventories</t>
  </si>
  <si>
    <t>V. Other current assets</t>
  </si>
  <si>
    <t>B. LONG-TERM ASSETS</t>
  </si>
  <si>
    <t>I. Long-term trade receivables</t>
  </si>
  <si>
    <t>II. Fixed assets</t>
  </si>
  <si>
    <t>1.  Tangible fixed assets</t>
  </si>
  <si>
    <t xml:space="preserve"> - Cost</t>
  </si>
  <si>
    <t xml:space="preserve"> - Accumulated depreciation</t>
  </si>
  <si>
    <t>2.  Finance lease assets</t>
  </si>
  <si>
    <t>3. Intangible fixed assets</t>
  </si>
  <si>
    <t>4. Construction in progress</t>
  </si>
  <si>
    <t>III. Investment in properties</t>
  </si>
  <si>
    <t>IV. Long-term investments</t>
  </si>
  <si>
    <t>1. Investments in subsidiaries</t>
  </si>
  <si>
    <t>2. Investments in affiliates</t>
  </si>
  <si>
    <t>3. Other long-term investments</t>
  </si>
  <si>
    <t>4. Provision for impairment of LT investments</t>
  </si>
  <si>
    <t>V. Other long-term assets</t>
  </si>
  <si>
    <t>VI. Goodwill</t>
  </si>
  <si>
    <t>TOTAL OWNER'S EQUITY AND LIABILITIES</t>
  </si>
  <si>
    <t>A. LIABILITIES</t>
  </si>
  <si>
    <t>I. Current liabilities</t>
  </si>
  <si>
    <t>1. Short-term borrowings</t>
  </si>
  <si>
    <t>2. Trade accounts payable</t>
  </si>
  <si>
    <t>3. Advances from customers</t>
  </si>
  <si>
    <t>4. Taxes and other payable to State Budget</t>
  </si>
  <si>
    <t>5.Payable to employees</t>
  </si>
  <si>
    <t>6. Accrued expenses</t>
  </si>
  <si>
    <t>7. Intercompany payables</t>
  </si>
  <si>
    <t>8. Construction contract in progress payables</t>
  </si>
  <si>
    <t>9. Other payables</t>
  </si>
  <si>
    <t>10. Provision for ST liabilities</t>
  </si>
  <si>
    <t>II. Long-term liabilities</t>
  </si>
  <si>
    <t>1. Long-term trade payables</t>
  </si>
  <si>
    <t>2. Long-term intercompany payables</t>
  </si>
  <si>
    <t>3. Other long-term payables</t>
  </si>
  <si>
    <t>4.Long-term borrowings</t>
  </si>
  <si>
    <t>5. Deferred income tax liabilities</t>
  </si>
  <si>
    <t>6. Provision for severance allowances</t>
  </si>
  <si>
    <t>7. Provision for long-term liabilities</t>
  </si>
  <si>
    <t>B - OWNER'S EQUITY</t>
  </si>
  <si>
    <t>I. Capital and Reserves</t>
  </si>
  <si>
    <t>1.Owner's Equity</t>
  </si>
  <si>
    <t>2. Share premium</t>
  </si>
  <si>
    <t>3.Owner's other capital</t>
  </si>
  <si>
    <t>4. Treasury shares</t>
  </si>
  <si>
    <t>5. Differences upon asset revaluation</t>
  </si>
  <si>
    <t>6. Foreign exchange differences</t>
  </si>
  <si>
    <t>7. Investment and development funds</t>
  </si>
  <si>
    <t>8. Financial provision</t>
  </si>
  <si>
    <t>9. Other funds</t>
  </si>
  <si>
    <t>11. Budget sources and other funds</t>
  </si>
  <si>
    <t xml:space="preserve">II. Budget source and other funds </t>
  </si>
  <si>
    <t>C. MINORITY INTERESTS</t>
  </si>
  <si>
    <t>1. Net profit before tax</t>
  </si>
  <si>
    <t xml:space="preserve">2. Adjsutments: </t>
  </si>
  <si>
    <t xml:space="preserve"> - Depreciation and Amortisation</t>
  </si>
  <si>
    <t xml:space="preserve"> - Provisions</t>
  </si>
  <si>
    <t xml:space="preserve"> - Unrealised foreign exchange (gain)/loss</t>
  </si>
  <si>
    <t xml:space="preserve"> - (Profit)/loss from disposal of fixed assets</t>
  </si>
  <si>
    <t xml:space="preserve"> - (Profit)/loss from investing activities</t>
  </si>
  <si>
    <t xml:space="preserve"> - Interest expense</t>
  </si>
  <si>
    <t>3. Operating profit/(loss) before changes in WC</t>
  </si>
  <si>
    <t xml:space="preserve"> - (Increase)/decrease in receivables</t>
  </si>
  <si>
    <t xml:space="preserve"> - (increase)/decrease in inventories</t>
  </si>
  <si>
    <t xml:space="preserve"> - Increase/(decrease) in payables</t>
  </si>
  <si>
    <t xml:space="preserve"> - (Increase)/decrease in prepaid expenses</t>
  </si>
  <si>
    <t xml:space="preserve"> - Interest paid</t>
  </si>
  <si>
    <t xml:space="preserve"> - Business Income Tax paid</t>
  </si>
  <si>
    <t xml:space="preserve"> - Other receipts from operating activities</t>
  </si>
  <si>
    <t xml:space="preserve"> - Other payments on operating activities</t>
  </si>
  <si>
    <t>Net cash inflows(outflows) from operating activities</t>
  </si>
  <si>
    <t>1. Purchases of fixed assets and other long term assets</t>
  </si>
  <si>
    <t>2. Proceeds from disposal of fixed assets</t>
  </si>
  <si>
    <t>3. Loans granted, purchases of debt instruments</t>
  </si>
  <si>
    <t>4. Collection of loans, proceeds from sales of debts instruments</t>
  </si>
  <si>
    <t>5. Investments in other entities</t>
  </si>
  <si>
    <t>10. Dividends and interest received</t>
  </si>
  <si>
    <t>Net cash flow from investing activities</t>
  </si>
  <si>
    <t>II. Cash flow from investing activities</t>
  </si>
  <si>
    <t>I. Cash flow from operating activities</t>
  </si>
  <si>
    <t>III. Cash flow from financing activities</t>
  </si>
  <si>
    <t>1. Proceeds from shares issue</t>
  </si>
  <si>
    <t>2. Payments for share repurchases</t>
  </si>
  <si>
    <t>3. Proceeds from borrowings</t>
  </si>
  <si>
    <t>4. Repayment of borrowings</t>
  </si>
  <si>
    <t>5. Finance lease principal payments</t>
  </si>
  <si>
    <t>8. Dividends paid</t>
  </si>
  <si>
    <t>Net cash inflows/(outflows) from financing activities</t>
  </si>
  <si>
    <t>Net Increase/Decrease in cash and cash equivalents</t>
  </si>
  <si>
    <t>Financial statement</t>
  </si>
  <si>
    <t>Income statement</t>
  </si>
  <si>
    <t>Common size analysis (%NetRevenue)</t>
  </si>
  <si>
    <t>Balance sheet</t>
  </si>
  <si>
    <t>Cash flow</t>
  </si>
  <si>
    <t>VNM</t>
  </si>
  <si>
    <t>Q1/2010</t>
  </si>
  <si>
    <t>Q2/2010</t>
  </si>
  <si>
    <t>Báo cáo Tiền tệ</t>
  </si>
  <si>
    <t>Lãi trước thuế</t>
  </si>
  <si>
    <t>Chi phí dự phòng</t>
  </si>
  <si>
    <t>Lãi/(lỗ) chênh lệch tỷ giá chưa thực hiện</t>
  </si>
  <si>
    <t>Lãi/(lỗ) từ thanh lý tài sản cố định</t>
  </si>
  <si>
    <t>Lãi/(lỗ) từ hoạt động đầu tư</t>
  </si>
  <si>
    <t>Chi phí lãi vay</t>
  </si>
  <si>
    <t>Thu lãi và cổ tức</t>
  </si>
  <si>
    <t>Lãi/(lỗ) trước những thay đổi vốn cố định</t>
  </si>
  <si>
    <t>(Tăng)/giảm các khoản phải thu</t>
  </si>
  <si>
    <t>(Tăng)/giảm hàng tồn kho</t>
  </si>
  <si>
    <t>Tăng/(giảm) các khoản phải trả</t>
  </si>
  <si>
    <t>(Tăng)/giảm chi phí trả trước</t>
  </si>
  <si>
    <t>Chi phí lãi vay đã trả</t>
  </si>
  <si>
    <t>Thuế thu nhập doanh nghiệp đã trả</t>
  </si>
  <si>
    <t>Tiền thu khác từ các hoạt động kinh doanh</t>
  </si>
  <si>
    <t>Tiền chi khác từ các hoạt động kinh doanh</t>
  </si>
  <si>
    <t>Lưu chuyển tiền tệ ròng từ các hoạt động sản xuất kinh doanh</t>
  </si>
  <si>
    <t>Tiền mua tài sản cố định và các tài sản dài hạn khác</t>
  </si>
  <si>
    <t>Tiền thu được từ thanh lý tài sản cố định</t>
  </si>
  <si>
    <t>Tiền cho vay hoặc mua công cụ nợ</t>
  </si>
  <si>
    <t>Tiền thu từ cho vay hoặc thu từ phát hành công cụ nợ</t>
  </si>
  <si>
    <t>Đầu tư vào các doanh nghiệp khác</t>
  </si>
  <si>
    <t>Tiền thu từ việc bán các khoản đầu tư vào các doanh nghiệp khác</t>
  </si>
  <si>
    <t>Cổ tức và tiền lãi nhận được</t>
  </si>
  <si>
    <t>Lưu chuyển tiền tệ ròng từ hoạt động đầu tư</t>
  </si>
  <si>
    <t>Tiền thu từ phát hành cổ phiếu và vốn góp</t>
  </si>
  <si>
    <t>Chi trả cho việc mua lại, trả lại cổ phiếu</t>
  </si>
  <si>
    <t>Tiền thu được các khoản đi vay</t>
  </si>
  <si>
    <t>Tiển trả các khoản đi vay</t>
  </si>
  <si>
    <t>Tiền thanh toán vốn gốc đi thuê tài chính</t>
  </si>
  <si>
    <t>Cổ tức đã trả</t>
  </si>
  <si>
    <t>Tiền lãi đã nhận</t>
  </si>
  <si>
    <t>Lưu chuyển tiền tệ từ hoạt động tài chính</t>
  </si>
  <si>
    <t>Ảnh hưởng của chênh lệch tỷ giá</t>
  </si>
  <si>
    <t>Khấu hao TSCĐ</t>
  </si>
  <si>
    <t>Chỉ tiêu</t>
  </si>
  <si>
    <t>Revenue structure</t>
  </si>
  <si>
    <t>Unit: Mil VND</t>
  </si>
  <si>
    <t>Production capacity</t>
  </si>
  <si>
    <t>2011E</t>
  </si>
  <si>
    <t>2012E</t>
  </si>
  <si>
    <t>Pro. Cap. (1.000 TPA)</t>
  </si>
  <si>
    <t>Utilization Rate (%)</t>
  </si>
  <si>
    <t>2013E</t>
  </si>
  <si>
    <t>Sales Breakdown</t>
  </si>
  <si>
    <t>Direct Channel</t>
  </si>
  <si>
    <t>Wholesale</t>
  </si>
  <si>
    <t>Distributors</t>
  </si>
  <si>
    <t>Revenue Structure by market</t>
  </si>
  <si>
    <t>Domestic Sales</t>
  </si>
  <si>
    <t>Export Sales</t>
  </si>
  <si>
    <t>Distribution</t>
  </si>
  <si>
    <t>Points of sale (POS)</t>
  </si>
  <si>
    <t>Industry and market outlook</t>
  </si>
  <si>
    <t>Milk Consumption &amp; Demand</t>
  </si>
  <si>
    <t>Growth (%)</t>
  </si>
  <si>
    <t>COGS Breakdown</t>
  </si>
  <si>
    <t>Packaging</t>
  </si>
  <si>
    <t>Other material cost</t>
  </si>
  <si>
    <t>Depreciation</t>
  </si>
  <si>
    <t xml:space="preserve">   Fluid Milk</t>
  </si>
  <si>
    <t xml:space="preserve">   Butter</t>
  </si>
  <si>
    <t xml:space="preserve">   Cheese</t>
  </si>
  <si>
    <t xml:space="preserve">   NFD Milk</t>
  </si>
  <si>
    <t xml:space="preserve">   Whole Milk Powder</t>
  </si>
  <si>
    <t>Source: PAPRI</t>
  </si>
  <si>
    <t>Dairy consumption per capita in Vietnam (kg)</t>
  </si>
  <si>
    <t>Australia</t>
  </si>
  <si>
    <t>China</t>
  </si>
  <si>
    <t>India</t>
  </si>
  <si>
    <t>Indonesia</t>
  </si>
  <si>
    <t>Japan</t>
  </si>
  <si>
    <t>Malaysia</t>
  </si>
  <si>
    <t>New Zealand</t>
  </si>
  <si>
    <t>Philippines</t>
  </si>
  <si>
    <t>Thailand</t>
  </si>
  <si>
    <t>US</t>
  </si>
  <si>
    <t>Korea</t>
  </si>
  <si>
    <t>Fluid Milk consumption per capita by country (kg)</t>
  </si>
  <si>
    <t>Vietnam Dairy Production and Consumption</t>
  </si>
  <si>
    <t>Fresh Milk Production</t>
  </si>
  <si>
    <t>Total Domestic Consumption</t>
  </si>
  <si>
    <t>Dairy Cattle Population</t>
  </si>
  <si>
    <t>Source: Ministry of Agriculture &amp; Rural Development</t>
  </si>
  <si>
    <t>Vietnam Dairy Market Share</t>
  </si>
  <si>
    <t>Dutch Lady</t>
  </si>
  <si>
    <t>Product</t>
  </si>
  <si>
    <t>Milk Powder</t>
  </si>
  <si>
    <t>Abbott</t>
  </si>
  <si>
    <t>Nestle</t>
  </si>
  <si>
    <t>Mead Johnson</t>
  </si>
  <si>
    <t>Cup Yoghurt</t>
  </si>
  <si>
    <t>UHT Liquid Milk</t>
  </si>
  <si>
    <t>Sweetened Condensded Milk</t>
  </si>
  <si>
    <t xml:space="preserve">Tax </t>
  </si>
  <si>
    <t>Current Import Taxes</t>
  </si>
  <si>
    <t>WTO limits by 2012</t>
  </si>
  <si>
    <t>Whey (Milk Plasma)</t>
  </si>
  <si>
    <t>20-30%</t>
  </si>
  <si>
    <t>Cream</t>
  </si>
  <si>
    <t>&lt;20%</t>
  </si>
  <si>
    <t>Manufactured Products</t>
  </si>
  <si>
    <t>&lt; 30%</t>
  </si>
  <si>
    <t>Activity ratios (efficiency)</t>
  </si>
  <si>
    <t>Inventory turnover</t>
  </si>
  <si>
    <t>Day of Inventory on hand DOH, DIO</t>
  </si>
  <si>
    <t>Receivables turnover</t>
  </si>
  <si>
    <t>Day of sales outstanding DSO</t>
  </si>
  <si>
    <t>Payable turnover</t>
  </si>
  <si>
    <t>Days of payable</t>
  </si>
  <si>
    <t>Working capital turnover</t>
  </si>
  <si>
    <t>Fixed asset turnover</t>
  </si>
  <si>
    <t>Total asset turnover</t>
  </si>
  <si>
    <t>Liquidity ratios</t>
  </si>
  <si>
    <t>Current ratio</t>
  </si>
  <si>
    <t>Quick ratio</t>
  </si>
  <si>
    <t>Cash ratio</t>
  </si>
  <si>
    <t>Solvency ratios</t>
  </si>
  <si>
    <t>Debt to asset</t>
  </si>
  <si>
    <t>Debt to equity</t>
  </si>
  <si>
    <t>Financial leverage</t>
  </si>
  <si>
    <t>Interest coverage</t>
  </si>
  <si>
    <t>Profitability ratios</t>
  </si>
  <si>
    <t>Gross profit margin</t>
  </si>
  <si>
    <t>Pretax margin</t>
  </si>
  <si>
    <t>Net profit margin</t>
  </si>
  <si>
    <t>Return on common equity</t>
  </si>
  <si>
    <t>Integrated financial ratios</t>
  </si>
  <si>
    <t>ROE Dupont 1 = RoA x FL</t>
  </si>
  <si>
    <t>ROE Dupont 2 = (NPM x TAT) x FL</t>
  </si>
  <si>
    <t>ROE Dupont 3 = (TBx IBx EBITM) x TAT x FL</t>
  </si>
  <si>
    <t>Equity analysis</t>
  </si>
  <si>
    <t>Basic EPS</t>
  </si>
  <si>
    <t>EBITDA per share</t>
  </si>
  <si>
    <t>Dividend per share</t>
  </si>
  <si>
    <t>Dividend payout ratio (1-b)</t>
  </si>
  <si>
    <t>Retention rate b</t>
  </si>
  <si>
    <t>Credit analysis</t>
  </si>
  <si>
    <t>Free operating cash flows to total debt</t>
  </si>
  <si>
    <t>Total debt to EBITDA</t>
  </si>
  <si>
    <t>Projection</t>
  </si>
  <si>
    <t>2014E</t>
  </si>
  <si>
    <t>2015E</t>
  </si>
  <si>
    <t>Growth analysis</t>
  </si>
  <si>
    <t>Revenue</t>
  </si>
  <si>
    <t>Gross profit</t>
  </si>
  <si>
    <t>EBIT</t>
  </si>
  <si>
    <t>EBITDA</t>
  </si>
  <si>
    <t>Income before tax</t>
  </si>
  <si>
    <t>Net income</t>
  </si>
  <si>
    <t>EPS</t>
  </si>
  <si>
    <t>Total asset</t>
  </si>
  <si>
    <t>Total equity</t>
  </si>
  <si>
    <t>Operating cycle</t>
  </si>
  <si>
    <t>Cash operating cycle</t>
  </si>
  <si>
    <t>Free cash flow/ revenue</t>
  </si>
  <si>
    <t>Total debt/EBITDA</t>
  </si>
  <si>
    <t>Free cash flow/ debt</t>
  </si>
  <si>
    <t>ROAA</t>
  </si>
  <si>
    <t>ROAE</t>
  </si>
  <si>
    <t>Dividend payout ratio</t>
  </si>
  <si>
    <t>Sales/Asset</t>
  </si>
  <si>
    <t>Note</t>
  </si>
  <si>
    <t>CDS VN 10 years</t>
  </si>
  <si>
    <t xml:space="preserve">Standard deviation VNM return </t>
  </si>
  <si>
    <t>Standard devitation VN- index return</t>
  </si>
  <si>
    <t>US Equity risk premium (average 3 years)</t>
  </si>
  <si>
    <t>beta of a similar VNM in a developed country</t>
  </si>
  <si>
    <t>yield of U.S. T-Bond 10 years</t>
  </si>
  <si>
    <t>Assuming the corporate credit default spread is 200 bps higher than national default spread</t>
  </si>
  <si>
    <t>Yield of Vietnam goverment bond  10 years</t>
  </si>
  <si>
    <t>Yield of U.S. T-Bond 10 years</t>
  </si>
  <si>
    <t>Short term cost of debt</t>
  </si>
  <si>
    <t>Long term cost of equity</t>
  </si>
  <si>
    <t>Short term cost of equity</t>
  </si>
  <si>
    <t>Diff LT Cost of Equity - LT cost of debt</t>
  </si>
  <si>
    <t>Weight (%)</t>
  </si>
  <si>
    <t>Expense Assumptions</t>
  </si>
  <si>
    <t>Cost of good sold</t>
  </si>
  <si>
    <t>SG&amp;A expenses</t>
  </si>
  <si>
    <t>Promotions &amp; Commission</t>
  </si>
  <si>
    <t>Advertising</t>
  </si>
  <si>
    <t>Wages</t>
  </si>
  <si>
    <t>Transport</t>
  </si>
  <si>
    <t>Maintenance</t>
  </si>
  <si>
    <t>Fuel expenses</t>
  </si>
  <si>
    <t>Selling expenses</t>
  </si>
  <si>
    <t>% Selling</t>
  </si>
  <si>
    <t>Debt assumption</t>
  </si>
  <si>
    <t>2010A</t>
  </si>
  <si>
    <t>CapEx and Depreciation Schedule</t>
  </si>
  <si>
    <t>2013F</t>
  </si>
  <si>
    <t>2014F</t>
  </si>
  <si>
    <t>2015F</t>
  </si>
  <si>
    <t>Beginning Net PP&amp;E</t>
  </si>
  <si>
    <t>Capital Expenditures</t>
  </si>
  <si>
    <t xml:space="preserve">    Ending Net PP&amp;E</t>
  </si>
  <si>
    <t>Total Capital Expenditure</t>
  </si>
  <si>
    <t>Capital Expenditure / Total Revenues</t>
  </si>
  <si>
    <t>Depreciation schedule</t>
  </si>
  <si>
    <t>Fixed assets</t>
  </si>
  <si>
    <t>Machinery</t>
  </si>
  <si>
    <t>Total revenues</t>
  </si>
  <si>
    <t>Original Costs</t>
  </si>
  <si>
    <t>% of Cost</t>
  </si>
  <si>
    <t>Basis</t>
  </si>
  <si>
    <t>Years</t>
  </si>
  <si>
    <t>Building</t>
  </si>
  <si>
    <t>Total</t>
  </si>
  <si>
    <t>Cow</t>
  </si>
  <si>
    <t>Q4/2012</t>
  </si>
  <si>
    <t>Q3/2012</t>
  </si>
  <si>
    <t>Allocation</t>
  </si>
  <si>
    <t>Depreciation increase from new investment</t>
  </si>
  <si>
    <t>Depreciation yearly</t>
  </si>
  <si>
    <t>Debt Schedule</t>
  </si>
  <si>
    <t>WACC (short term)</t>
  </si>
  <si>
    <t>WACC (long term)</t>
  </si>
  <si>
    <t>Short term Tax rate</t>
  </si>
  <si>
    <t>Long term Tax rate</t>
  </si>
  <si>
    <t>Additions</t>
  </si>
  <si>
    <t>Repayments</t>
  </si>
  <si>
    <t>Ending balance</t>
  </si>
  <si>
    <t>Interest payment</t>
  </si>
  <si>
    <t>Total debt service (Interest+Principal)</t>
  </si>
  <si>
    <t>Long term debt</t>
  </si>
  <si>
    <t>Beginning Balance</t>
  </si>
  <si>
    <t>Interest rate</t>
  </si>
  <si>
    <t>Debt financing - investment</t>
  </si>
  <si>
    <t xml:space="preserve">Loan term </t>
  </si>
  <si>
    <t xml:space="preserve">% Debt financing </t>
  </si>
  <si>
    <t>Total debt</t>
  </si>
  <si>
    <t>years</t>
  </si>
  <si>
    <t>Loan amount (VND)</t>
  </si>
  <si>
    <t>Bottom up beta (approaching unlisted company)</t>
  </si>
  <si>
    <t>Company</t>
  </si>
  <si>
    <t>Beta</t>
  </si>
  <si>
    <t>D/E ratio</t>
  </si>
  <si>
    <t>Tax rate %</t>
  </si>
  <si>
    <t>HNM</t>
  </si>
  <si>
    <t>KDC</t>
  </si>
  <si>
    <t>BBC</t>
  </si>
  <si>
    <t xml:space="preserve">Average </t>
  </si>
  <si>
    <t>Step 1: Unlevered Industry beta</t>
  </si>
  <si>
    <t>Unlevered beta</t>
  </si>
  <si>
    <t>Tax rate</t>
  </si>
  <si>
    <t>Step 2: Levered beta of company</t>
  </si>
  <si>
    <t>Levered Beta</t>
  </si>
  <si>
    <t>Selling</t>
  </si>
  <si>
    <t>Admin</t>
  </si>
  <si>
    <t>2012 - 2015</t>
  </si>
  <si>
    <t>Depriciation</t>
  </si>
  <si>
    <t>Software</t>
  </si>
  <si>
    <t>Corporate Income Tax rate</t>
  </si>
  <si>
    <t>Cash operating cycle assumption</t>
  </si>
  <si>
    <t>Days inventory</t>
  </si>
  <si>
    <t>Days Receivable</t>
  </si>
  <si>
    <t>Days Payable</t>
  </si>
  <si>
    <t>Average historical value</t>
  </si>
  <si>
    <t>Cash Operating Cycle</t>
  </si>
  <si>
    <t>CAPEX assumption</t>
  </si>
  <si>
    <t>Funds assumption</t>
  </si>
  <si>
    <t>10. Retained earnings</t>
  </si>
  <si>
    <t>Welfare fund</t>
  </si>
  <si>
    <t>Financial provision fund</t>
  </si>
  <si>
    <t>Investment and development fund</t>
  </si>
  <si>
    <t>of net income</t>
  </si>
  <si>
    <t>Equity assumption</t>
  </si>
  <si>
    <t>Paid‐up share capital</t>
  </si>
  <si>
    <t>Share premium</t>
  </si>
  <si>
    <t>Historical</t>
  </si>
  <si>
    <t>COGS</t>
  </si>
  <si>
    <t>COGS assumption</t>
  </si>
  <si>
    <t>COGS/Sales</t>
  </si>
  <si>
    <t>Total revenue</t>
  </si>
  <si>
    <t>General and Admin Expenses</t>
  </si>
  <si>
    <t>Financial income</t>
  </si>
  <si>
    <t>Financial expenses</t>
  </si>
  <si>
    <t xml:space="preserve">   Interest expenses</t>
  </si>
  <si>
    <t>Profit before tax</t>
  </si>
  <si>
    <t xml:space="preserve">Corporate income tax </t>
  </si>
  <si>
    <t>Net profit after tax</t>
  </si>
  <si>
    <t>EBITDA (Operating Cash Flow)</t>
  </si>
  <si>
    <t>Depreciation and Amortisation</t>
  </si>
  <si>
    <t>BS projection</t>
  </si>
  <si>
    <t>I. Cash and cash equivalents</t>
  </si>
  <si>
    <t>IV. Inventories</t>
  </si>
  <si>
    <t xml:space="preserve">   Interest from deposit in banks</t>
  </si>
  <si>
    <t xml:space="preserve">   Others</t>
  </si>
  <si>
    <t>Short term and long term investment assumption</t>
  </si>
  <si>
    <t>Asset turnover</t>
  </si>
  <si>
    <t>Sales growth</t>
  </si>
  <si>
    <t>Sales</t>
  </si>
  <si>
    <t>Average asset</t>
  </si>
  <si>
    <t>Ending asset</t>
  </si>
  <si>
    <t>Ending asset growth</t>
  </si>
  <si>
    <t>Short-term investments</t>
  </si>
  <si>
    <t xml:space="preserve">   Listed ST stocks</t>
  </si>
  <si>
    <t xml:space="preserve">   Unlisted stocks</t>
  </si>
  <si>
    <t xml:space="preserve">   Corporate bonds</t>
  </si>
  <si>
    <t xml:space="preserve">   Bank term deposits</t>
  </si>
  <si>
    <t xml:space="preserve">Long-term investments </t>
  </si>
  <si>
    <t xml:space="preserve">   Interests in joint-ventures and associates</t>
  </si>
  <si>
    <t xml:space="preserve">   Other long-term investments</t>
  </si>
  <si>
    <t xml:space="preserve">    + Corporate and government bonds</t>
  </si>
  <si>
    <t xml:space="preserve">    + Listed LT stocks</t>
  </si>
  <si>
    <t xml:space="preserve">    + Unlisted LT stocks</t>
  </si>
  <si>
    <t xml:space="preserve">    + Other funds</t>
  </si>
  <si>
    <t xml:space="preserve">    + Other investments</t>
  </si>
  <si>
    <t xml:space="preserve">   Provision ST investments</t>
  </si>
  <si>
    <t>of asset growth</t>
  </si>
  <si>
    <t xml:space="preserve">    PP&amp;E growth (%)</t>
  </si>
  <si>
    <t xml:space="preserve">Return VN- index </t>
  </si>
  <si>
    <t>of return VN- index</t>
  </si>
  <si>
    <t xml:space="preserve">historical </t>
  </si>
  <si>
    <t>5. Payable to employees</t>
  </si>
  <si>
    <t>Total short- term investment</t>
  </si>
  <si>
    <t>Total long term investment</t>
  </si>
  <si>
    <t>Import tax rate</t>
  </si>
  <si>
    <t>Import tax/COGS</t>
  </si>
  <si>
    <t>Treasury shares</t>
  </si>
  <si>
    <t>Dividend assumption</t>
  </si>
  <si>
    <t>Dividend policy</t>
  </si>
  <si>
    <t>Dividend payout (1-b) policy</t>
  </si>
  <si>
    <t>Average number of shares</t>
  </si>
  <si>
    <t>Deposit rate</t>
  </si>
  <si>
    <t>Investment in properties</t>
  </si>
  <si>
    <t>Cost</t>
  </si>
  <si>
    <t>Increase yearly</t>
  </si>
  <si>
    <t>Accummulate depreciation</t>
  </si>
  <si>
    <t>Net income after tax</t>
  </si>
  <si>
    <t>Net investment in working capital</t>
  </si>
  <si>
    <t>CFO</t>
  </si>
  <si>
    <t>Interest expenses</t>
  </si>
  <si>
    <t>tax rate</t>
  </si>
  <si>
    <t>Interest expenses (1-tax rate)</t>
  </si>
  <si>
    <t>Net investment in fixed capital</t>
  </si>
  <si>
    <t>FCFF</t>
  </si>
  <si>
    <t>Net borrowings</t>
  </si>
  <si>
    <t>FCFE</t>
  </si>
  <si>
    <t>Growth</t>
  </si>
  <si>
    <t>Cashflows from operating activities</t>
  </si>
  <si>
    <t>Net profit before taxes</t>
  </si>
  <si>
    <t>Depreciation and amortization</t>
  </si>
  <si>
    <t>Change in WC providing/requiring cash</t>
  </si>
  <si>
    <t xml:space="preserve">     (Increase)/decrease in receivables</t>
  </si>
  <si>
    <t xml:space="preserve">    (Increase)/decrease in inventories</t>
  </si>
  <si>
    <t xml:space="preserve">    Increase/(decrease) in payables</t>
  </si>
  <si>
    <t>Net cash from operating activities</t>
  </si>
  <si>
    <t>Cashflows from investing activities</t>
  </si>
  <si>
    <t xml:space="preserve">    Purchase of fixed-assets (PPE)</t>
  </si>
  <si>
    <t xml:space="preserve">    Investments in other entities</t>
  </si>
  <si>
    <t>Net cash used in investing activities</t>
  </si>
  <si>
    <t>Cashflow from financing activities</t>
  </si>
  <si>
    <t>Proceeds from exercise of stock issuance</t>
  </si>
  <si>
    <t>Dividend paids</t>
  </si>
  <si>
    <t>Net cash from in financing activities</t>
  </si>
  <si>
    <t>Cash &amp; equivalents at beginning of year</t>
  </si>
  <si>
    <t>Net changes in cash and cash equivalent</t>
  </si>
  <si>
    <t>Financial statement Projection</t>
  </si>
  <si>
    <t xml:space="preserve">  Adjustments for:</t>
  </si>
  <si>
    <t>Cash flows from operating activities before changes in WC</t>
  </si>
  <si>
    <t xml:space="preserve">Cash flow projection </t>
  </si>
  <si>
    <t xml:space="preserve">    Increase/(decrease) in other current assets</t>
  </si>
  <si>
    <t>Net working capital</t>
  </si>
  <si>
    <t xml:space="preserve">    Increase/(decrease) in short term invesment</t>
  </si>
  <si>
    <t xml:space="preserve">    Increase/(decrease) in long term invesment</t>
  </si>
  <si>
    <t xml:space="preserve">    Increase/(decrease) in invesment in properties</t>
  </si>
  <si>
    <t xml:space="preserve">    Increase/(decrease)  in long-term trade receivables</t>
  </si>
  <si>
    <t>Repurchasing treasury shares</t>
  </si>
  <si>
    <t>Increase/(decrease) in other capital</t>
  </si>
  <si>
    <t>Increase/(decrease) short term borrowings</t>
  </si>
  <si>
    <t>Increase/(decrease) long term borrowings</t>
  </si>
  <si>
    <t>Increase/(decrease) in minority interest</t>
  </si>
  <si>
    <t>DCF assumption</t>
  </si>
  <si>
    <t>Outstanding shares</t>
  </si>
  <si>
    <t>Discount factor</t>
  </si>
  <si>
    <t>PV of FCFE</t>
  </si>
  <si>
    <t>Terminal value</t>
  </si>
  <si>
    <t>PV Equity value, cash, ST</t>
  </si>
  <si>
    <t xml:space="preserve">Equity value per share </t>
  </si>
  <si>
    <t xml:space="preserve">FCF Model </t>
  </si>
  <si>
    <t>FCFF and FCFE</t>
  </si>
  <si>
    <t>PL projection</t>
  </si>
  <si>
    <t>Peer Comperison</t>
  </si>
  <si>
    <t>Mkt Cap</t>
  </si>
  <si>
    <t>FY10A</t>
  </si>
  <si>
    <t>FY11E</t>
  </si>
  <si>
    <t>FY12E</t>
  </si>
  <si>
    <t>PER</t>
  </si>
  <si>
    <t>PBR</t>
  </si>
  <si>
    <t>Group average</t>
  </si>
  <si>
    <t>Earning per share</t>
  </si>
  <si>
    <t>PE</t>
  </si>
  <si>
    <t>Price</t>
  </si>
  <si>
    <t>Outstanding share</t>
  </si>
  <si>
    <t>BVPS</t>
  </si>
  <si>
    <t>PB</t>
  </si>
  <si>
    <t>Multiple analysis</t>
  </si>
  <si>
    <t>Ticket</t>
  </si>
  <si>
    <t>Target price</t>
  </si>
  <si>
    <t>Target multiple</t>
  </si>
  <si>
    <t>Contribution</t>
  </si>
  <si>
    <t>P/B</t>
  </si>
  <si>
    <t>P/E</t>
  </si>
  <si>
    <t>Sum</t>
  </si>
  <si>
    <t>Current price</t>
  </si>
  <si>
    <t>Upside/Downside</t>
  </si>
  <si>
    <t>Bil USD</t>
  </si>
  <si>
    <t>EBIT margin</t>
  </si>
  <si>
    <t>EBITDA margin</t>
  </si>
  <si>
    <t>ROE</t>
  </si>
  <si>
    <t>ROA</t>
  </si>
  <si>
    <t>FY10E</t>
  </si>
  <si>
    <t>P/B @3.6x</t>
  </si>
  <si>
    <t>PE @ 17.4x</t>
  </si>
  <si>
    <t>PL and BS projection</t>
  </si>
  <si>
    <t>DCF valuation</t>
  </si>
  <si>
    <t>Cash and cash equivalents at the beginning of period</t>
  </si>
  <si>
    <t>Cash and cash equivalents at the ending of period</t>
  </si>
  <si>
    <t>Q2/2012</t>
  </si>
  <si>
    <t>Q1/2012</t>
  </si>
  <si>
    <t>Q4/2011</t>
  </si>
  <si>
    <t>2016E</t>
  </si>
  <si>
    <t>2016F</t>
  </si>
  <si>
    <t>2017F</t>
  </si>
  <si>
    <t>Gross margin</t>
  </si>
  <si>
    <t>2013- 2015</t>
  </si>
  <si>
    <t>2017E</t>
  </si>
  <si>
    <t>Increase/Decrease exchange rate</t>
  </si>
  <si>
    <t>Interest expense</t>
  </si>
  <si>
    <t>Loss exchange rate (execute)</t>
  </si>
  <si>
    <t>Loss exchange rate (unexecute)</t>
  </si>
  <si>
    <t>Provision ST investments</t>
  </si>
  <si>
    <t>Provision LT investments</t>
  </si>
  <si>
    <t>Distributor support</t>
  </si>
  <si>
    <t>Other</t>
  </si>
  <si>
    <t>-</t>
  </si>
  <si>
    <t>Market shares</t>
  </si>
  <si>
    <t>Material</t>
  </si>
  <si>
    <t>Q1/2013</t>
  </si>
  <si>
    <t>Doanh thu chưa thực hiên</t>
  </si>
  <si>
    <t>Quỹ phát triển khoa học công nghệ</t>
  </si>
  <si>
    <t>Quỹ hỗ trợ sắp xếp doanh nghiệp</t>
  </si>
  <si>
    <t>Quỹ khen thưởng, phúc lợi (trước 2010)</t>
  </si>
  <si>
    <t>Q2/2013</t>
  </si>
  <si>
    <t>Mỏ Hóa An</t>
  </si>
  <si>
    <t>Mỏ Thường Tân</t>
  </si>
  <si>
    <t>Mỏ Tân Cang 3</t>
  </si>
  <si>
    <t>Mỏ Núi Gió</t>
  </si>
  <si>
    <t>Mỏ Thạnh Phú 2</t>
  </si>
  <si>
    <t>DHA</t>
  </si>
  <si>
    <t>Hoa An Town, Bien Hoa City, Dong Nai Province</t>
  </si>
  <si>
    <t xml:space="preserve">(84-061) 3954458-3954491-3954632 </t>
  </si>
  <si>
    <t>Mining and quarrying</t>
  </si>
  <si>
    <t>www.hoaan.com.vn</t>
  </si>
  <si>
    <t>Sản phẩm</t>
  </si>
  <si>
    <t>Đá 1x2</t>
  </si>
  <si>
    <t>Đá 0x4</t>
  </si>
  <si>
    <t>Đá Mi</t>
  </si>
  <si>
    <t>Đá 4x6</t>
  </si>
  <si>
    <t>Đất tầng phủ và các SP khác.</t>
  </si>
  <si>
    <t>Đất tầng phủ và các SP khác</t>
  </si>
  <si>
    <t>Đá hộc và các SP khác</t>
  </si>
  <si>
    <t>Đá 0x4 và các SP khác</t>
  </si>
  <si>
    <t>SL</t>
  </si>
  <si>
    <t>Dthu</t>
  </si>
  <si>
    <t>Bụi sàn</t>
  </si>
  <si>
    <t>Đá 0x3, 0x4</t>
  </si>
  <si>
    <t>Diện tích (ha)</t>
  </si>
  <si>
    <t>Trữ lượng (m3)</t>
  </si>
  <si>
    <t>Công suất thiết kế (m3/năm)</t>
  </si>
  <si>
    <t>Tổng vốn đầu tư (tỷ đồng)</t>
  </si>
  <si>
    <t xml:space="preserve">Khấu hao </t>
  </si>
  <si>
    <t>Thời hạn</t>
  </si>
  <si>
    <t>4 - 2015</t>
  </si>
  <si>
    <t>8 - 2025</t>
  </si>
  <si>
    <t>3 - 2024</t>
  </si>
  <si>
    <t>Năm khai thác</t>
  </si>
  <si>
    <t>5 - 2020</t>
  </si>
  <si>
    <t>5 - 2011</t>
  </si>
  <si>
    <t>Năm 2011 còn 3.04 trm3</t>
  </si>
  <si>
    <t>Sản lượng (m3)</t>
  </si>
  <si>
    <t>DT</t>
  </si>
  <si>
    <t>Tổng SL</t>
  </si>
  <si>
    <t>Tổng DT</t>
  </si>
  <si>
    <t>%</t>
  </si>
  <si>
    <t>Giá vốn bq</t>
  </si>
  <si>
    <t>BCTN 2011</t>
  </si>
  <si>
    <t>2011</t>
  </si>
  <si>
    <t>Năm</t>
  </si>
  <si>
    <t>Vốn</t>
  </si>
  <si>
    <t>Đầu tư công giai đoạn  2008-2012 (tỷ đồng)</t>
  </si>
  <si>
    <t>Tổng Đt</t>
  </si>
  <si>
    <t>ĐT công</t>
  </si>
  <si>
    <t>tỷ lệ</t>
  </si>
  <si>
    <t>Khấu hao</t>
  </si>
  <si>
    <t>Thạnh Phú 2</t>
  </si>
  <si>
    <t>Tháng</t>
  </si>
  <si>
    <t>Fixed assets note</t>
  </si>
  <si>
    <t>Mỏ đá Hóa An</t>
  </si>
  <si>
    <t>Doanh thu</t>
  </si>
  <si>
    <t>Sản lượng</t>
  </si>
  <si>
    <t>Q3/2013</t>
  </si>
  <si>
    <t>9M</t>
  </si>
  <si>
    <t xml:space="preserve">Sản lượng </t>
  </si>
  <si>
    <t>Tổng doanh thu</t>
  </si>
  <si>
    <t>Tổng chi phí</t>
  </si>
  <si>
    <t>Chi phí bốc đất tầng phủ: (VND/m3)</t>
  </si>
  <si>
    <t>Cơ cấu chi phí:</t>
  </si>
  <si>
    <t>2018F</t>
  </si>
  <si>
    <t>Thường Tân</t>
  </si>
  <si>
    <t>Núi Gió</t>
  </si>
  <si>
    <t>Tân Cang</t>
  </si>
  <si>
    <t>Thạnh Phú</t>
  </si>
  <si>
    <t>Accummulate Depreciation</t>
  </si>
  <si>
    <t>Tangible fixed assets</t>
  </si>
  <si>
    <t xml:space="preserve">   Beginning tangible fixed assets</t>
  </si>
  <si>
    <t xml:space="preserve">   Purchasing in year</t>
  </si>
  <si>
    <t xml:space="preserve">   Tranfer from construction in progress</t>
  </si>
  <si>
    <t xml:space="preserve">   Others increase</t>
  </si>
  <si>
    <t xml:space="preserve">   Others decrease</t>
  </si>
  <si>
    <t xml:space="preserve">   Ending tangible fixed assets</t>
  </si>
  <si>
    <t>Intangible fixed assets</t>
  </si>
  <si>
    <t xml:space="preserve">   Beginning intangible fixed assets</t>
  </si>
  <si>
    <t xml:space="preserve">   Ending intangible fixed assets</t>
  </si>
  <si>
    <t>Construction in progress</t>
  </si>
  <si>
    <t xml:space="preserve">   Beginning CPI</t>
  </si>
  <si>
    <t xml:space="preserve">   Increasing CPI in year</t>
  </si>
  <si>
    <t xml:space="preserve">  Transfer to fix assets</t>
  </si>
  <si>
    <t xml:space="preserve">   Ending CPI</t>
  </si>
  <si>
    <t xml:space="preserve">Total capital investment </t>
  </si>
  <si>
    <t>Capacity</t>
  </si>
  <si>
    <t>Construction period</t>
  </si>
  <si>
    <t>Completion</t>
  </si>
  <si>
    <t>Mỏ Tân Cang</t>
  </si>
  <si>
    <t>Mỏ</t>
  </si>
  <si>
    <t>Máy móc thiết bị</t>
  </si>
  <si>
    <t>Mỏ Núi gió</t>
  </si>
  <si>
    <t xml:space="preserve">Mỏ </t>
  </si>
  <si>
    <t xml:space="preserve">   Đầu tư ngắn hạn khác</t>
  </si>
  <si>
    <t>Mỏ Thạnh Phú</t>
  </si>
  <si>
    <t>KSB</t>
  </si>
  <si>
    <t>NNC</t>
  </si>
  <si>
    <t>C32</t>
  </si>
  <si>
    <t>2011 - 2013</t>
  </si>
  <si>
    <t>Mỏ mới</t>
  </si>
  <si>
    <t xml:space="preserve">Mỏ Núi Gió </t>
  </si>
  <si>
    <t>Lợi nhuận gộp các mỏ</t>
  </si>
  <si>
    <t xml:space="preserve">Tổng lợi nhuận gộp từ các mỏ </t>
  </si>
  <si>
    <t>Chênh lệch</t>
  </si>
  <si>
    <t>2019F</t>
  </si>
  <si>
    <t>Tang chi phi boc dat tang phu</t>
  </si>
  <si>
    <t>Giá bán (VND/m3)</t>
  </si>
  <si>
    <t>Doanh thu (triệu đồng)</t>
  </si>
  <si>
    <t>Lợi nhuận (triệu đồng)</t>
  </si>
  <si>
    <t>Lợi nhuận</t>
  </si>
  <si>
    <t>Tháng 1 +2/ 2015</t>
  </si>
  <si>
    <t>Danh mục</t>
  </si>
  <si>
    <t>Đơn vị tính</t>
  </si>
  <si>
    <t>Tháng 1,2/ 2014</t>
  </si>
  <si>
    <t>Tháng 1 +2/2015</t>
  </si>
  <si>
    <t>Tăng trưởng</t>
  </si>
  <si>
    <t xml:space="preserve">Tổng sản lượng tiêu thụ các loại đá </t>
  </si>
  <si>
    <t>Tổng LNTT</t>
  </si>
  <si>
    <t>Tỷ suất LN/DT</t>
  </si>
  <si>
    <t>Mỏ đá Tân Cang 3</t>
  </si>
  <si>
    <t>Mỏ đá Thường Tân</t>
  </si>
  <si>
    <t>Mỏ đá Núi Gió</t>
  </si>
  <si>
    <t>Tổng doanh thu thực hiện toàn công ty</t>
  </si>
  <si>
    <t>Tổng LN trước thuế toàn công ty</t>
  </si>
  <si>
    <t>m3</t>
  </si>
  <si>
    <t>tỷ đồng</t>
  </si>
  <si>
    <t>Mỏ đá Thạnh Phú</t>
  </si>
  <si>
    <t>2020F</t>
  </si>
  <si>
    <r>
      <t>Tỷ VND</t>
    </r>
    <r>
      <rPr>
        <sz val="11"/>
        <color rgb="FF000000"/>
        <rFont val="Calibri"/>
        <family val="2"/>
      </rPr>
      <t xml:space="preserve"> </t>
    </r>
  </si>
  <si>
    <t xml:space="preserve">% </t>
  </si>
  <si>
    <r>
      <t>EBITDA</t>
    </r>
    <r>
      <rPr>
        <sz val="11"/>
        <color rgb="FF000000"/>
        <rFont val="Calibri"/>
        <family val="2"/>
      </rPr>
      <t xml:space="preserve"> </t>
    </r>
  </si>
  <si>
    <r>
      <t>EBIT</t>
    </r>
    <r>
      <rPr>
        <sz val="11"/>
        <color rgb="FF000000"/>
        <rFont val="Calibri"/>
        <family val="2"/>
      </rPr>
      <t xml:space="preserve"> </t>
    </r>
  </si>
  <si>
    <r>
      <t>EPS</t>
    </r>
    <r>
      <rPr>
        <sz val="11"/>
        <color rgb="FF000000"/>
        <rFont val="Calibri"/>
        <family val="2"/>
      </rPr>
      <t xml:space="preserve"> </t>
    </r>
  </si>
  <si>
    <r>
      <t>VND</t>
    </r>
    <r>
      <rPr>
        <sz val="11"/>
        <color rgb="FF000000"/>
        <rFont val="Calibri"/>
        <family val="2"/>
      </rPr>
      <t xml:space="preserve"> </t>
    </r>
  </si>
  <si>
    <r>
      <t>P/E</t>
    </r>
    <r>
      <rPr>
        <sz val="11"/>
        <color rgb="FF000000"/>
        <rFont val="Calibri"/>
        <family val="2"/>
      </rPr>
      <t xml:space="preserve"> </t>
    </r>
  </si>
  <si>
    <r>
      <t>x</t>
    </r>
    <r>
      <rPr>
        <sz val="11"/>
        <color rgb="FF000000"/>
        <rFont val="Calibri"/>
        <family val="2"/>
      </rPr>
      <t xml:space="preserve"> </t>
    </r>
  </si>
  <si>
    <r>
      <t>P/B</t>
    </r>
    <r>
      <rPr>
        <sz val="11"/>
        <color rgb="FF000000"/>
        <rFont val="Calibri"/>
        <family val="2"/>
      </rPr>
      <t xml:space="preserve"> </t>
    </r>
  </si>
  <si>
    <r>
      <t xml:space="preserve">  0,7 </t>
    </r>
    <r>
      <rPr>
        <sz val="11"/>
        <color rgb="FF000000"/>
        <rFont val="Calibri"/>
        <family val="2"/>
      </rPr>
      <t xml:space="preserve"> </t>
    </r>
  </si>
  <si>
    <r>
      <t xml:space="preserve"> 0,6 </t>
    </r>
    <r>
      <rPr>
        <sz val="11"/>
        <color rgb="FF000000"/>
        <rFont val="Calibri"/>
        <family val="2"/>
      </rPr>
      <t xml:space="preserve"> </t>
    </r>
  </si>
  <si>
    <r>
      <t>ROA</t>
    </r>
    <r>
      <rPr>
        <sz val="11"/>
        <color rgb="FF000000"/>
        <rFont val="Calibri"/>
        <family val="2"/>
      </rPr>
      <t xml:space="preserve"> </t>
    </r>
  </si>
  <si>
    <r>
      <t>%</t>
    </r>
    <r>
      <rPr>
        <sz val="11"/>
        <color rgb="FF000000"/>
        <rFont val="Calibri"/>
        <family val="2"/>
      </rPr>
      <t xml:space="preserve"> </t>
    </r>
  </si>
  <si>
    <r>
      <t>ROE</t>
    </r>
    <r>
      <rPr>
        <sz val="11"/>
        <color rgb="FF000000"/>
        <rFont val="Calibri"/>
        <family val="2"/>
      </rPr>
      <t xml:space="preserve"> </t>
    </r>
  </si>
  <si>
    <t>Chi phí</t>
  </si>
  <si>
    <t xml:space="preserve">Mỏ Thạnh Phú </t>
  </si>
  <si>
    <t xml:space="preserve">Mỏ Tân Cang </t>
  </si>
  <si>
    <t>Bốc đá tầng phủ</t>
  </si>
  <si>
    <t>Khoan nổ mìn</t>
  </si>
  <si>
    <t xml:space="preserve">   + Đá 1x2</t>
  </si>
  <si>
    <t xml:space="preserve">   + Đá 0x2.5</t>
  </si>
  <si>
    <t xml:space="preserve">   + Đá 0x4</t>
  </si>
  <si>
    <t xml:space="preserve">   + Đá 4x6, 5x7</t>
  </si>
  <si>
    <t>Xử lý đá quá cỡ</t>
  </si>
  <si>
    <t>Xúc đá hỗ hợp</t>
  </si>
  <si>
    <t>Vận chuyển đá hỗn hợp</t>
  </si>
  <si>
    <t>Nghiền sàn đá</t>
  </si>
  <si>
    <t>Xúc đá thành phẩm</t>
  </si>
  <si>
    <t>Độ dày lớp đất tầng phủ</t>
  </si>
  <si>
    <t xml:space="preserve">   Thạnh Phú</t>
  </si>
  <si>
    <t xml:space="preserve">   Tân Cang</t>
  </si>
  <si>
    <t xml:space="preserve">   Núi Gió</t>
  </si>
  <si>
    <t>Lợi nhuận gộp biên</t>
  </si>
  <si>
    <t>LNTT</t>
  </si>
  <si>
    <t>LNST</t>
  </si>
  <si>
    <t>Sản lượng tiêu thụ (m3)</t>
  </si>
  <si>
    <t>Doanh thu (tr VND)</t>
  </si>
  <si>
    <t>% growth</t>
  </si>
  <si>
    <t xml:space="preserve">Lợi nhuận các mỏ </t>
  </si>
  <si>
    <t>Lợi nhuận tài chính</t>
  </si>
  <si>
    <t>Lợi nhuận trước thuế</t>
  </si>
  <si>
    <t>Lợi nhuận sau thuế</t>
  </si>
  <si>
    <t>Sản lượng tiêu thụ</t>
  </si>
  <si>
    <t xml:space="preserve">Mỏ Hóa An </t>
  </si>
  <si>
    <t>Triệu VND</t>
  </si>
  <si>
    <t>Present value</t>
  </si>
  <si>
    <t>Value companies</t>
  </si>
  <si>
    <t>Current liabilities</t>
  </si>
  <si>
    <t>The present value equity, cash, short-term investments</t>
  </si>
  <si>
    <t>Value per share</t>
  </si>
  <si>
    <t>Terminal value in 2019</t>
  </si>
  <si>
    <t>Hoa An stone quarries</t>
  </si>
  <si>
    <t>Reserves</t>
  </si>
  <si>
    <t>Design capacity (m3 / year)</t>
  </si>
  <si>
    <t>Time exploitation</t>
  </si>
  <si>
    <t>Quantity</t>
  </si>
  <si>
    <t>Average selling price</t>
  </si>
  <si>
    <t>Output growth</t>
  </si>
  <si>
    <t>Growth rates</t>
  </si>
  <si>
    <t>Mine Thuong Tan</t>
  </si>
  <si>
    <t>Cumulative output</t>
  </si>
  <si>
    <t>Nui Wind</t>
  </si>
  <si>
    <t>Tan Cang mine 3</t>
  </si>
  <si>
    <t>Thanh Phu 2 mines</t>
  </si>
  <si>
    <t>Split by rocks</t>
  </si>
  <si>
    <t>Stone 1x1, 1x2 rock</t>
  </si>
  <si>
    <t>Total production under rocks</t>
  </si>
  <si>
    <t>total revenue</t>
  </si>
  <si>
    <t>Expenses for capital construction investment</t>
  </si>
  <si>
    <t>Increase the revenue</t>
  </si>
  <si>
    <t>Growth capital expenditures</t>
  </si>
  <si>
    <t>The remaining reserve</t>
  </si>
  <si>
    <t>Production, revenue, average selling price of mine over the years</t>
  </si>
  <si>
    <t>DCF</t>
  </si>
  <si>
    <t>B25</t>
  </si>
  <si>
    <t>Assump Revenue</t>
  </si>
  <si>
    <t>Cell</t>
  </si>
  <si>
    <t>O9</t>
  </si>
  <si>
    <t>O16</t>
  </si>
  <si>
    <t>O30</t>
  </si>
  <si>
    <t>and next following years</t>
  </si>
  <si>
    <t>O39</t>
  </si>
  <si>
    <t>O31</t>
  </si>
  <si>
    <t>Price Growth rates</t>
  </si>
  <si>
    <t>O40</t>
  </si>
  <si>
    <t>O48</t>
  </si>
  <si>
    <t>O47</t>
  </si>
  <si>
    <t>% values</t>
  </si>
  <si>
    <t>Consumption norms of explosives (kg / m3)</t>
  </si>
  <si>
    <t>Prices average explosives</t>
  </si>
  <si>
    <t>% Appreciation of explosives</t>
  </si>
  <si>
    <t>% Of the cost of input materials</t>
  </si>
  <si>
    <t>% Salary increase labor</t>
  </si>
  <si>
    <t>Royalties environment</t>
  </si>
  <si>
    <t>K factor</t>
  </si>
  <si>
    <t>% Grant money to fund mining</t>
  </si>
  <si>
    <t>Cost of raw material</t>
  </si>
  <si>
    <t>Labor costs</t>
  </si>
  <si>
    <t>General production costs</t>
  </si>
  <si>
    <t>  + Loading and land cover expenses</t>
  </si>
  <si>
    <t>  + The move into CPSXKD</t>
  </si>
  <si>
    <t>Cost mining rights</t>
  </si>
  <si>
    <t>I40</t>
  </si>
  <si>
    <t>*1.05</t>
  </si>
  <si>
    <t>H6 - M9</t>
  </si>
  <si>
    <t>H39</t>
  </si>
  <si>
    <t>H40</t>
  </si>
  <si>
    <t>*1.01</t>
  </si>
  <si>
    <t>B24</t>
  </si>
  <si>
    <t>Constant?</t>
  </si>
  <si>
    <t>H43</t>
  </si>
  <si>
    <t>*11</t>
  </si>
  <si>
    <t>B10</t>
  </si>
  <si>
    <t>B11</t>
  </si>
  <si>
    <t>B12</t>
  </si>
  <si>
    <t xml:space="preserve">Assump-F </t>
  </si>
  <si>
    <t>C34</t>
  </si>
  <si>
    <t>C35</t>
  </si>
  <si>
    <t>K8</t>
  </si>
  <si>
    <t>PL&amp;BS Projection</t>
  </si>
  <si>
    <t>G15</t>
  </si>
  <si>
    <t>H15</t>
  </si>
  <si>
    <t>K6</t>
  </si>
  <si>
    <t>K7</t>
  </si>
  <si>
    <t>and next following years if changes</t>
  </si>
  <si>
    <t>K18</t>
  </si>
  <si>
    <t>G30</t>
  </si>
  <si>
    <t>K22-K25</t>
  </si>
  <si>
    <t>Possible problem</t>
  </si>
  <si>
    <t>B18 : B25</t>
  </si>
  <si>
    <t>Some might change over time. This is an ipomortant factor!</t>
  </si>
  <si>
    <t>!!!</t>
  </si>
  <si>
    <t>Mining area (ha)</t>
  </si>
  <si>
    <t>Soil cover depth (m)</t>
  </si>
  <si>
    <t>total cost</t>
  </si>
</sst>
</file>

<file path=xl/styles.xml><?xml version="1.0" encoding="utf-8"?>
<styleSheet xmlns="http://schemas.openxmlformats.org/spreadsheetml/2006/main">
  <numFmts count="8">
    <numFmt numFmtId="43" formatCode="_(* #,##0.00_);_(* \(#,##0.00\);_(* &quot;-&quot;??_);_(@_)"/>
    <numFmt numFmtId="164" formatCode="0.0%"/>
    <numFmt numFmtId="165" formatCode="_(* #,##0_);_(* \(#,##0\);_(* &quot;-&quot;??_);_(@_)"/>
    <numFmt numFmtId="166" formatCode="###,###"/>
    <numFmt numFmtId="167" formatCode="_(* #,##0.0_);_(* \(#,##0.0\);_(* &quot;-&quot;??_);_(@_)"/>
    <numFmt numFmtId="168" formatCode="#,###.00,"/>
    <numFmt numFmtId="169" formatCode="0.000"/>
    <numFmt numFmtId="170" formatCode="0.00000%"/>
  </numFmts>
  <fonts count="79">
    <font>
      <sz val="11"/>
      <color theme="1"/>
      <name val="Calibri"/>
      <family val="2"/>
      <scheme val="minor"/>
    </font>
    <font>
      <sz val="11"/>
      <color theme="1"/>
      <name val="Calibri"/>
      <family val="2"/>
      <scheme val="minor"/>
    </font>
    <font>
      <sz val="10"/>
      <color theme="1"/>
      <name val="Arial"/>
      <family val="2"/>
    </font>
    <font>
      <b/>
      <sz val="10"/>
      <color rgb="FF0070C0"/>
      <name val="Arial"/>
      <family val="2"/>
    </font>
    <font>
      <b/>
      <sz val="10"/>
      <name val="Arial"/>
      <family val="2"/>
    </font>
    <font>
      <b/>
      <sz val="10"/>
      <color theme="1"/>
      <name val="Arial"/>
      <family val="2"/>
    </font>
    <font>
      <sz val="10"/>
      <name val="Arial"/>
      <family val="2"/>
    </font>
    <font>
      <b/>
      <sz val="9"/>
      <color rgb="FF0070C0"/>
      <name val="Arial"/>
      <family val="2"/>
    </font>
    <font>
      <sz val="9"/>
      <color theme="1"/>
      <name val="Arial"/>
      <family val="2"/>
    </font>
    <font>
      <sz val="9"/>
      <name val="Arial"/>
      <family val="2"/>
    </font>
    <font>
      <u/>
      <sz val="10"/>
      <color indexed="12"/>
      <name val="Arial"/>
      <family val="2"/>
    </font>
    <font>
      <i/>
      <sz val="10"/>
      <name val="Arial"/>
      <family val="2"/>
    </font>
    <font>
      <b/>
      <sz val="9"/>
      <color rgb="FF000099"/>
      <name val="Arial"/>
      <family val="2"/>
    </font>
    <font>
      <b/>
      <sz val="9"/>
      <color theme="1"/>
      <name val="Arial"/>
      <family val="2"/>
    </font>
    <font>
      <b/>
      <sz val="9"/>
      <name val="Arial"/>
      <family val="2"/>
    </font>
    <font>
      <b/>
      <sz val="9"/>
      <color theme="0"/>
      <name val="Arial"/>
      <family val="2"/>
    </font>
    <font>
      <sz val="10.5"/>
      <color theme="1"/>
      <name val="Times New Roman"/>
      <family val="2"/>
    </font>
    <font>
      <b/>
      <sz val="14"/>
      <color rgb="FF000000"/>
      <name val="Verdana"/>
      <family val="2"/>
    </font>
    <font>
      <b/>
      <sz val="9"/>
      <color rgb="FF000000"/>
      <name val="Verdana"/>
      <family val="2"/>
    </font>
    <font>
      <sz val="9"/>
      <color rgb="FF000000"/>
      <name val="Verdana"/>
      <family val="2"/>
    </font>
    <font>
      <b/>
      <sz val="8"/>
      <color indexed="56"/>
      <name val="Arial"/>
      <family val="2"/>
    </font>
    <font>
      <sz val="8"/>
      <color indexed="56"/>
      <name val="Arial"/>
      <family val="2"/>
    </font>
    <font>
      <b/>
      <sz val="8"/>
      <color indexed="9"/>
      <name val="Arial"/>
      <family val="2"/>
    </font>
    <font>
      <sz val="8"/>
      <color indexed="9"/>
      <name val="Arial"/>
      <family val="2"/>
    </font>
    <font>
      <b/>
      <sz val="8"/>
      <color rgb="FF002060"/>
      <name val="Arial"/>
      <family val="2"/>
    </font>
    <font>
      <b/>
      <sz val="8"/>
      <color theme="0"/>
      <name val="Arial"/>
      <family val="2"/>
    </font>
    <font>
      <sz val="8"/>
      <color rgb="FF002060"/>
      <name val="Arial"/>
      <family val="2"/>
    </font>
    <font>
      <sz val="8"/>
      <color theme="0"/>
      <name val="Arial"/>
      <family val="2"/>
    </font>
    <font>
      <i/>
      <sz val="8"/>
      <color indexed="56"/>
      <name val="Arial"/>
      <family val="2"/>
    </font>
    <font>
      <i/>
      <sz val="8"/>
      <color rgb="FF002060"/>
      <name val="Arial"/>
      <family val="2"/>
    </font>
    <font>
      <i/>
      <sz val="8"/>
      <color theme="0"/>
      <name val="Arial"/>
      <family val="2"/>
    </font>
    <font>
      <b/>
      <sz val="10"/>
      <color indexed="56"/>
      <name val="Arial"/>
      <family val="2"/>
    </font>
    <font>
      <sz val="8"/>
      <color rgb="FFC00000"/>
      <name val="Arial"/>
      <family val="2"/>
    </font>
    <font>
      <b/>
      <sz val="8"/>
      <color rgb="FFC0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1"/>
      <color theme="1"/>
      <name val="Times New Roman"/>
      <family val="1"/>
    </font>
    <font>
      <sz val="9"/>
      <color rgb="FFC00000"/>
      <name val="Arial"/>
      <family val="2"/>
    </font>
    <font>
      <b/>
      <sz val="9"/>
      <color rgb="FFC00000"/>
      <name val="Arial"/>
      <family val="2"/>
    </font>
    <font>
      <sz val="9"/>
      <color rgb="FF0070C0"/>
      <name val="Arial"/>
      <family val="2"/>
    </font>
    <font>
      <sz val="8"/>
      <color indexed="81"/>
      <name val="Tahoma"/>
      <family val="2"/>
    </font>
    <font>
      <b/>
      <sz val="8"/>
      <color indexed="81"/>
      <name val="Tahoma"/>
      <family val="2"/>
    </font>
    <font>
      <sz val="9"/>
      <color theme="0"/>
      <name val="Arial"/>
      <family val="2"/>
    </font>
    <font>
      <b/>
      <u/>
      <sz val="10"/>
      <name val="Arial"/>
      <family val="2"/>
    </font>
    <font>
      <sz val="9"/>
      <color rgb="FFFF0000"/>
      <name val="Arial"/>
      <family val="2"/>
    </font>
    <font>
      <b/>
      <sz val="9"/>
      <color rgb="FFFF0000"/>
      <name val="Arial"/>
      <family val="2"/>
    </font>
    <font>
      <sz val="9"/>
      <color rgb="FF000000"/>
      <name val="Arial"/>
      <family val="2"/>
    </font>
    <font>
      <b/>
      <sz val="8"/>
      <name val="Arial"/>
      <family val="2"/>
    </font>
    <font>
      <sz val="10"/>
      <color theme="1"/>
      <name val="Times New Roman"/>
      <family val="1"/>
    </font>
    <font>
      <sz val="10"/>
      <color theme="1"/>
      <name val="Calibri"/>
      <family val="2"/>
      <scheme val="minor"/>
    </font>
    <font>
      <b/>
      <sz val="11"/>
      <color theme="1"/>
      <name val="Times New Roman"/>
      <family val="1"/>
    </font>
    <font>
      <b/>
      <sz val="10"/>
      <color theme="1"/>
      <name val="Calibri"/>
      <family val="2"/>
      <scheme val="minor"/>
    </font>
    <font>
      <b/>
      <sz val="9"/>
      <color indexed="81"/>
      <name val="Tahoma"/>
      <family val="2"/>
    </font>
    <font>
      <b/>
      <i/>
      <sz val="9"/>
      <color theme="1"/>
      <name val="Arial"/>
      <family val="2"/>
    </font>
    <font>
      <i/>
      <sz val="9"/>
      <color theme="1"/>
      <name val="Arial"/>
      <family val="2"/>
    </font>
    <font>
      <sz val="9"/>
      <color indexed="81"/>
      <name val="Tahoma"/>
      <family val="2"/>
    </font>
    <font>
      <sz val="9"/>
      <color rgb="FFFFFFFF"/>
      <name val="Arial"/>
      <family val="2"/>
    </font>
    <font>
      <b/>
      <sz val="9"/>
      <color rgb="FFFFFFFF"/>
      <name val="Arial"/>
      <family val="2"/>
    </font>
    <font>
      <sz val="11"/>
      <color rgb="FF000000"/>
      <name val="Calibri"/>
      <family val="2"/>
    </font>
    <font>
      <sz val="9"/>
      <color rgb="FF000000"/>
      <name val="Arial"/>
      <family val="2"/>
    </font>
    <font>
      <sz val="10"/>
      <color rgb="FF000000"/>
      <name val="Arial"/>
      <family val="2"/>
    </font>
    <font>
      <b/>
      <sz val="9"/>
      <color rgb="FF000000"/>
      <name val="Arial"/>
      <family val="2"/>
    </font>
    <font>
      <sz val="9"/>
      <color indexed="81"/>
      <name val="Tahoma"/>
      <charset val="1"/>
    </font>
    <font>
      <b/>
      <sz val="9"/>
      <color indexed="81"/>
      <name val="Tahoma"/>
      <charset val="1"/>
    </font>
  </fonts>
  <fills count="51">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bgColor indexed="64"/>
      </patternFill>
    </fill>
    <fill>
      <patternFill patternType="solid">
        <fgColor rgb="FFD3D3D3"/>
        <bgColor indexed="64"/>
      </patternFill>
    </fill>
    <fill>
      <patternFill patternType="solid">
        <fgColor indexed="9"/>
        <bgColor indexed="64"/>
      </patternFill>
    </fill>
    <fill>
      <patternFill patternType="solid">
        <fgColor theme="0"/>
        <bgColor indexed="64"/>
      </patternFill>
    </fill>
    <fill>
      <patternFill patternType="solid">
        <fgColor theme="3"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499984740745262"/>
        <bgColor indexed="64"/>
      </patternFill>
    </fill>
    <fill>
      <patternFill patternType="solid">
        <fgColor rgb="FFF2F2F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right/>
      <top/>
      <bottom style="thin">
        <color theme="1"/>
      </bottom>
      <diagonal/>
    </border>
    <border>
      <left/>
      <right/>
      <top style="thin">
        <color theme="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indexed="64"/>
      </left>
      <right style="dashed">
        <color indexed="64"/>
      </right>
      <top style="dashed">
        <color indexed="64"/>
      </top>
      <bottom style="dashed">
        <color indexed="64"/>
      </bottom>
      <diagonal/>
    </border>
    <border>
      <left/>
      <right/>
      <top/>
      <bottom style="medium">
        <color auto="1"/>
      </bottom>
      <diagonal/>
    </border>
    <border>
      <left/>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style="thin">
        <color indexed="64"/>
      </right>
      <top/>
      <bottom style="medium">
        <color auto="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0">
    <xf numFmtId="0" fontId="0" fillId="0" borderId="0"/>
    <xf numFmtId="9" fontId="1" fillId="0" borderId="0" applyFont="0" applyFill="0" applyBorder="0" applyAlignment="0" applyProtection="0"/>
    <xf numFmtId="43" fontId="1" fillId="0" borderId="0" applyFont="0" applyFill="0" applyBorder="0" applyAlignment="0" applyProtection="0"/>
    <xf numFmtId="0" fontId="10" fillId="0" borderId="0" applyNumberForma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16" fillId="0" borderId="0"/>
    <xf numFmtId="0" fontId="34" fillId="0" borderId="0" applyNumberFormat="0" applyFill="0" applyBorder="0" applyAlignment="0" applyProtection="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0" borderId="0" applyNumberFormat="0" applyBorder="0" applyAlignment="0" applyProtection="0"/>
    <xf numFmtId="0" fontId="39" fillId="11" borderId="0" applyNumberFormat="0" applyBorder="0" applyAlignment="0" applyProtection="0"/>
    <xf numFmtId="0" fontId="40" fillId="12" borderId="0" applyNumberFormat="0" applyBorder="0" applyAlignment="0" applyProtection="0"/>
    <xf numFmtId="0" fontId="41" fillId="13" borderId="24" applyNumberFormat="0" applyAlignment="0" applyProtection="0"/>
    <xf numFmtId="0" fontId="42" fillId="14" borderId="25" applyNumberFormat="0" applyAlignment="0" applyProtection="0"/>
    <xf numFmtId="0" fontId="43" fillId="14" borderId="24" applyNumberFormat="0" applyAlignment="0" applyProtection="0"/>
    <xf numFmtId="0" fontId="44" fillId="0" borderId="26" applyNumberFormat="0" applyFill="0" applyAlignment="0" applyProtection="0"/>
    <xf numFmtId="0" fontId="45" fillId="15" borderId="27" applyNumberFormat="0" applyAlignment="0" applyProtection="0"/>
    <xf numFmtId="0" fontId="46" fillId="0" borderId="0" applyNumberFormat="0" applyFill="0" applyBorder="0" applyAlignment="0" applyProtection="0"/>
    <xf numFmtId="0" fontId="1" fillId="16" borderId="28" applyNumberFormat="0" applyFont="0" applyAlignment="0" applyProtection="0"/>
    <xf numFmtId="0" fontId="47" fillId="0" borderId="0" applyNumberFormat="0" applyFill="0" applyBorder="0" applyAlignment="0" applyProtection="0"/>
    <xf numFmtId="0" fontId="48" fillId="0" borderId="29" applyNumberFormat="0" applyFill="0" applyAlignment="0" applyProtection="0"/>
    <xf numFmtId="0" fontId="4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9" fillId="20" borderId="0" applyNumberFormat="0" applyBorder="0" applyAlignment="0" applyProtection="0"/>
    <xf numFmtId="0" fontId="4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9" fillId="24" borderId="0" applyNumberFormat="0" applyBorder="0" applyAlignment="0" applyProtection="0"/>
    <xf numFmtId="0" fontId="4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9" fillId="28" borderId="0" applyNumberFormat="0" applyBorder="0" applyAlignment="0" applyProtection="0"/>
    <xf numFmtId="0" fontId="4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9" fillId="32" borderId="0" applyNumberFormat="0" applyBorder="0" applyAlignment="0" applyProtection="0"/>
    <xf numFmtId="0" fontId="49"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9" fillId="36" borderId="0" applyNumberFormat="0" applyBorder="0" applyAlignment="0" applyProtection="0"/>
    <xf numFmtId="0" fontId="49"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9" fillId="40" borderId="0" applyNumberFormat="0" applyBorder="0" applyAlignment="0" applyProtection="0"/>
  </cellStyleXfs>
  <cellXfs count="655">
    <xf numFmtId="0" fontId="0" fillId="0" borderId="0" xfId="0"/>
    <xf numFmtId="0" fontId="2" fillId="0" borderId="0" xfId="0" applyFont="1"/>
    <xf numFmtId="0" fontId="2" fillId="0" borderId="0" xfId="0" applyFont="1" applyBorder="1"/>
    <xf numFmtId="0" fontId="2" fillId="0" borderId="5" xfId="0" applyFont="1" applyBorder="1"/>
    <xf numFmtId="0" fontId="2" fillId="0" borderId="7" xfId="0" applyFont="1" applyBorder="1"/>
    <xf numFmtId="0" fontId="2" fillId="0" borderId="8" xfId="0" applyFont="1" applyBorder="1"/>
    <xf numFmtId="0" fontId="2" fillId="0" borderId="6" xfId="0" applyFont="1" applyBorder="1"/>
    <xf numFmtId="0" fontId="6" fillId="0" borderId="5" xfId="0" applyFont="1" applyBorder="1"/>
    <xf numFmtId="10" fontId="7" fillId="0" borderId="6" xfId="0" applyNumberFormat="1" applyFont="1" applyBorder="1"/>
    <xf numFmtId="10" fontId="7" fillId="0" borderId="6" xfId="1" applyNumberFormat="1" applyFont="1" applyBorder="1"/>
    <xf numFmtId="10" fontId="7" fillId="0" borderId="9" xfId="1" applyNumberFormat="1" applyFont="1" applyBorder="1"/>
    <xf numFmtId="0" fontId="9" fillId="0" borderId="6" xfId="0" applyFont="1" applyFill="1" applyBorder="1"/>
    <xf numFmtId="10" fontId="9" fillId="0" borderId="6" xfId="0" applyNumberFormat="1" applyFont="1" applyFill="1" applyBorder="1"/>
    <xf numFmtId="10" fontId="9" fillId="0" borderId="15" xfId="0" applyNumberFormat="1" applyFont="1" applyFill="1" applyBorder="1"/>
    <xf numFmtId="0" fontId="8" fillId="0" borderId="18" xfId="0" applyFont="1" applyBorder="1"/>
    <xf numFmtId="1" fontId="9" fillId="0" borderId="6" xfId="1" applyNumberFormat="1" applyFont="1" applyFill="1" applyBorder="1"/>
    <xf numFmtId="10" fontId="9" fillId="0" borderId="6" xfId="1" applyNumberFormat="1" applyFont="1" applyFill="1" applyBorder="1"/>
    <xf numFmtId="10" fontId="7" fillId="0" borderId="6" xfId="1" applyNumberFormat="1" applyFont="1" applyFill="1" applyBorder="1"/>
    <xf numFmtId="1" fontId="7" fillId="0" borderId="6" xfId="1" applyNumberFormat="1" applyFont="1" applyFill="1" applyBorder="1"/>
    <xf numFmtId="10" fontId="7" fillId="0" borderId="15" xfId="1" applyNumberFormat="1" applyFont="1" applyFill="1" applyBorder="1"/>
    <xf numFmtId="0" fontId="8" fillId="0" borderId="6" xfId="0" applyFont="1" applyFill="1" applyBorder="1"/>
    <xf numFmtId="10" fontId="9" fillId="0" borderId="9" xfId="1" applyNumberFormat="1" applyFont="1" applyFill="1" applyBorder="1"/>
    <xf numFmtId="0" fontId="6" fillId="0" borderId="0" xfId="0" applyFont="1"/>
    <xf numFmtId="0" fontId="6" fillId="0" borderId="0" xfId="0" applyFont="1" applyBorder="1"/>
    <xf numFmtId="0" fontId="6" fillId="0" borderId="7" xfId="0" applyFont="1" applyBorder="1"/>
    <xf numFmtId="0" fontId="2" fillId="0" borderId="9" xfId="0" applyFont="1" applyBorder="1"/>
    <xf numFmtId="0" fontId="6" fillId="0" borderId="2" xfId="0" applyFont="1" applyBorder="1"/>
    <xf numFmtId="0" fontId="6" fillId="0" borderId="5" xfId="0" applyFont="1" applyBorder="1" applyAlignment="1">
      <alignment horizontal="center"/>
    </xf>
    <xf numFmtId="0" fontId="11" fillId="0" borderId="6" xfId="0" applyFont="1" applyBorder="1" applyAlignment="1">
      <alignment horizontal="center"/>
    </xf>
    <xf numFmtId="0" fontId="6" fillId="0" borderId="7" xfId="0" applyFont="1" applyBorder="1" applyAlignment="1">
      <alignment horizontal="center"/>
    </xf>
    <xf numFmtId="0" fontId="6" fillId="0" borderId="0" xfId="0" applyFont="1" applyBorder="1" applyAlignment="1">
      <alignment horizontal="left"/>
    </xf>
    <xf numFmtId="0" fontId="6" fillId="0" borderId="8" xfId="0" applyFont="1" applyBorder="1" applyAlignment="1">
      <alignment horizontal="left"/>
    </xf>
    <xf numFmtId="0" fontId="2" fillId="0" borderId="5" xfId="0" applyFont="1" applyBorder="1" applyAlignment="1">
      <alignment horizontal="center"/>
    </xf>
    <xf numFmtId="0" fontId="4" fillId="0" borderId="5" xfId="0" applyFont="1" applyBorder="1" applyAlignment="1">
      <alignment horizontal="center"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5" fillId="0" borderId="0" xfId="0" applyFont="1"/>
    <xf numFmtId="0" fontId="3" fillId="0" borderId="0" xfId="0" applyFont="1"/>
    <xf numFmtId="0" fontId="13" fillId="0" borderId="0" xfId="0" applyFont="1" applyBorder="1"/>
    <xf numFmtId="0" fontId="8" fillId="0" borderId="0" xfId="0" applyFont="1" applyBorder="1"/>
    <xf numFmtId="0" fontId="14" fillId="0" borderId="0" xfId="0" applyFont="1" applyBorder="1"/>
    <xf numFmtId="164" fontId="8" fillId="0" borderId="0" xfId="1" applyNumberFormat="1" applyFont="1" applyBorder="1"/>
    <xf numFmtId="0" fontId="13" fillId="0" borderId="0" xfId="0" applyFont="1" applyFill="1" applyBorder="1" applyAlignment="1">
      <alignment horizontal="center"/>
    </xf>
    <xf numFmtId="0" fontId="8" fillId="0" borderId="5" xfId="0" applyFont="1" applyBorder="1"/>
    <xf numFmtId="165" fontId="8" fillId="0" borderId="6" xfId="2" applyNumberFormat="1" applyFont="1" applyBorder="1"/>
    <xf numFmtId="43" fontId="8" fillId="0" borderId="6" xfId="2" applyNumberFormat="1" applyFont="1" applyBorder="1"/>
    <xf numFmtId="43" fontId="8" fillId="0" borderId="6" xfId="2" applyFont="1" applyBorder="1"/>
    <xf numFmtId="10" fontId="8" fillId="0" borderId="6" xfId="0" applyNumberFormat="1" applyFont="1" applyBorder="1"/>
    <xf numFmtId="10" fontId="8" fillId="0" borderId="6" xfId="1" applyNumberFormat="1" applyFont="1" applyBorder="1"/>
    <xf numFmtId="0" fontId="9" fillId="0" borderId="5" xfId="0" applyFont="1" applyBorder="1"/>
    <xf numFmtId="43" fontId="8" fillId="0" borderId="9" xfId="2" applyFont="1" applyBorder="1"/>
    <xf numFmtId="165" fontId="8" fillId="0" borderId="0" xfId="0" applyNumberFormat="1" applyFont="1" applyBorder="1"/>
    <xf numFmtId="9" fontId="8" fillId="0" borderId="0" xfId="0" applyNumberFormat="1" applyFont="1" applyBorder="1"/>
    <xf numFmtId="164" fontId="8" fillId="0" borderId="0" xfId="0" applyNumberFormat="1" applyFont="1" applyBorder="1"/>
    <xf numFmtId="0" fontId="14" fillId="0" borderId="5" xfId="0" applyFont="1" applyBorder="1"/>
    <xf numFmtId="0" fontId="14" fillId="0" borderId="7" xfId="0" applyFont="1" applyBorder="1"/>
    <xf numFmtId="0" fontId="14" fillId="0" borderId="8" xfId="0" applyFont="1" applyBorder="1"/>
    <xf numFmtId="0" fontId="8" fillId="0" borderId="6" xfId="0" applyFont="1" applyBorder="1"/>
    <xf numFmtId="0" fontId="14" fillId="4" borderId="2" xfId="0" applyFont="1" applyFill="1" applyBorder="1"/>
    <xf numFmtId="0" fontId="8" fillId="0" borderId="0" xfId="0" applyFont="1"/>
    <xf numFmtId="0" fontId="14" fillId="4" borderId="3" xfId="0" applyFont="1" applyFill="1" applyBorder="1"/>
    <xf numFmtId="0" fontId="14" fillId="4" borderId="4" xfId="0" applyFont="1" applyFill="1" applyBorder="1"/>
    <xf numFmtId="0" fontId="8" fillId="0" borderId="8" xfId="0" applyFont="1" applyBorder="1"/>
    <xf numFmtId="0" fontId="8" fillId="0" borderId="9" xfId="0" applyFont="1" applyBorder="1"/>
    <xf numFmtId="0" fontId="15" fillId="0" borderId="0" xfId="0" applyFont="1" applyFill="1"/>
    <xf numFmtId="0" fontId="13" fillId="0" borderId="5" xfId="0" applyFont="1" applyFill="1" applyBorder="1"/>
    <xf numFmtId="0" fontId="8" fillId="0" borderId="7" xfId="0" applyFont="1" applyBorder="1"/>
    <xf numFmtId="37" fontId="20" fillId="0" borderId="0" xfId="7" applyNumberFormat="1" applyFont="1" applyFill="1" applyBorder="1" applyAlignment="1">
      <alignment horizontal="left" vertical="center"/>
    </xf>
    <xf numFmtId="37" fontId="21" fillId="0" borderId="0" xfId="7" applyNumberFormat="1" applyFont="1" applyFill="1" applyBorder="1" applyAlignment="1">
      <alignment horizontal="left" vertical="center"/>
    </xf>
    <xf numFmtId="37" fontId="21" fillId="7" borderId="0" xfId="7" applyNumberFormat="1" applyFont="1" applyFill="1" applyBorder="1" applyAlignment="1">
      <alignment horizontal="right" vertical="center"/>
    </xf>
    <xf numFmtId="37" fontId="21" fillId="8" borderId="0" xfId="7" applyNumberFormat="1" applyFont="1" applyFill="1" applyBorder="1" applyAlignment="1">
      <alignment horizontal="right" vertical="center"/>
    </xf>
    <xf numFmtId="9" fontId="21" fillId="0" borderId="0" xfId="1" applyFont="1" applyFill="1" applyBorder="1" applyAlignment="1">
      <alignment horizontal="left" vertical="center"/>
    </xf>
    <xf numFmtId="9" fontId="21" fillId="7" borderId="0" xfId="1" applyFont="1" applyFill="1" applyBorder="1" applyAlignment="1">
      <alignment horizontal="right" vertical="center"/>
    </xf>
    <xf numFmtId="0" fontId="21" fillId="0" borderId="0" xfId="7" applyFont="1" applyBorder="1" applyAlignment="1">
      <alignment vertical="center"/>
    </xf>
    <xf numFmtId="38" fontId="21" fillId="0" borderId="0" xfId="7" applyNumberFormat="1" applyFont="1" applyBorder="1" applyAlignment="1">
      <alignment horizontal="right" vertical="center"/>
    </xf>
    <xf numFmtId="9" fontId="20" fillId="0" borderId="0" xfId="1" applyFont="1" applyFill="1" applyBorder="1" applyAlignment="1">
      <alignment horizontal="right" vertical="center"/>
    </xf>
    <xf numFmtId="38" fontId="20" fillId="0" borderId="0" xfId="4" applyNumberFormat="1" applyFont="1" applyBorder="1" applyAlignment="1" applyProtection="1">
      <alignment horizontal="right" vertical="center"/>
      <protection locked="0" hidden="1"/>
    </xf>
    <xf numFmtId="0" fontId="20" fillId="7" borderId="0" xfId="7" applyNumberFormat="1" applyFont="1" applyFill="1" applyBorder="1" applyAlignment="1">
      <alignment horizontal="right" vertical="center"/>
    </xf>
    <xf numFmtId="0" fontId="20" fillId="0" borderId="0" xfId="7" applyNumberFormat="1" applyFont="1" applyFill="1" applyBorder="1" applyAlignment="1">
      <alignment horizontal="right" vertical="center"/>
    </xf>
    <xf numFmtId="0" fontId="20" fillId="8" borderId="0" xfId="7" applyNumberFormat="1" applyFont="1" applyFill="1" applyBorder="1" applyAlignment="1">
      <alignment horizontal="right" vertical="center"/>
    </xf>
    <xf numFmtId="9" fontId="20" fillId="7" borderId="0" xfId="1" applyFont="1" applyFill="1" applyBorder="1" applyAlignment="1">
      <alignment horizontal="right" vertical="center"/>
    </xf>
    <xf numFmtId="0" fontId="20" fillId="0" borderId="0" xfId="7" applyNumberFormat="1" applyFont="1" applyBorder="1" applyAlignment="1">
      <alignment vertical="center"/>
    </xf>
    <xf numFmtId="0" fontId="23" fillId="7" borderId="0" xfId="7" applyFont="1" applyFill="1" applyBorder="1" applyAlignment="1">
      <alignment vertical="center"/>
    </xf>
    <xf numFmtId="0" fontId="22" fillId="8" borderId="0" xfId="8" applyFont="1" applyFill="1" applyAlignment="1">
      <alignment horizontal="right" vertical="center"/>
    </xf>
    <xf numFmtId="0" fontId="23" fillId="0" borderId="0" xfId="8" applyFont="1" applyAlignment="1">
      <alignment vertical="center"/>
    </xf>
    <xf numFmtId="38" fontId="20" fillId="7" borderId="0" xfId="4" applyNumberFormat="1" applyFont="1" applyFill="1" applyBorder="1" applyAlignment="1">
      <alignment horizontal="left" vertical="center"/>
    </xf>
    <xf numFmtId="0" fontId="25" fillId="7" borderId="0" xfId="7" applyFont="1" applyFill="1" applyBorder="1" applyAlignment="1" applyProtection="1">
      <alignment vertical="center"/>
      <protection hidden="1"/>
    </xf>
    <xf numFmtId="9" fontId="20" fillId="0" borderId="0" xfId="1" applyFont="1" applyBorder="1" applyAlignment="1" applyProtection="1">
      <alignment horizontal="right" vertical="center"/>
    </xf>
    <xf numFmtId="0" fontId="20" fillId="0" borderId="0" xfId="7" applyFont="1" applyBorder="1" applyAlignment="1">
      <alignment vertical="center"/>
    </xf>
    <xf numFmtId="38" fontId="21" fillId="7" borderId="0" xfId="4" applyNumberFormat="1" applyFont="1" applyFill="1" applyBorder="1" applyAlignment="1">
      <alignment horizontal="left" vertical="center"/>
    </xf>
    <xf numFmtId="38" fontId="21" fillId="0" borderId="0" xfId="4" applyNumberFormat="1" applyFont="1" applyBorder="1" applyAlignment="1" applyProtection="1">
      <alignment horizontal="right" vertical="center"/>
      <protection locked="0" hidden="1"/>
    </xf>
    <xf numFmtId="0" fontId="27" fillId="7" borderId="0" xfId="7" applyFont="1" applyFill="1" applyBorder="1" applyAlignment="1" applyProtection="1">
      <alignment vertical="center"/>
      <protection hidden="1"/>
    </xf>
    <xf numFmtId="0" fontId="21" fillId="8" borderId="0" xfId="7" applyFont="1" applyFill="1" applyBorder="1" applyAlignment="1">
      <alignment vertical="center"/>
    </xf>
    <xf numFmtId="9" fontId="21" fillId="7" borderId="0" xfId="1" applyFont="1" applyFill="1" applyBorder="1" applyAlignment="1">
      <alignment vertical="center"/>
    </xf>
    <xf numFmtId="9" fontId="27" fillId="7" borderId="0" xfId="1" applyFont="1" applyFill="1" applyBorder="1" applyAlignment="1" applyProtection="1">
      <alignment vertical="center"/>
      <protection hidden="1"/>
    </xf>
    <xf numFmtId="9" fontId="21" fillId="8" borderId="0" xfId="1" applyFont="1" applyFill="1" applyBorder="1" applyAlignment="1">
      <alignment vertical="center"/>
    </xf>
    <xf numFmtId="0" fontId="21" fillId="7" borderId="0" xfId="7" applyFont="1" applyFill="1" applyBorder="1" applyAlignment="1">
      <alignment vertical="center"/>
    </xf>
    <xf numFmtId="0" fontId="20" fillId="8" borderId="0" xfId="7" applyFont="1" applyFill="1" applyBorder="1" applyAlignment="1">
      <alignment vertical="center"/>
    </xf>
    <xf numFmtId="38" fontId="28" fillId="7" borderId="0" xfId="4" applyNumberFormat="1" applyFont="1" applyFill="1" applyBorder="1" applyAlignment="1">
      <alignment horizontal="left" vertical="center"/>
    </xf>
    <xf numFmtId="9" fontId="21" fillId="0" borderId="0" xfId="1" applyFont="1" applyFill="1" applyBorder="1" applyAlignment="1" applyProtection="1">
      <alignment horizontal="right" vertical="center"/>
    </xf>
    <xf numFmtId="0" fontId="21" fillId="7" borderId="0" xfId="7" applyFont="1" applyFill="1" applyBorder="1" applyAlignment="1">
      <alignment horizontal="left" vertical="center"/>
    </xf>
    <xf numFmtId="0" fontId="21" fillId="0" borderId="0" xfId="7" applyFont="1" applyBorder="1" applyAlignment="1">
      <alignment horizontal="left" vertical="center"/>
    </xf>
    <xf numFmtId="37" fontId="20" fillId="0" borderId="0" xfId="6" applyNumberFormat="1" applyFont="1" applyFill="1" applyBorder="1" applyAlignment="1" applyProtection="1">
      <alignment horizontal="right" vertical="center"/>
    </xf>
    <xf numFmtId="9" fontId="20" fillId="0" borderId="0" xfId="1" applyFont="1" applyFill="1" applyBorder="1" applyAlignment="1" applyProtection="1">
      <alignment horizontal="right" vertical="center"/>
    </xf>
    <xf numFmtId="38" fontId="23" fillId="7" borderId="0" xfId="7" applyNumberFormat="1" applyFont="1" applyFill="1" applyBorder="1" applyAlignment="1">
      <alignment horizontal="right" vertical="center"/>
    </xf>
    <xf numFmtId="38" fontId="23" fillId="8" borderId="0" xfId="7" applyNumberFormat="1" applyFont="1" applyFill="1" applyBorder="1" applyAlignment="1">
      <alignment horizontal="right" vertical="center"/>
    </xf>
    <xf numFmtId="0" fontId="27" fillId="7" borderId="0" xfId="7" applyFont="1" applyFill="1" applyBorder="1" applyAlignment="1">
      <alignment vertical="center"/>
    </xf>
    <xf numFmtId="0" fontId="21" fillId="0" borderId="0" xfId="7" applyNumberFormat="1" applyFont="1" applyFill="1" applyBorder="1" applyAlignment="1">
      <alignment horizontal="center" vertical="center"/>
    </xf>
    <xf numFmtId="37" fontId="21" fillId="0" borderId="0" xfId="7" applyNumberFormat="1" applyFont="1" applyFill="1" applyBorder="1" applyAlignment="1">
      <alignment vertical="center"/>
    </xf>
    <xf numFmtId="37" fontId="27" fillId="7" borderId="0" xfId="7" applyNumberFormat="1" applyFont="1" applyFill="1" applyBorder="1" applyAlignment="1">
      <alignment vertical="center"/>
    </xf>
    <xf numFmtId="37" fontId="21" fillId="8" borderId="0" xfId="7" applyNumberFormat="1" applyFont="1" applyFill="1" applyBorder="1" applyAlignment="1">
      <alignment vertical="center"/>
    </xf>
    <xf numFmtId="0" fontId="26" fillId="0" borderId="0" xfId="0" applyFont="1" applyBorder="1" applyAlignment="1">
      <alignment horizontal="left" vertical="center"/>
    </xf>
    <xf numFmtId="37" fontId="20" fillId="0" borderId="0" xfId="7" applyNumberFormat="1" applyFont="1" applyFill="1" applyBorder="1" applyAlignment="1">
      <alignment vertical="center"/>
    </xf>
    <xf numFmtId="38" fontId="21" fillId="7" borderId="0" xfId="7" applyNumberFormat="1" applyFont="1" applyFill="1" applyBorder="1" applyAlignment="1">
      <alignment horizontal="left" vertical="center"/>
    </xf>
    <xf numFmtId="37" fontId="25" fillId="7" borderId="0" xfId="7" applyNumberFormat="1" applyFont="1" applyFill="1" applyBorder="1" applyAlignment="1">
      <alignment vertical="center"/>
    </xf>
    <xf numFmtId="37" fontId="20" fillId="8" borderId="0" xfId="7" applyNumberFormat="1" applyFont="1" applyFill="1" applyBorder="1" applyAlignment="1">
      <alignment vertical="center"/>
    </xf>
    <xf numFmtId="0" fontId="24" fillId="0" borderId="0" xfId="0" applyFont="1" applyBorder="1" applyAlignment="1">
      <alignment horizontal="left" vertical="center"/>
    </xf>
    <xf numFmtId="0" fontId="29" fillId="0" borderId="0" xfId="0" applyFont="1" applyBorder="1" applyAlignment="1">
      <alignment horizontal="left" vertical="center"/>
    </xf>
    <xf numFmtId="37" fontId="30" fillId="7" borderId="0" xfId="7" applyNumberFormat="1" applyFont="1" applyFill="1" applyBorder="1" applyAlignment="1">
      <alignment vertical="center"/>
    </xf>
    <xf numFmtId="37" fontId="28" fillId="8" borderId="0" xfId="7" applyNumberFormat="1" applyFont="1" applyFill="1" applyBorder="1" applyAlignment="1">
      <alignment vertical="center"/>
    </xf>
    <xf numFmtId="37" fontId="28" fillId="0" borderId="0" xfId="7" applyNumberFormat="1" applyFont="1" applyFill="1" applyBorder="1" applyAlignment="1">
      <alignment vertical="center"/>
    </xf>
    <xf numFmtId="0" fontId="27" fillId="7" borderId="0" xfId="7" applyFont="1" applyFill="1" applyBorder="1" applyAlignment="1">
      <alignment horizontal="left" vertical="center"/>
    </xf>
    <xf numFmtId="0" fontId="21" fillId="8" borderId="0" xfId="7" applyFont="1" applyFill="1" applyBorder="1" applyAlignment="1">
      <alignment horizontal="left" vertical="center"/>
    </xf>
    <xf numFmtId="38" fontId="27" fillId="7" borderId="0" xfId="7" applyNumberFormat="1" applyFont="1" applyFill="1" applyBorder="1" applyAlignment="1">
      <alignment horizontal="right" vertical="center"/>
    </xf>
    <xf numFmtId="9" fontId="21" fillId="0" borderId="0" xfId="1" applyFont="1" applyFill="1" applyBorder="1" applyAlignment="1">
      <alignment horizontal="right" vertical="center"/>
    </xf>
    <xf numFmtId="37" fontId="21" fillId="0" borderId="0" xfId="7" applyNumberFormat="1" applyFont="1" applyFill="1" applyBorder="1" applyAlignment="1">
      <alignment horizontal="right" vertical="center"/>
    </xf>
    <xf numFmtId="9" fontId="21" fillId="0" borderId="0" xfId="1" applyFont="1" applyBorder="1" applyAlignment="1">
      <alignment horizontal="right" vertical="center"/>
    </xf>
    <xf numFmtId="38" fontId="21" fillId="7" borderId="0" xfId="7" applyNumberFormat="1" applyFont="1" applyFill="1" applyBorder="1" applyAlignment="1">
      <alignment horizontal="right" vertical="center"/>
    </xf>
    <xf numFmtId="38" fontId="21" fillId="8" borderId="0" xfId="7" applyNumberFormat="1" applyFont="1" applyFill="1" applyBorder="1" applyAlignment="1">
      <alignment horizontal="right" vertical="center"/>
    </xf>
    <xf numFmtId="38" fontId="27" fillId="8" borderId="0" xfId="7" applyNumberFormat="1" applyFont="1" applyFill="1" applyBorder="1" applyAlignment="1">
      <alignment horizontal="right" vertical="center"/>
    </xf>
    <xf numFmtId="38" fontId="28" fillId="7" borderId="0" xfId="7" applyNumberFormat="1" applyFont="1" applyFill="1" applyBorder="1" applyAlignment="1">
      <alignment horizontal="left" vertical="center"/>
    </xf>
    <xf numFmtId="0" fontId="3" fillId="0" borderId="0" xfId="7" applyNumberFormat="1" applyFont="1" applyFill="1" applyBorder="1" applyAlignment="1">
      <alignment horizontal="left" vertical="center"/>
    </xf>
    <xf numFmtId="0" fontId="25" fillId="0" borderId="0" xfId="7" applyNumberFormat="1" applyFont="1" applyFill="1" applyBorder="1" applyAlignment="1">
      <alignment horizontal="left" vertical="center"/>
    </xf>
    <xf numFmtId="0" fontId="26" fillId="0" borderId="0" xfId="0" applyFont="1" applyBorder="1" applyAlignment="1">
      <alignment vertical="center"/>
    </xf>
    <xf numFmtId="0" fontId="24" fillId="0" borderId="0" xfId="0" applyFont="1" applyBorder="1" applyAlignment="1">
      <alignment vertical="center"/>
    </xf>
    <xf numFmtId="38" fontId="20" fillId="7" borderId="8" xfId="4" applyNumberFormat="1" applyFont="1" applyFill="1" applyBorder="1" applyAlignment="1">
      <alignment horizontal="left" vertical="center"/>
    </xf>
    <xf numFmtId="0" fontId="24" fillId="0" borderId="8" xfId="0" applyFont="1" applyBorder="1" applyAlignment="1">
      <alignment horizontal="left" vertical="center"/>
    </xf>
    <xf numFmtId="38" fontId="20" fillId="0" borderId="8" xfId="4" applyNumberFormat="1" applyFont="1" applyBorder="1" applyAlignment="1" applyProtection="1">
      <alignment horizontal="right" vertical="center"/>
      <protection locked="0" hidden="1"/>
    </xf>
    <xf numFmtId="0" fontId="21" fillId="0" borderId="8" xfId="7" applyFont="1" applyBorder="1" applyAlignment="1">
      <alignment vertical="center"/>
    </xf>
    <xf numFmtId="0" fontId="25" fillId="0" borderId="0" xfId="7" applyNumberFormat="1" applyFont="1" applyFill="1" applyBorder="1" applyAlignment="1">
      <alignment horizontal="right" vertical="center"/>
    </xf>
    <xf numFmtId="9" fontId="20" fillId="0" borderId="0" xfId="1" applyFont="1" applyFill="1" applyBorder="1" applyAlignment="1">
      <alignment horizontal="left" vertical="center"/>
    </xf>
    <xf numFmtId="9" fontId="27" fillId="8" borderId="0" xfId="1" applyFont="1" applyFill="1" applyBorder="1" applyAlignment="1">
      <alignment horizontal="left" vertical="center"/>
    </xf>
    <xf numFmtId="9" fontId="25" fillId="8" borderId="0" xfId="1" applyFont="1" applyFill="1" applyBorder="1" applyAlignment="1">
      <alignment horizontal="right" vertical="center"/>
    </xf>
    <xf numFmtId="0" fontId="25" fillId="8" borderId="0" xfId="8" applyFont="1" applyFill="1" applyAlignment="1">
      <alignment horizontal="right" vertical="center"/>
    </xf>
    <xf numFmtId="9" fontId="25" fillId="8" borderId="0" xfId="1" applyFont="1" applyFill="1" applyBorder="1" applyAlignment="1" applyProtection="1">
      <alignment horizontal="right" vertical="center"/>
    </xf>
    <xf numFmtId="9" fontId="27" fillId="8" borderId="0" xfId="1" applyFont="1" applyFill="1" applyBorder="1" applyAlignment="1" applyProtection="1">
      <alignment horizontal="right" vertical="center"/>
    </xf>
    <xf numFmtId="9" fontId="27" fillId="8" borderId="0" xfId="1" applyFont="1" applyFill="1" applyBorder="1" applyAlignment="1" applyProtection="1">
      <alignment vertical="center"/>
    </xf>
    <xf numFmtId="9" fontId="30" fillId="8" borderId="0" xfId="1" quotePrefix="1" applyFont="1" applyFill="1" applyBorder="1" applyAlignment="1" applyProtection="1">
      <alignment horizontal="right" vertical="center"/>
    </xf>
    <xf numFmtId="9" fontId="27" fillId="8" borderId="0" xfId="1" applyFont="1" applyFill="1" applyBorder="1" applyAlignment="1">
      <alignment horizontal="right" vertical="center"/>
    </xf>
    <xf numFmtId="38" fontId="25" fillId="0" borderId="0" xfId="7" applyNumberFormat="1" applyFont="1" applyFill="1" applyBorder="1" applyAlignment="1">
      <alignment horizontal="left" vertical="center"/>
    </xf>
    <xf numFmtId="38" fontId="24" fillId="7" borderId="0" xfId="4" applyNumberFormat="1" applyFont="1" applyFill="1" applyBorder="1" applyAlignment="1">
      <alignment horizontal="left" vertical="center"/>
    </xf>
    <xf numFmtId="37" fontId="25" fillId="0" borderId="0" xfId="6" applyNumberFormat="1" applyFont="1" applyFill="1" applyBorder="1" applyAlignment="1" applyProtection="1">
      <alignment horizontal="right" vertical="center"/>
    </xf>
    <xf numFmtId="9" fontId="20" fillId="0" borderId="8" xfId="1" applyFont="1" applyBorder="1" applyAlignment="1" applyProtection="1">
      <alignment horizontal="right" vertical="center"/>
    </xf>
    <xf numFmtId="9" fontId="25" fillId="8" borderId="0" xfId="1" applyFont="1" applyFill="1" applyBorder="1" applyAlignment="1" applyProtection="1">
      <alignment vertical="center"/>
    </xf>
    <xf numFmtId="9" fontId="30" fillId="8" borderId="0" xfId="1" applyFont="1" applyFill="1" applyBorder="1" applyAlignment="1" applyProtection="1">
      <alignment horizontal="right" vertical="center"/>
    </xf>
    <xf numFmtId="37" fontId="32" fillId="0" borderId="0" xfId="7" applyNumberFormat="1" applyFont="1" applyFill="1" applyBorder="1" applyAlignment="1">
      <alignment horizontal="left" vertical="center"/>
    </xf>
    <xf numFmtId="38" fontId="33" fillId="0" borderId="0" xfId="4" applyNumberFormat="1" applyFont="1" applyBorder="1" applyAlignment="1" applyProtection="1">
      <alignment horizontal="right" vertical="center"/>
      <protection locked="0" hidden="1"/>
    </xf>
    <xf numFmtId="9" fontId="20" fillId="0" borderId="19" xfId="1" applyFont="1" applyBorder="1" applyAlignment="1" applyProtection="1">
      <alignment horizontal="right" vertical="center"/>
    </xf>
    <xf numFmtId="0" fontId="25" fillId="0" borderId="0" xfId="7" applyFont="1" applyBorder="1" applyAlignment="1">
      <alignment horizontal="left" vertical="center"/>
    </xf>
    <xf numFmtId="38" fontId="20" fillId="0" borderId="20" xfId="4" applyNumberFormat="1" applyFont="1" applyBorder="1" applyAlignment="1" applyProtection="1">
      <alignment horizontal="left" vertical="center"/>
    </xf>
    <xf numFmtId="38" fontId="20" fillId="0" borderId="0" xfId="4" applyNumberFormat="1" applyFont="1" applyBorder="1" applyAlignment="1" applyProtection="1">
      <alignment horizontal="right" vertical="center"/>
    </xf>
    <xf numFmtId="0" fontId="33" fillId="0" borderId="0" xfId="7" applyFont="1" applyBorder="1" applyAlignment="1">
      <alignment horizontal="left" vertical="center"/>
    </xf>
    <xf numFmtId="38" fontId="33" fillId="0" borderId="0" xfId="7" applyNumberFormat="1" applyFont="1" applyBorder="1" applyAlignment="1">
      <alignment horizontal="right" vertical="center"/>
    </xf>
    <xf numFmtId="37" fontId="31" fillId="0" borderId="0" xfId="7" applyNumberFormat="1" applyFont="1" applyFill="1" applyBorder="1" applyAlignment="1">
      <alignment horizontal="left" vertical="center"/>
    </xf>
    <xf numFmtId="0" fontId="10" fillId="0" borderId="8" xfId="3" applyBorder="1" applyAlignment="1" applyProtection="1"/>
    <xf numFmtId="3" fontId="8" fillId="0" borderId="0" xfId="0" applyNumberFormat="1" applyFont="1" applyBorder="1"/>
    <xf numFmtId="10" fontId="8" fillId="0" borderId="0" xfId="0" applyNumberFormat="1" applyFont="1" applyBorder="1"/>
    <xf numFmtId="165" fontId="8" fillId="0" borderId="8" xfId="0" applyNumberFormat="1" applyFont="1" applyBorder="1"/>
    <xf numFmtId="10" fontId="8" fillId="0" borderId="8" xfId="0" applyNumberFormat="1" applyFont="1" applyBorder="1"/>
    <xf numFmtId="0" fontId="10" fillId="0" borderId="0" xfId="3" applyBorder="1" applyAlignment="1" applyProtection="1"/>
    <xf numFmtId="0" fontId="8" fillId="4" borderId="3" xfId="0" applyFont="1" applyFill="1" applyBorder="1"/>
    <xf numFmtId="0" fontId="10" fillId="4" borderId="3" xfId="3" applyFill="1" applyBorder="1" applyAlignment="1" applyProtection="1"/>
    <xf numFmtId="0" fontId="8" fillId="4" borderId="4" xfId="0" applyFont="1" applyFill="1" applyBorder="1"/>
    <xf numFmtId="0" fontId="0" fillId="0" borderId="0" xfId="0"/>
    <xf numFmtId="0" fontId="17" fillId="0" borderId="0" xfId="0" applyFont="1"/>
    <xf numFmtId="0" fontId="18" fillId="6" borderId="0" xfId="0" applyFont="1" applyFill="1"/>
    <xf numFmtId="0" fontId="19" fillId="0" borderId="0" xfId="0" applyFont="1"/>
    <xf numFmtId="0" fontId="0" fillId="0" borderId="0" xfId="0"/>
    <xf numFmtId="0" fontId="18" fillId="6" borderId="0" xfId="0" applyFont="1" applyFill="1"/>
    <xf numFmtId="0" fontId="0" fillId="0" borderId="0" xfId="0"/>
    <xf numFmtId="0" fontId="19" fillId="0" borderId="0" xfId="0" applyFont="1"/>
    <xf numFmtId="0" fontId="0" fillId="0" borderId="0" xfId="0"/>
    <xf numFmtId="0" fontId="17" fillId="0" borderId="0" xfId="0" applyFont="1"/>
    <xf numFmtId="0" fontId="18" fillId="6" borderId="0" xfId="0" applyFont="1" applyFill="1"/>
    <xf numFmtId="0" fontId="19" fillId="0" borderId="0" xfId="0" applyFont="1"/>
    <xf numFmtId="0" fontId="0" fillId="0" borderId="0" xfId="0"/>
    <xf numFmtId="0" fontId="17" fillId="0" borderId="0" xfId="0" applyFont="1"/>
    <xf numFmtId="0" fontId="17" fillId="0" borderId="0" xfId="0" applyFont="1"/>
    <xf numFmtId="166" fontId="51" fillId="0" borderId="30" xfId="0" applyNumberFormat="1" applyFont="1" applyBorder="1"/>
    <xf numFmtId="37" fontId="33" fillId="0" borderId="0" xfId="7" applyNumberFormat="1" applyFont="1" applyFill="1" applyBorder="1" applyAlignment="1">
      <alignment horizontal="left" vertical="center"/>
    </xf>
    <xf numFmtId="38" fontId="21" fillId="0" borderId="0" xfId="4" applyNumberFormat="1" applyFont="1" applyBorder="1" applyAlignment="1" applyProtection="1">
      <alignment horizontal="right" vertical="center"/>
    </xf>
    <xf numFmtId="38" fontId="21" fillId="0" borderId="8" xfId="7" applyNumberFormat="1" applyFont="1" applyBorder="1" applyAlignment="1">
      <alignment horizontal="right" vertical="center"/>
    </xf>
    <xf numFmtId="38" fontId="20" fillId="0" borderId="8" xfId="4" applyNumberFormat="1" applyFont="1" applyBorder="1" applyAlignment="1" applyProtection="1">
      <alignment horizontal="right" vertical="center"/>
    </xf>
    <xf numFmtId="0" fontId="50" fillId="6" borderId="1" xfId="0" applyFont="1" applyFill="1" applyBorder="1" applyAlignment="1">
      <alignment horizontal="center"/>
    </xf>
    <xf numFmtId="165" fontId="8" fillId="0" borderId="0" xfId="0" applyNumberFormat="1" applyFont="1"/>
    <xf numFmtId="165" fontId="8" fillId="0" borderId="0" xfId="2" applyNumberFormat="1" applyFont="1" applyBorder="1"/>
    <xf numFmtId="165" fontId="8" fillId="0" borderId="8" xfId="2" applyNumberFormat="1" applyFont="1" applyBorder="1"/>
    <xf numFmtId="165" fontId="8" fillId="0" borderId="9" xfId="2" applyNumberFormat="1" applyFont="1" applyBorder="1"/>
    <xf numFmtId="0" fontId="8" fillId="41" borderId="11" xfId="0" applyFont="1" applyFill="1" applyBorder="1"/>
    <xf numFmtId="0" fontId="8" fillId="41" borderId="12" xfId="0" applyFont="1" applyFill="1" applyBorder="1"/>
    <xf numFmtId="0" fontId="13" fillId="0" borderId="5" xfId="0" applyFont="1" applyBorder="1"/>
    <xf numFmtId="0" fontId="13" fillId="0" borderId="7" xfId="0" applyFont="1" applyBorder="1"/>
    <xf numFmtId="0" fontId="13" fillId="41" borderId="10" xfId="0" applyFont="1" applyFill="1" applyBorder="1"/>
    <xf numFmtId="9" fontId="8" fillId="0" borderId="8" xfId="1" applyFont="1" applyBorder="1"/>
    <xf numFmtId="9" fontId="8" fillId="0" borderId="9" xfId="1" applyFont="1" applyBorder="1"/>
    <xf numFmtId="0" fontId="8" fillId="3" borderId="11" xfId="0" applyFont="1" applyFill="1" applyBorder="1"/>
    <xf numFmtId="165" fontId="8" fillId="3" borderId="11" xfId="0" applyNumberFormat="1" applyFont="1" applyFill="1" applyBorder="1"/>
    <xf numFmtId="0" fontId="8" fillId="3" borderId="12" xfId="0" applyFont="1" applyFill="1" applyBorder="1"/>
    <xf numFmtId="0" fontId="13" fillId="0" borderId="6" xfId="0" applyFont="1" applyBorder="1"/>
    <xf numFmtId="0" fontId="13" fillId="3" borderId="10" xfId="0" applyFont="1" applyFill="1" applyBorder="1"/>
    <xf numFmtId="10" fontId="8" fillId="0" borderId="9" xfId="0" applyNumberFormat="1" applyFont="1" applyBorder="1"/>
    <xf numFmtId="0" fontId="13" fillId="3" borderId="11" xfId="0" applyFont="1" applyFill="1" applyBorder="1"/>
    <xf numFmtId="0" fontId="13" fillId="3" borderId="12" xfId="0" applyFont="1" applyFill="1" applyBorder="1"/>
    <xf numFmtId="9" fontId="8" fillId="0" borderId="6" xfId="0" applyNumberFormat="1" applyFont="1" applyBorder="1"/>
    <xf numFmtId="9" fontId="8" fillId="0" borderId="9" xfId="0" applyNumberFormat="1" applyFont="1" applyBorder="1"/>
    <xf numFmtId="0" fontId="52" fillId="0" borderId="0" xfId="0" applyFont="1"/>
    <xf numFmtId="164" fontId="8" fillId="0" borderId="6" xfId="1" applyNumberFormat="1" applyFont="1" applyBorder="1"/>
    <xf numFmtId="43" fontId="8" fillId="0" borderId="0" xfId="2" applyFont="1" applyBorder="1"/>
    <xf numFmtId="43" fontId="8" fillId="0" borderId="8" xfId="2" applyFont="1" applyBorder="1"/>
    <xf numFmtId="0" fontId="13" fillId="0" borderId="0" xfId="0" applyFont="1" applyFill="1" applyBorder="1"/>
    <xf numFmtId="0" fontId="13" fillId="0" borderId="6" xfId="0" applyFont="1" applyFill="1" applyBorder="1"/>
    <xf numFmtId="0" fontId="8" fillId="0" borderId="0" xfId="0" applyFont="1" applyFill="1"/>
    <xf numFmtId="0" fontId="53" fillId="0" borderId="5" xfId="0" applyFont="1" applyFill="1" applyBorder="1"/>
    <xf numFmtId="167" fontId="8" fillId="0" borderId="0" xfId="2" applyNumberFormat="1" applyFont="1" applyBorder="1"/>
    <xf numFmtId="167" fontId="8" fillId="0" borderId="6" xfId="2" applyNumberFormat="1" applyFont="1" applyBorder="1"/>
    <xf numFmtId="0" fontId="8" fillId="0" borderId="3" xfId="0" applyFont="1" applyBorder="1"/>
    <xf numFmtId="0" fontId="8" fillId="0" borderId="4" xfId="0" applyFont="1" applyBorder="1"/>
    <xf numFmtId="167" fontId="8" fillId="0" borderId="8" xfId="2" applyNumberFormat="1" applyFont="1" applyBorder="1"/>
    <xf numFmtId="167" fontId="8" fillId="0" borderId="9" xfId="2" applyNumberFormat="1" applyFont="1" applyBorder="1"/>
    <xf numFmtId="0" fontId="53" fillId="0" borderId="2" xfId="0" applyFont="1" applyBorder="1"/>
    <xf numFmtId="9" fontId="8" fillId="0" borderId="8" xfId="0" applyNumberFormat="1" applyFont="1" applyBorder="1"/>
    <xf numFmtId="0" fontId="13" fillId="0" borderId="2" xfId="0" applyFont="1" applyBorder="1"/>
    <xf numFmtId="0" fontId="13" fillId="0" borderId="3" xfId="0" applyFont="1" applyBorder="1"/>
    <xf numFmtId="9" fontId="8" fillId="0" borderId="0" xfId="0" applyNumberFormat="1" applyFont="1" applyBorder="1" applyAlignment="1">
      <alignment horizontal="left"/>
    </xf>
    <xf numFmtId="0" fontId="8" fillId="0" borderId="0" xfId="0" applyFont="1" applyBorder="1" applyAlignment="1">
      <alignment horizontal="left"/>
    </xf>
    <xf numFmtId="0" fontId="8" fillId="0" borderId="8" xfId="0" applyFont="1" applyBorder="1" applyAlignment="1">
      <alignment horizontal="left"/>
    </xf>
    <xf numFmtId="38" fontId="20" fillId="0" borderId="0" xfId="4" applyNumberFormat="1" applyFont="1" applyFill="1" applyBorder="1" applyAlignment="1">
      <alignment horizontal="left" vertical="center"/>
    </xf>
    <xf numFmtId="0" fontId="13" fillId="0" borderId="0" xfId="0" applyFont="1"/>
    <xf numFmtId="0" fontId="8" fillId="0" borderId="2" xfId="0" applyFont="1" applyBorder="1"/>
    <xf numFmtId="0" fontId="8" fillId="0" borderId="5" xfId="0" applyFont="1" applyFill="1" applyBorder="1"/>
    <xf numFmtId="0" fontId="8" fillId="0" borderId="13" xfId="0" applyFont="1" applyBorder="1"/>
    <xf numFmtId="164" fontId="7" fillId="0" borderId="6" xfId="0" applyNumberFormat="1" applyFont="1" applyBorder="1"/>
    <xf numFmtId="10" fontId="8" fillId="0" borderId="0" xfId="1" applyNumberFormat="1" applyFont="1" applyBorder="1"/>
    <xf numFmtId="165" fontId="8" fillId="3" borderId="12" xfId="0" applyNumberFormat="1" applyFont="1" applyFill="1" applyBorder="1"/>
    <xf numFmtId="165" fontId="8" fillId="0" borderId="6" xfId="0" applyNumberFormat="1" applyFont="1" applyBorder="1"/>
    <xf numFmtId="0" fontId="8" fillId="0" borderId="2" xfId="0" applyFont="1" applyBorder="1" applyAlignment="1">
      <alignment horizontal="center"/>
    </xf>
    <xf numFmtId="0" fontId="8" fillId="0" borderId="3" xfId="0" applyFont="1" applyBorder="1" applyAlignment="1">
      <alignment horizontal="center"/>
    </xf>
    <xf numFmtId="0" fontId="13" fillId="0" borderId="3" xfId="0" applyFont="1" applyBorder="1" applyAlignment="1">
      <alignment horizontal="center"/>
    </xf>
    <xf numFmtId="0" fontId="13" fillId="0" borderId="4" xfId="0" applyFont="1" applyBorder="1" applyAlignment="1">
      <alignment horizontal="center"/>
    </xf>
    <xf numFmtId="0" fontId="8" fillId="0" borderId="0" xfId="0" applyFont="1" applyAlignment="1">
      <alignment horizontal="center"/>
    </xf>
    <xf numFmtId="0" fontId="54" fillId="0" borderId="0" xfId="0" applyFont="1" applyBorder="1"/>
    <xf numFmtId="165" fontId="54" fillId="0" borderId="0" xfId="2" applyNumberFormat="1" applyFont="1" applyBorder="1"/>
    <xf numFmtId="9" fontId="54" fillId="0" borderId="0" xfId="0" applyNumberFormat="1" applyFont="1" applyBorder="1"/>
    <xf numFmtId="164" fontId="8" fillId="0" borderId="8" xfId="1" applyNumberFormat="1" applyFont="1" applyBorder="1"/>
    <xf numFmtId="164" fontId="54" fillId="0" borderId="0" xfId="1" applyNumberFormat="1" applyFont="1" applyBorder="1"/>
    <xf numFmtId="10" fontId="54" fillId="0" borderId="0" xfId="0" applyNumberFormat="1" applyFont="1" applyBorder="1"/>
    <xf numFmtId="10" fontId="54" fillId="0" borderId="0" xfId="1" applyNumberFormat="1" applyFont="1" applyBorder="1"/>
    <xf numFmtId="164" fontId="20" fillId="0" borderId="0" xfId="1" applyNumberFormat="1" applyFont="1" applyBorder="1" applyAlignment="1" applyProtection="1">
      <alignment horizontal="right" vertical="center"/>
    </xf>
    <xf numFmtId="9" fontId="20" fillId="0" borderId="0" xfId="1" applyNumberFormat="1" applyFont="1" applyBorder="1" applyAlignment="1" applyProtection="1">
      <alignment horizontal="right" vertical="center"/>
    </xf>
    <xf numFmtId="10" fontId="54" fillId="0" borderId="8" xfId="0" applyNumberFormat="1" applyFont="1" applyBorder="1"/>
    <xf numFmtId="165" fontId="57" fillId="0" borderId="0" xfId="2" applyNumberFormat="1" applyFont="1" applyBorder="1"/>
    <xf numFmtId="164" fontId="57" fillId="0" borderId="0" xfId="1" applyNumberFormat="1" applyFont="1" applyBorder="1"/>
    <xf numFmtId="0" fontId="13" fillId="42" borderId="3" xfId="0" applyFont="1" applyFill="1" applyBorder="1" applyAlignment="1">
      <alignment horizontal="right"/>
    </xf>
    <xf numFmtId="0" fontId="13" fillId="0" borderId="3" xfId="0" applyFont="1" applyBorder="1" applyAlignment="1">
      <alignment horizontal="right"/>
    </xf>
    <xf numFmtId="0" fontId="13" fillId="0" borderId="4" xfId="0" applyFont="1" applyBorder="1" applyAlignment="1">
      <alignment horizontal="right"/>
    </xf>
    <xf numFmtId="0" fontId="13" fillId="3" borderId="11" xfId="0" applyFont="1" applyFill="1" applyBorder="1" applyAlignment="1">
      <alignment horizontal="right"/>
    </xf>
    <xf numFmtId="0" fontId="13" fillId="3" borderId="12" xfId="0" applyFont="1" applyFill="1" applyBorder="1" applyAlignment="1">
      <alignment horizontal="right"/>
    </xf>
    <xf numFmtId="38" fontId="8" fillId="0" borderId="0" xfId="0" applyNumberFormat="1" applyFont="1" applyBorder="1"/>
    <xf numFmtId="0" fontId="13" fillId="0" borderId="5" xfId="0" applyFont="1" applyBorder="1" applyAlignment="1">
      <alignment horizontal="right"/>
    </xf>
    <xf numFmtId="38" fontId="8" fillId="0" borderId="8" xfId="0" applyNumberFormat="1" applyFont="1" applyBorder="1"/>
    <xf numFmtId="43" fontId="8" fillId="0" borderId="0" xfId="0" applyNumberFormat="1" applyFont="1"/>
    <xf numFmtId="10" fontId="8" fillId="0" borderId="0" xfId="0" applyNumberFormat="1" applyFont="1"/>
    <xf numFmtId="165" fontId="8" fillId="0" borderId="0" xfId="2" applyNumberFormat="1" applyFont="1"/>
    <xf numFmtId="164" fontId="8" fillId="0" borderId="9" xfId="1" applyNumberFormat="1" applyFont="1" applyBorder="1"/>
    <xf numFmtId="0" fontId="58" fillId="0" borderId="0" xfId="0" applyFont="1" applyBorder="1"/>
    <xf numFmtId="0" fontId="58" fillId="0" borderId="0" xfId="0" applyFont="1" applyBorder="1" applyAlignment="1">
      <alignment horizontal="right"/>
    </xf>
    <xf numFmtId="0" fontId="6" fillId="0" borderId="0" xfId="0" applyFont="1" applyFill="1" applyBorder="1"/>
    <xf numFmtId="38" fontId="8" fillId="0" borderId="6" xfId="0" applyNumberFormat="1" applyFont="1" applyBorder="1"/>
    <xf numFmtId="0" fontId="6" fillId="0" borderId="8" xfId="0" applyFont="1" applyFill="1" applyBorder="1"/>
    <xf numFmtId="165" fontId="2" fillId="0" borderId="8" xfId="0" applyNumberFormat="1" applyFont="1" applyBorder="1"/>
    <xf numFmtId="0" fontId="58" fillId="3" borderId="0" xfId="0" applyFont="1" applyFill="1" applyBorder="1"/>
    <xf numFmtId="0" fontId="13" fillId="3" borderId="0" xfId="0" applyFont="1" applyFill="1" applyBorder="1"/>
    <xf numFmtId="165" fontId="13" fillId="3" borderId="0" xfId="0" applyNumberFormat="1" applyFont="1" applyFill="1" applyBorder="1"/>
    <xf numFmtId="0" fontId="7" fillId="0" borderId="2" xfId="0" applyFont="1" applyBorder="1"/>
    <xf numFmtId="0" fontId="7" fillId="0" borderId="5" xfId="0" applyFont="1" applyBorder="1"/>
    <xf numFmtId="0" fontId="8" fillId="0" borderId="0" xfId="0" applyFont="1" applyBorder="1" applyAlignment="1">
      <alignment horizontal="right"/>
    </xf>
    <xf numFmtId="38" fontId="13" fillId="0" borderId="0" xfId="0" applyNumberFormat="1" applyFont="1" applyBorder="1" applyAlignment="1">
      <alignment horizontal="center"/>
    </xf>
    <xf numFmtId="0" fontId="13" fillId="0" borderId="0" xfId="0" applyFont="1" applyBorder="1" applyAlignment="1">
      <alignment horizontal="center"/>
    </xf>
    <xf numFmtId="38" fontId="8" fillId="0" borderId="3" xfId="0" applyNumberFormat="1" applyFont="1" applyBorder="1"/>
    <xf numFmtId="38" fontId="8" fillId="0" borderId="4" xfId="0" applyNumberFormat="1" applyFont="1" applyBorder="1"/>
    <xf numFmtId="165" fontId="8" fillId="0" borderId="9" xfId="0" applyNumberFormat="1" applyFont="1" applyBorder="1"/>
    <xf numFmtId="43" fontId="8" fillId="0" borderId="0" xfId="0" applyNumberFormat="1" applyFont="1" applyBorder="1"/>
    <xf numFmtId="43" fontId="8" fillId="0" borderId="6" xfId="0" applyNumberFormat="1" applyFont="1" applyBorder="1"/>
    <xf numFmtId="0" fontId="2" fillId="0" borderId="3" xfId="0" applyFont="1" applyBorder="1"/>
    <xf numFmtId="0" fontId="58" fillId="0" borderId="5" xfId="0" applyFont="1" applyBorder="1"/>
    <xf numFmtId="38" fontId="54" fillId="0" borderId="0" xfId="0" applyNumberFormat="1" applyFont="1" applyBorder="1"/>
    <xf numFmtId="0" fontId="54" fillId="0" borderId="8" xfId="0" applyFont="1" applyBorder="1"/>
    <xf numFmtId="0" fontId="54" fillId="0" borderId="9" xfId="0" applyFont="1" applyBorder="1"/>
    <xf numFmtId="0" fontId="13" fillId="0" borderId="0" xfId="0" applyFont="1" applyBorder="1" applyAlignment="1">
      <alignment horizontal="right"/>
    </xf>
    <xf numFmtId="165" fontId="54" fillId="0" borderId="0" xfId="0" applyNumberFormat="1" applyFont="1" applyBorder="1"/>
    <xf numFmtId="10" fontId="54" fillId="0" borderId="6" xfId="0" applyNumberFormat="1" applyFont="1" applyBorder="1"/>
    <xf numFmtId="0" fontId="54" fillId="0" borderId="0" xfId="0" applyFont="1" applyBorder="1" applyAlignment="1">
      <alignment horizontal="center"/>
    </xf>
    <xf numFmtId="0" fontId="54" fillId="0" borderId="0" xfId="0" applyFont="1" applyBorder="1" applyAlignment="1">
      <alignment horizontal="right"/>
    </xf>
    <xf numFmtId="0" fontId="54" fillId="0" borderId="8" xfId="0" applyFont="1" applyBorder="1" applyAlignment="1">
      <alignment horizontal="center"/>
    </xf>
    <xf numFmtId="0" fontId="54" fillId="0" borderId="8" xfId="0" applyFont="1" applyBorder="1" applyAlignment="1">
      <alignment horizontal="right"/>
    </xf>
    <xf numFmtId="0" fontId="13" fillId="42" borderId="10" xfId="0" applyFont="1" applyFill="1" applyBorder="1"/>
    <xf numFmtId="0" fontId="13" fillId="42" borderId="11" xfId="0" applyFont="1" applyFill="1" applyBorder="1" applyAlignment="1">
      <alignment horizontal="right"/>
    </xf>
    <xf numFmtId="0" fontId="13" fillId="42" borderId="12" xfId="0" applyFont="1" applyFill="1" applyBorder="1" applyAlignment="1">
      <alignment horizontal="right"/>
    </xf>
    <xf numFmtId="0" fontId="54" fillId="0" borderId="6" xfId="0" applyFont="1" applyBorder="1" applyAlignment="1">
      <alignment horizontal="right"/>
    </xf>
    <xf numFmtId="165" fontId="8" fillId="0" borderId="4" xfId="0" applyNumberFormat="1" applyFont="1" applyBorder="1"/>
    <xf numFmtId="165" fontId="9" fillId="0" borderId="0" xfId="0" applyNumberFormat="1" applyFont="1" applyBorder="1"/>
    <xf numFmtId="165" fontId="9" fillId="0" borderId="6" xfId="0" applyNumberFormat="1" applyFont="1" applyBorder="1"/>
    <xf numFmtId="0" fontId="8" fillId="5" borderId="1" xfId="0" applyFont="1" applyFill="1" applyBorder="1"/>
    <xf numFmtId="0" fontId="8" fillId="2" borderId="1" xfId="0" applyFont="1" applyFill="1" applyBorder="1"/>
    <xf numFmtId="0" fontId="14" fillId="0" borderId="2" xfId="0" applyFont="1" applyBorder="1"/>
    <xf numFmtId="0" fontId="9" fillId="0" borderId="5" xfId="0" applyFont="1" applyFill="1" applyBorder="1"/>
    <xf numFmtId="0" fontId="9" fillId="0" borderId="13" xfId="0" applyFont="1" applyBorder="1"/>
    <xf numFmtId="0" fontId="8" fillId="0" borderId="14" xfId="0" applyFont="1" applyBorder="1"/>
    <xf numFmtId="0" fontId="8" fillId="0" borderId="15" xfId="0" applyFont="1" applyBorder="1"/>
    <xf numFmtId="0" fontId="14" fillId="0" borderId="16" xfId="0" applyFont="1" applyBorder="1"/>
    <xf numFmtId="0" fontId="8" fillId="0" borderId="17" xfId="0" applyFont="1" applyBorder="1"/>
    <xf numFmtId="0" fontId="13" fillId="0" borderId="2" xfId="0" applyFont="1" applyFill="1" applyBorder="1"/>
    <xf numFmtId="0" fontId="8" fillId="0" borderId="0" xfId="0" applyFont="1" applyBorder="1" applyAlignment="1">
      <alignment horizontal="center"/>
    </xf>
    <xf numFmtId="0" fontId="8" fillId="0" borderId="6" xfId="0" applyFont="1" applyBorder="1" applyAlignment="1">
      <alignment horizontal="center"/>
    </xf>
    <xf numFmtId="0" fontId="13" fillId="4" borderId="11" xfId="0" applyFont="1" applyFill="1" applyBorder="1"/>
    <xf numFmtId="43" fontId="8" fillId="0" borderId="0" xfId="2" applyFont="1"/>
    <xf numFmtId="0" fontId="7" fillId="0" borderId="2" xfId="0" applyFont="1" applyFill="1" applyBorder="1"/>
    <xf numFmtId="0" fontId="8" fillId="0" borderId="5" xfId="0" applyFont="1" applyFill="1" applyBorder="1" applyAlignment="1">
      <alignment horizontal="center"/>
    </xf>
    <xf numFmtId="9" fontId="54" fillId="0" borderId="6" xfId="0" applyNumberFormat="1" applyFont="1" applyBorder="1"/>
    <xf numFmtId="9" fontId="8" fillId="0" borderId="6" xfId="1" applyFont="1" applyBorder="1"/>
    <xf numFmtId="0" fontId="8" fillId="0" borderId="7" xfId="0" applyFont="1" applyFill="1" applyBorder="1"/>
    <xf numFmtId="0" fontId="13" fillId="4" borderId="10" xfId="0" applyFont="1" applyFill="1" applyBorder="1"/>
    <xf numFmtId="0" fontId="5" fillId="4" borderId="12" xfId="0" applyFont="1" applyFill="1" applyBorder="1"/>
    <xf numFmtId="0" fontId="8" fillId="4" borderId="11" xfId="0" applyFont="1" applyFill="1" applyBorder="1"/>
    <xf numFmtId="0" fontId="8" fillId="4" borderId="12" xfId="0" applyFont="1" applyFill="1" applyBorder="1"/>
    <xf numFmtId="0" fontId="5" fillId="4" borderId="11" xfId="0" applyFont="1" applyFill="1" applyBorder="1"/>
    <xf numFmtId="165" fontId="54" fillId="0" borderId="8" xfId="2" applyNumberFormat="1" applyFont="1" applyBorder="1"/>
    <xf numFmtId="0" fontId="5" fillId="4" borderId="10" xfId="0" applyFont="1" applyFill="1" applyBorder="1"/>
    <xf numFmtId="164" fontId="54" fillId="0" borderId="8" xfId="1" applyNumberFormat="1" applyFont="1" applyBorder="1"/>
    <xf numFmtId="165" fontId="13" fillId="0" borderId="0" xfId="0" applyNumberFormat="1" applyFont="1" applyBorder="1"/>
    <xf numFmtId="38" fontId="8" fillId="0" borderId="0" xfId="0" applyNumberFormat="1" applyFont="1"/>
    <xf numFmtId="165" fontId="2" fillId="0" borderId="0" xfId="0" applyNumberFormat="1" applyFont="1"/>
    <xf numFmtId="10" fontId="54" fillId="0" borderId="11" xfId="1" applyNumberFormat="1" applyFont="1" applyBorder="1"/>
    <xf numFmtId="0" fontId="7" fillId="0" borderId="0" xfId="0" applyFont="1"/>
    <xf numFmtId="43" fontId="54" fillId="0" borderId="0" xfId="0" applyNumberFormat="1" applyFont="1" applyBorder="1"/>
    <xf numFmtId="0" fontId="13" fillId="4" borderId="12" xfId="0" applyFont="1" applyFill="1" applyBorder="1"/>
    <xf numFmtId="9" fontId="54" fillId="0" borderId="8" xfId="0" applyNumberFormat="1" applyFont="1" applyBorder="1"/>
    <xf numFmtId="165" fontId="59" fillId="0" borderId="0" xfId="2" applyNumberFormat="1" applyFont="1"/>
    <xf numFmtId="0" fontId="13" fillId="43" borderId="10" xfId="0" applyFont="1" applyFill="1" applyBorder="1"/>
    <xf numFmtId="0" fontId="13" fillId="43" borderId="11" xfId="0" applyFont="1" applyFill="1" applyBorder="1"/>
    <xf numFmtId="0" fontId="13" fillId="43" borderId="12" xfId="0" applyFont="1" applyFill="1" applyBorder="1"/>
    <xf numFmtId="0" fontId="13" fillId="43" borderId="11" xfId="0" applyFont="1" applyFill="1" applyBorder="1" applyAlignment="1">
      <alignment horizontal="right"/>
    </xf>
    <xf numFmtId="38" fontId="54" fillId="0" borderId="8" xfId="0" applyNumberFormat="1" applyFont="1" applyBorder="1"/>
    <xf numFmtId="165" fontId="59" fillId="44" borderId="0" xfId="0" applyNumberFormat="1" applyFont="1" applyFill="1"/>
    <xf numFmtId="165" fontId="13" fillId="0" borderId="0" xfId="2" applyNumberFormat="1" applyFont="1"/>
    <xf numFmtId="165" fontId="7" fillId="0" borderId="0" xfId="2" applyNumberFormat="1" applyFont="1" applyBorder="1"/>
    <xf numFmtId="165" fontId="13" fillId="0" borderId="0" xfId="2" applyNumberFormat="1" applyFont="1" applyBorder="1"/>
    <xf numFmtId="165" fontId="13" fillId="0" borderId="6" xfId="2" applyNumberFormat="1" applyFont="1" applyBorder="1"/>
    <xf numFmtId="165" fontId="7" fillId="0" borderId="8" xfId="2" applyNumberFormat="1" applyFont="1" applyBorder="1"/>
    <xf numFmtId="165" fontId="13" fillId="0" borderId="8" xfId="2" applyNumberFormat="1" applyFont="1" applyBorder="1"/>
    <xf numFmtId="165" fontId="13" fillId="0" borderId="9" xfId="2" applyNumberFormat="1" applyFont="1" applyBorder="1"/>
    <xf numFmtId="9" fontId="54" fillId="0" borderId="9" xfId="0" applyNumberFormat="1" applyFont="1" applyBorder="1"/>
    <xf numFmtId="0" fontId="14" fillId="3" borderId="10" xfId="0" applyFont="1" applyFill="1" applyBorder="1"/>
    <xf numFmtId="0" fontId="14" fillId="3" borderId="11" xfId="0" applyFont="1" applyFill="1" applyBorder="1"/>
    <xf numFmtId="0" fontId="14" fillId="3" borderId="12" xfId="0" applyFont="1" applyFill="1" applyBorder="1"/>
    <xf numFmtId="165" fontId="60" fillId="0" borderId="8" xfId="0" applyNumberFormat="1" applyFont="1" applyBorder="1"/>
    <xf numFmtId="0" fontId="60" fillId="0" borderId="7" xfId="0" applyFont="1" applyBorder="1"/>
    <xf numFmtId="165" fontId="8" fillId="0" borderId="0" xfId="2" quotePrefix="1" applyNumberFormat="1" applyFont="1" applyBorder="1"/>
    <xf numFmtId="0" fontId="7" fillId="3" borderId="0" xfId="0" applyFont="1" applyFill="1"/>
    <xf numFmtId="0" fontId="13" fillId="3" borderId="0" xfId="0" applyFont="1" applyFill="1"/>
    <xf numFmtId="0" fontId="7" fillId="3" borderId="0" xfId="0" applyFont="1" applyFill="1" applyBorder="1"/>
    <xf numFmtId="0" fontId="13" fillId="0" borderId="31" xfId="0" applyFont="1" applyBorder="1"/>
    <xf numFmtId="165" fontId="13" fillId="0" borderId="31" xfId="2" applyNumberFormat="1" applyFont="1" applyBorder="1"/>
    <xf numFmtId="0" fontId="8" fillId="0" borderId="31" xfId="0" applyFont="1" applyBorder="1"/>
    <xf numFmtId="165" fontId="8" fillId="0" borderId="31" xfId="2" applyNumberFormat="1" applyFont="1" applyBorder="1"/>
    <xf numFmtId="0" fontId="13" fillId="3" borderId="32" xfId="0" applyFont="1" applyFill="1" applyBorder="1"/>
    <xf numFmtId="0" fontId="13" fillId="3" borderId="33" xfId="0" applyFont="1" applyFill="1" applyBorder="1"/>
    <xf numFmtId="0" fontId="13" fillId="3" borderId="34" xfId="0" applyFont="1" applyFill="1" applyBorder="1"/>
    <xf numFmtId="0" fontId="54" fillId="0" borderId="3" xfId="0" applyFont="1" applyBorder="1"/>
    <xf numFmtId="0" fontId="6" fillId="0" borderId="5" xfId="0" applyFont="1" applyFill="1" applyBorder="1"/>
    <xf numFmtId="0" fontId="58" fillId="3" borderId="5" xfId="0" applyFont="1" applyFill="1" applyBorder="1"/>
    <xf numFmtId="0" fontId="6" fillId="0" borderId="7" xfId="0" applyFont="1" applyFill="1" applyBorder="1"/>
    <xf numFmtId="9" fontId="8" fillId="0" borderId="0" xfId="0" applyNumberFormat="1" applyFont="1"/>
    <xf numFmtId="0" fontId="15" fillId="9" borderId="0" xfId="0" applyFont="1" applyFill="1"/>
    <xf numFmtId="0" fontId="5" fillId="0" borderId="0" xfId="0" applyFont="1" applyAlignment="1">
      <alignment horizontal="left"/>
    </xf>
    <xf numFmtId="0" fontId="9" fillId="43" borderId="2" xfId="0" applyFont="1" applyFill="1" applyBorder="1"/>
    <xf numFmtId="0" fontId="9" fillId="43" borderId="3" xfId="0" applyFont="1" applyFill="1" applyBorder="1"/>
    <xf numFmtId="0" fontId="9" fillId="43" borderId="4" xfId="0" applyFont="1" applyFill="1" applyBorder="1"/>
    <xf numFmtId="0" fontId="61" fillId="0" borderId="5" xfId="0" applyFont="1" applyBorder="1"/>
    <xf numFmtId="0" fontId="61" fillId="0" borderId="0" xfId="0" applyFont="1" applyBorder="1"/>
    <xf numFmtId="0" fontId="9" fillId="43" borderId="7" xfId="0" applyFont="1" applyFill="1" applyBorder="1"/>
    <xf numFmtId="0" fontId="9" fillId="43" borderId="8" xfId="0" applyFont="1" applyFill="1" applyBorder="1"/>
    <xf numFmtId="0" fontId="9" fillId="43" borderId="9" xfId="0" applyFont="1" applyFill="1" applyBorder="1"/>
    <xf numFmtId="0" fontId="14" fillId="43" borderId="2" xfId="0" applyFont="1" applyFill="1" applyBorder="1"/>
    <xf numFmtId="0" fontId="14" fillId="43" borderId="3" xfId="0" applyFont="1" applyFill="1" applyBorder="1" applyAlignment="1">
      <alignment horizontal="center"/>
    </xf>
    <xf numFmtId="0" fontId="14" fillId="43" borderId="4" xfId="0" applyFont="1" applyFill="1" applyBorder="1" applyAlignment="1">
      <alignment horizontal="center"/>
    </xf>
    <xf numFmtId="3" fontId="8" fillId="0" borderId="6" xfId="0" applyNumberFormat="1" applyFont="1" applyBorder="1"/>
    <xf numFmtId="0" fontId="14" fillId="43" borderId="10" xfId="0" applyFont="1" applyFill="1" applyBorder="1"/>
    <xf numFmtId="0" fontId="14" fillId="43" borderId="11" xfId="0" applyFont="1" applyFill="1" applyBorder="1"/>
    <xf numFmtId="0" fontId="14" fillId="43" borderId="12" xfId="0" applyFont="1" applyFill="1" applyBorder="1"/>
    <xf numFmtId="0" fontId="9" fillId="43" borderId="0" xfId="0" applyFont="1" applyFill="1"/>
    <xf numFmtId="0" fontId="14" fillId="43" borderId="0" xfId="8" applyFont="1" applyFill="1" applyAlignment="1">
      <alignment horizontal="right" vertical="center"/>
    </xf>
    <xf numFmtId="164" fontId="8" fillId="0" borderId="0" xfId="1" applyNumberFormat="1" applyFont="1"/>
    <xf numFmtId="164" fontId="8" fillId="0" borderId="31" xfId="1" applyNumberFormat="1" applyFont="1" applyBorder="1"/>
    <xf numFmtId="0" fontId="7" fillId="0" borderId="7" xfId="0" applyFont="1" applyBorder="1"/>
    <xf numFmtId="0" fontId="7" fillId="0" borderId="8" xfId="0" applyFont="1" applyBorder="1"/>
    <xf numFmtId="43" fontId="7" fillId="0" borderId="8" xfId="2" applyFont="1" applyBorder="1"/>
    <xf numFmtId="43" fontId="7" fillId="0" borderId="9" xfId="2" applyFont="1" applyBorder="1"/>
    <xf numFmtId="9" fontId="8" fillId="0" borderId="0" xfId="1" applyFont="1" applyBorder="1"/>
    <xf numFmtId="164" fontId="13" fillId="0" borderId="8" xfId="1" applyNumberFormat="1" applyFont="1" applyBorder="1"/>
    <xf numFmtId="0" fontId="62" fillId="43" borderId="0" xfId="8" applyFont="1" applyFill="1" applyAlignment="1">
      <alignment horizontal="left" vertical="center"/>
    </xf>
    <xf numFmtId="0" fontId="62" fillId="43" borderId="0" xfId="8" applyFont="1" applyFill="1" applyAlignment="1">
      <alignment horizontal="right" vertical="center"/>
    </xf>
    <xf numFmtId="38" fontId="27" fillId="0" borderId="0" xfId="7" applyNumberFormat="1" applyFont="1" applyBorder="1" applyAlignment="1">
      <alignment horizontal="right" vertical="center"/>
    </xf>
    <xf numFmtId="0" fontId="14" fillId="43" borderId="32" xfId="8" applyFont="1" applyFill="1" applyBorder="1" applyAlignment="1">
      <alignment horizontal="right" vertical="center"/>
    </xf>
    <xf numFmtId="0" fontId="14" fillId="43" borderId="34" xfId="8" applyFont="1" applyFill="1" applyBorder="1" applyAlignment="1">
      <alignment horizontal="right" vertical="center"/>
    </xf>
    <xf numFmtId="0" fontId="13" fillId="4" borderId="11" xfId="0" applyFont="1" applyFill="1" applyBorder="1" applyAlignment="1">
      <alignment horizontal="right"/>
    </xf>
    <xf numFmtId="9" fontId="2" fillId="0" borderId="0" xfId="0" applyNumberFormat="1" applyFont="1" applyBorder="1"/>
    <xf numFmtId="9" fontId="2" fillId="0" borderId="8" xfId="0" applyNumberFormat="1" applyFont="1" applyBorder="1"/>
    <xf numFmtId="0" fontId="62" fillId="0" borderId="0" xfId="7" applyNumberFormat="1" applyFont="1" applyFill="1" applyBorder="1" applyAlignment="1">
      <alignment horizontal="right" vertical="center"/>
    </xf>
    <xf numFmtId="0" fontId="8" fillId="0" borderId="0" xfId="0" applyFont="1" applyFill="1" applyBorder="1"/>
    <xf numFmtId="165" fontId="8" fillId="0" borderId="0" xfId="2" applyNumberFormat="1" applyFont="1" applyFill="1" applyBorder="1"/>
    <xf numFmtId="0" fontId="8" fillId="0" borderId="8" xfId="0" applyFont="1" applyFill="1" applyBorder="1"/>
    <xf numFmtId="164" fontId="8" fillId="0" borderId="8" xfId="1" applyNumberFormat="1" applyFont="1" applyFill="1" applyBorder="1"/>
    <xf numFmtId="165" fontId="8" fillId="44" borderId="31" xfId="2" applyNumberFormat="1" applyFont="1" applyFill="1" applyBorder="1"/>
    <xf numFmtId="38" fontId="13" fillId="0" borderId="8" xfId="0" applyNumberFormat="1" applyFont="1" applyBorder="1"/>
    <xf numFmtId="9" fontId="8" fillId="0" borderId="0" xfId="1" applyFont="1"/>
    <xf numFmtId="10" fontId="7" fillId="0" borderId="0" xfId="1" applyNumberFormat="1" applyFont="1"/>
    <xf numFmtId="0" fontId="14" fillId="43" borderId="6" xfId="8" applyFont="1" applyFill="1" applyBorder="1" applyAlignment="1">
      <alignment horizontal="right" vertical="center"/>
    </xf>
    <xf numFmtId="164" fontId="8" fillId="0" borderId="35" xfId="1" applyNumberFormat="1" applyFont="1" applyBorder="1"/>
    <xf numFmtId="165" fontId="14" fillId="0" borderId="0" xfId="0" applyNumberFormat="1" applyFont="1" applyBorder="1"/>
    <xf numFmtId="164" fontId="9" fillId="0" borderId="0" xfId="1" applyNumberFormat="1" applyFont="1" applyBorder="1"/>
    <xf numFmtId="165" fontId="9" fillId="0" borderId="0" xfId="2" applyNumberFormat="1" applyFont="1" applyBorder="1"/>
    <xf numFmtId="10" fontId="9" fillId="0" borderId="0" xfId="1" applyNumberFormat="1" applyFont="1" applyBorder="1"/>
    <xf numFmtId="43" fontId="54" fillId="0" borderId="0" xfId="2" applyFont="1" applyBorder="1" applyAlignment="1"/>
    <xf numFmtId="165" fontId="8" fillId="0" borderId="0" xfId="2" applyNumberFormat="1" applyFont="1" applyFill="1"/>
    <xf numFmtId="0" fontId="62" fillId="43" borderId="8" xfId="8" applyFont="1" applyFill="1" applyBorder="1" applyAlignment="1">
      <alignment horizontal="right" vertical="center"/>
    </xf>
    <xf numFmtId="165" fontId="63" fillId="0" borderId="0" xfId="2" applyNumberFormat="1" applyFont="1" applyBorder="1"/>
    <xf numFmtId="165" fontId="64" fillId="0" borderId="0" xfId="2" applyNumberFormat="1" applyFont="1" applyBorder="1"/>
    <xf numFmtId="0" fontId="50" fillId="6" borderId="0" xfId="0" applyFont="1" applyFill="1" applyBorder="1" applyAlignment="1">
      <alignment horizontal="center"/>
    </xf>
    <xf numFmtId="0" fontId="51" fillId="0" borderId="30" xfId="0" applyFont="1" applyBorder="1"/>
    <xf numFmtId="0" fontId="65" fillId="0" borderId="30" xfId="0" applyFont="1" applyBorder="1"/>
    <xf numFmtId="165" fontId="66" fillId="0" borderId="0" xfId="2" applyNumberFormat="1" applyFont="1" applyBorder="1"/>
    <xf numFmtId="165" fontId="50" fillId="0" borderId="0" xfId="2" applyNumberFormat="1" applyFont="1" applyBorder="1"/>
    <xf numFmtId="0" fontId="18" fillId="0" borderId="0" xfId="0" applyFont="1"/>
    <xf numFmtId="0" fontId="48" fillId="0" borderId="0" xfId="0" applyFont="1"/>
    <xf numFmtId="0" fontId="0" fillId="0" borderId="0" xfId="0" applyFont="1"/>
    <xf numFmtId="166" fontId="65" fillId="0" borderId="30" xfId="0" applyNumberFormat="1" applyFont="1" applyBorder="1"/>
    <xf numFmtId="0" fontId="13" fillId="0" borderId="8" xfId="0" applyFont="1" applyBorder="1"/>
    <xf numFmtId="10" fontId="13" fillId="0" borderId="8" xfId="1" applyNumberFormat="1" applyFont="1" applyBorder="1"/>
    <xf numFmtId="10" fontId="13" fillId="0" borderId="9" xfId="1" applyNumberFormat="1" applyFont="1" applyBorder="1"/>
    <xf numFmtId="0" fontId="8" fillId="0" borderId="8" xfId="0" applyFont="1" applyBorder="1" applyAlignment="1">
      <alignment horizontal="right"/>
    </xf>
    <xf numFmtId="0" fontId="10" fillId="0" borderId="8" xfId="3" applyBorder="1"/>
    <xf numFmtId="0" fontId="8" fillId="42" borderId="0" xfId="0" applyFont="1" applyFill="1" applyBorder="1"/>
    <xf numFmtId="165" fontId="8" fillId="42" borderId="0" xfId="2" applyNumberFormat="1" applyFont="1" applyFill="1" applyBorder="1"/>
    <xf numFmtId="43" fontId="8" fillId="42" borderId="0" xfId="2" applyFont="1" applyFill="1" applyBorder="1"/>
    <xf numFmtId="0" fontId="13" fillId="42" borderId="0" xfId="0" applyFont="1" applyFill="1" applyBorder="1"/>
    <xf numFmtId="165" fontId="13" fillId="42" borderId="0" xfId="2" applyNumberFormat="1" applyFont="1" applyFill="1" applyBorder="1"/>
    <xf numFmtId="0" fontId="8" fillId="42" borderId="0" xfId="0" applyFont="1" applyFill="1" applyBorder="1" applyAlignment="1">
      <alignment horizontal="right"/>
    </xf>
    <xf numFmtId="43" fontId="8" fillId="42" borderId="0" xfId="2" applyFont="1" applyFill="1" applyBorder="1" applyAlignment="1">
      <alignment horizontal="right"/>
    </xf>
    <xf numFmtId="49" fontId="8" fillId="42" borderId="0" xfId="0" applyNumberFormat="1" applyFont="1" applyFill="1" applyBorder="1" applyAlignment="1">
      <alignment horizontal="right"/>
    </xf>
    <xf numFmtId="49" fontId="13" fillId="42" borderId="0" xfId="0" applyNumberFormat="1" applyFont="1" applyFill="1" applyBorder="1" applyAlignment="1">
      <alignment horizontal="right"/>
    </xf>
    <xf numFmtId="43" fontId="13" fillId="42" borderId="0" xfId="2" applyFont="1" applyFill="1" applyBorder="1" applyAlignment="1">
      <alignment horizontal="right"/>
    </xf>
    <xf numFmtId="43" fontId="13" fillId="42" borderId="0" xfId="2" applyFont="1" applyFill="1" applyBorder="1"/>
    <xf numFmtId="0" fontId="13" fillId="42" borderId="0" xfId="0" applyFont="1" applyFill="1" applyBorder="1" applyAlignment="1">
      <alignment horizontal="right" vertical="center" wrapText="1"/>
    </xf>
    <xf numFmtId="165" fontId="13" fillId="42" borderId="0" xfId="2" applyNumberFormat="1" applyFont="1" applyFill="1" applyBorder="1" applyAlignment="1">
      <alignment horizontal="right" vertical="center" wrapText="1"/>
    </xf>
    <xf numFmtId="49" fontId="13" fillId="42" borderId="0" xfId="0" applyNumberFormat="1" applyFont="1" applyFill="1" applyBorder="1" applyAlignment="1">
      <alignment horizontal="right" vertical="center" wrapText="1"/>
    </xf>
    <xf numFmtId="165" fontId="13" fillId="42" borderId="0" xfId="2" applyNumberFormat="1" applyFont="1" applyFill="1" applyBorder="1" applyAlignment="1">
      <alignment horizontal="right"/>
    </xf>
    <xf numFmtId="0" fontId="13" fillId="42" borderId="0" xfId="0" applyFont="1" applyFill="1" applyBorder="1" applyAlignment="1">
      <alignment horizontal="right"/>
    </xf>
    <xf numFmtId="0" fontId="13" fillId="42" borderId="0" xfId="0" applyFont="1" applyFill="1" applyBorder="1" applyAlignment="1">
      <alignment horizontal="center"/>
    </xf>
    <xf numFmtId="0" fontId="68" fillId="42" borderId="0" xfId="0" applyFont="1" applyFill="1" applyBorder="1" applyAlignment="1">
      <alignment horizontal="center"/>
    </xf>
    <xf numFmtId="0" fontId="69" fillId="42" borderId="0" xfId="0" applyFont="1" applyFill="1" applyBorder="1"/>
    <xf numFmtId="164" fontId="69" fillId="42" borderId="0" xfId="1" applyNumberFormat="1" applyFont="1" applyFill="1" applyBorder="1"/>
    <xf numFmtId="164" fontId="69" fillId="42" borderId="0" xfId="1" applyNumberFormat="1" applyFont="1" applyFill="1" applyBorder="1" applyAlignment="1">
      <alignment horizontal="right"/>
    </xf>
    <xf numFmtId="165" fontId="8" fillId="42" borderId="0" xfId="2" applyNumberFormat="1" applyFont="1" applyFill="1" applyBorder="1" applyAlignment="1">
      <alignment horizontal="right"/>
    </xf>
    <xf numFmtId="165" fontId="54" fillId="0" borderId="0" xfId="2" applyNumberFormat="1" applyFont="1" applyFill="1" applyBorder="1"/>
    <xf numFmtId="9" fontId="8" fillId="42" borderId="0" xfId="1" applyFont="1" applyFill="1" applyBorder="1"/>
    <xf numFmtId="164" fontId="8" fillId="42" borderId="0" xfId="1" applyNumberFormat="1" applyFont="1" applyFill="1" applyBorder="1"/>
    <xf numFmtId="165" fontId="8" fillId="0" borderId="8" xfId="2" applyNumberFormat="1" applyFont="1" applyFill="1" applyBorder="1"/>
    <xf numFmtId="0" fontId="57" fillId="2" borderId="0" xfId="0" applyFont="1" applyFill="1"/>
    <xf numFmtId="0" fontId="8" fillId="0" borderId="0" xfId="2" applyNumberFormat="1" applyFont="1"/>
    <xf numFmtId="17" fontId="8" fillId="0" borderId="0" xfId="0" applyNumberFormat="1" applyFont="1"/>
    <xf numFmtId="0" fontId="57" fillId="45" borderId="0" xfId="0" applyFont="1" applyFill="1" applyAlignment="1">
      <alignment horizontal="right"/>
    </xf>
    <xf numFmtId="165" fontId="13" fillId="0" borderId="0" xfId="0" applyNumberFormat="1" applyFont="1"/>
    <xf numFmtId="0" fontId="8" fillId="42" borderId="0" xfId="0" applyFont="1" applyFill="1"/>
    <xf numFmtId="0" fontId="0" fillId="42" borderId="0" xfId="0" applyFill="1"/>
    <xf numFmtId="165" fontId="8" fillId="42" borderId="0" xfId="2" applyNumberFormat="1" applyFont="1" applyFill="1"/>
    <xf numFmtId="43" fontId="8" fillId="0" borderId="0" xfId="2" applyNumberFormat="1" applyFont="1"/>
    <xf numFmtId="9" fontId="8" fillId="42" borderId="0" xfId="0" applyNumberFormat="1" applyFont="1" applyFill="1"/>
    <xf numFmtId="165" fontId="8" fillId="42" borderId="0" xfId="0" applyNumberFormat="1" applyFont="1" applyFill="1"/>
    <xf numFmtId="165" fontId="13" fillId="42" borderId="0" xfId="0" applyNumberFormat="1" applyFont="1" applyFill="1"/>
    <xf numFmtId="0" fontId="13" fillId="42" borderId="0" xfId="0" applyFont="1" applyFill="1"/>
    <xf numFmtId="0" fontId="48" fillId="42" borderId="0" xfId="0" applyFont="1" applyFill="1"/>
    <xf numFmtId="165" fontId="13" fillId="42" borderId="0" xfId="2" applyNumberFormat="1" applyFont="1" applyFill="1"/>
    <xf numFmtId="165" fontId="14" fillId="0" borderId="6" xfId="0" applyNumberFormat="1" applyFont="1" applyBorder="1"/>
    <xf numFmtId="164" fontId="9" fillId="0" borderId="6" xfId="1" applyNumberFormat="1" applyFont="1" applyBorder="1"/>
    <xf numFmtId="165" fontId="9" fillId="0" borderId="6" xfId="2" applyNumberFormat="1" applyFont="1" applyBorder="1"/>
    <xf numFmtId="0" fontId="13" fillId="42" borderId="4" xfId="0" applyFont="1" applyFill="1" applyBorder="1" applyAlignment="1">
      <alignment horizontal="right"/>
    </xf>
    <xf numFmtId="165" fontId="54" fillId="0" borderId="6" xfId="2" applyNumberFormat="1" applyFont="1" applyBorder="1"/>
    <xf numFmtId="164" fontId="54" fillId="0" borderId="9" xfId="1" applyNumberFormat="1" applyFont="1" applyBorder="1"/>
    <xf numFmtId="165" fontId="8" fillId="44" borderId="0" xfId="0" applyNumberFormat="1" applyFont="1" applyFill="1"/>
    <xf numFmtId="164" fontId="0" fillId="42" borderId="0" xfId="1" applyNumberFormat="1" applyFont="1" applyFill="1"/>
    <xf numFmtId="164" fontId="8" fillId="42" borderId="0" xfId="1" applyNumberFormat="1" applyFont="1" applyFill="1"/>
    <xf numFmtId="165" fontId="8" fillId="44" borderId="0" xfId="2" applyNumberFormat="1" applyFont="1" applyFill="1"/>
    <xf numFmtId="0" fontId="5" fillId="4" borderId="12" xfId="0" applyFont="1" applyFill="1" applyBorder="1" applyAlignment="1">
      <alignment horizontal="right"/>
    </xf>
    <xf numFmtId="0" fontId="13" fillId="0" borderId="6" xfId="0" applyFont="1" applyBorder="1" applyAlignment="1">
      <alignment horizontal="right"/>
    </xf>
    <xf numFmtId="165" fontId="54" fillId="0" borderId="4" xfId="2" applyNumberFormat="1" applyFont="1" applyBorder="1"/>
    <xf numFmtId="165" fontId="54" fillId="0" borderId="9" xfId="2" applyNumberFormat="1" applyFont="1" applyBorder="1"/>
    <xf numFmtId="165" fontId="8" fillId="0" borderId="6" xfId="0" applyNumberFormat="1" applyFont="1" applyFill="1" applyBorder="1"/>
    <xf numFmtId="165" fontId="8" fillId="0" borderId="6" xfId="2" applyNumberFormat="1" applyFont="1" applyFill="1" applyBorder="1"/>
    <xf numFmtId="165" fontId="54" fillId="0" borderId="6" xfId="2" applyNumberFormat="1" applyFont="1" applyFill="1" applyBorder="1"/>
    <xf numFmtId="165" fontId="8" fillId="0" borderId="9" xfId="2" applyNumberFormat="1" applyFont="1" applyFill="1" applyBorder="1"/>
    <xf numFmtId="0" fontId="13" fillId="3" borderId="11" xfId="0" applyFont="1" applyFill="1" applyBorder="1" applyAlignment="1">
      <alignment horizontal="left"/>
    </xf>
    <xf numFmtId="0" fontId="8" fillId="0" borderId="6" xfId="0" applyFont="1" applyBorder="1" applyAlignment="1">
      <alignment horizontal="right"/>
    </xf>
    <xf numFmtId="165" fontId="8" fillId="0" borderId="0" xfId="2" applyNumberFormat="1" applyFont="1" applyBorder="1" applyAlignment="1">
      <alignment horizontal="right"/>
    </xf>
    <xf numFmtId="165" fontId="8" fillId="0" borderId="6" xfId="2" applyNumberFormat="1" applyFont="1" applyBorder="1" applyAlignment="1">
      <alignment horizontal="right"/>
    </xf>
    <xf numFmtId="0" fontId="13" fillId="3" borderId="6" xfId="0" applyFont="1" applyFill="1" applyBorder="1"/>
    <xf numFmtId="165" fontId="2" fillId="0" borderId="9" xfId="0" applyNumberFormat="1" applyFont="1" applyBorder="1"/>
    <xf numFmtId="0" fontId="5" fillId="43" borderId="11" xfId="0" applyFont="1" applyFill="1" applyBorder="1"/>
    <xf numFmtId="0" fontId="5" fillId="43" borderId="12" xfId="0" applyFont="1" applyFill="1" applyBorder="1"/>
    <xf numFmtId="165" fontId="54" fillId="0" borderId="6" xfId="0" applyNumberFormat="1" applyFont="1" applyBorder="1"/>
    <xf numFmtId="0" fontId="13" fillId="43" borderId="12" xfId="0" applyFont="1" applyFill="1" applyBorder="1" applyAlignment="1">
      <alignment horizontal="right"/>
    </xf>
    <xf numFmtId="165" fontId="8" fillId="0" borderId="4" xfId="2" applyNumberFormat="1" applyFont="1" applyBorder="1"/>
    <xf numFmtId="38" fontId="8" fillId="0" borderId="9" xfId="0" applyNumberFormat="1" applyFont="1" applyBorder="1"/>
    <xf numFmtId="38" fontId="13" fillId="0" borderId="9" xfId="0" applyNumberFormat="1" applyFont="1" applyBorder="1"/>
    <xf numFmtId="38" fontId="54" fillId="0" borderId="6" xfId="0" applyNumberFormat="1" applyFont="1" applyBorder="1"/>
    <xf numFmtId="10" fontId="54" fillId="0" borderId="9" xfId="0" applyNumberFormat="1" applyFont="1" applyBorder="1"/>
    <xf numFmtId="165" fontId="8" fillId="0" borderId="3" xfId="2" applyNumberFormat="1" applyFont="1" applyFill="1" applyBorder="1"/>
    <xf numFmtId="165" fontId="8" fillId="0" borderId="4" xfId="2" applyNumberFormat="1" applyFont="1" applyFill="1" applyBorder="1"/>
    <xf numFmtId="164" fontId="8" fillId="0" borderId="9" xfId="1" applyNumberFormat="1" applyFont="1" applyFill="1" applyBorder="1"/>
    <xf numFmtId="168" fontId="8" fillId="0" borderId="3" xfId="2" applyNumberFormat="1" applyFont="1" applyBorder="1"/>
    <xf numFmtId="168" fontId="8" fillId="0" borderId="0" xfId="2" applyNumberFormat="1" applyFont="1" applyBorder="1"/>
    <xf numFmtId="168" fontId="8" fillId="0" borderId="6" xfId="2" applyNumberFormat="1" applyFont="1" applyBorder="1"/>
    <xf numFmtId="168" fontId="13" fillId="0" borderId="0" xfId="2" applyNumberFormat="1" applyFont="1" applyBorder="1"/>
    <xf numFmtId="168" fontId="13" fillId="0" borderId="6" xfId="2" applyNumberFormat="1" applyFont="1" applyBorder="1"/>
    <xf numFmtId="168" fontId="13" fillId="0" borderId="9" xfId="2" applyNumberFormat="1" applyFont="1" applyBorder="1"/>
    <xf numFmtId="168" fontId="13" fillId="0" borderId="8" xfId="2" applyNumberFormat="1" applyFont="1" applyBorder="1"/>
    <xf numFmtId="167" fontId="8" fillId="0" borderId="0" xfId="2" applyNumberFormat="1" applyFont="1"/>
    <xf numFmtId="165" fontId="8" fillId="44" borderId="6" xfId="0" applyNumberFormat="1" applyFont="1" applyFill="1" applyBorder="1"/>
    <xf numFmtId="165" fontId="0" fillId="0" borderId="0" xfId="0" applyNumberFormat="1"/>
    <xf numFmtId="0" fontId="8" fillId="44" borderId="0" xfId="0" applyFont="1" applyFill="1"/>
    <xf numFmtId="0" fontId="0" fillId="44" borderId="0" xfId="0" applyFill="1"/>
    <xf numFmtId="165" fontId="63" fillId="44" borderId="0" xfId="2" applyNumberFormat="1" applyFont="1" applyFill="1" applyBorder="1"/>
    <xf numFmtId="43" fontId="0" fillId="0" borderId="0" xfId="0" applyNumberFormat="1"/>
    <xf numFmtId="165" fontId="0" fillId="42" borderId="0" xfId="0" applyNumberFormat="1" applyFill="1"/>
    <xf numFmtId="0" fontId="71" fillId="2" borderId="36" xfId="0" applyFont="1" applyFill="1" applyBorder="1" applyAlignment="1">
      <alignment horizontal="left" wrapText="1" readingOrder="1"/>
    </xf>
    <xf numFmtId="0" fontId="71" fillId="2" borderId="37" xfId="0" applyFont="1" applyFill="1" applyBorder="1" applyAlignment="1">
      <alignment horizontal="left" wrapText="1" readingOrder="1"/>
    </xf>
    <xf numFmtId="0" fontId="71" fillId="2" borderId="38" xfId="0" applyFont="1" applyFill="1" applyBorder="1" applyAlignment="1">
      <alignment horizontal="left" wrapText="1" readingOrder="1"/>
    </xf>
    <xf numFmtId="0" fontId="61" fillId="0" borderId="39" xfId="0" applyFont="1" applyBorder="1" applyAlignment="1">
      <alignment horizontal="left" wrapText="1" readingOrder="1"/>
    </xf>
    <xf numFmtId="3" fontId="61" fillId="0" borderId="0" xfId="0" applyNumberFormat="1" applyFont="1" applyAlignment="1">
      <alignment horizontal="right" wrapText="1" readingOrder="1"/>
    </xf>
    <xf numFmtId="3" fontId="61" fillId="0" borderId="40" xfId="0" applyNumberFormat="1" applyFont="1" applyBorder="1" applyAlignment="1">
      <alignment horizontal="right" wrapText="1" readingOrder="1"/>
    </xf>
    <xf numFmtId="0" fontId="61" fillId="46" borderId="39" xfId="0" applyFont="1" applyFill="1" applyBorder="1" applyAlignment="1">
      <alignment horizontal="left" wrapText="1" readingOrder="1"/>
    </xf>
    <xf numFmtId="3" fontId="61" fillId="46" borderId="0" xfId="0" applyNumberFormat="1" applyFont="1" applyFill="1" applyAlignment="1">
      <alignment horizontal="right" wrapText="1" readingOrder="1"/>
    </xf>
    <xf numFmtId="3" fontId="61" fillId="46" borderId="40" xfId="0" applyNumberFormat="1" applyFont="1" applyFill="1" applyBorder="1" applyAlignment="1">
      <alignment horizontal="right" wrapText="1" readingOrder="1"/>
    </xf>
    <xf numFmtId="40" fontId="61" fillId="46" borderId="40" xfId="2" applyNumberFormat="1" applyFont="1" applyFill="1" applyBorder="1" applyAlignment="1">
      <alignment horizontal="right" wrapText="1" readingOrder="1"/>
    </xf>
    <xf numFmtId="0" fontId="61" fillId="0" borderId="41" xfId="0" applyFont="1" applyBorder="1" applyAlignment="1">
      <alignment horizontal="left" wrapText="1" readingOrder="1"/>
    </xf>
    <xf numFmtId="3" fontId="61" fillId="0" borderId="42" xfId="0" applyNumberFormat="1" applyFont="1" applyBorder="1" applyAlignment="1">
      <alignment horizontal="right" wrapText="1" readingOrder="1"/>
    </xf>
    <xf numFmtId="3" fontId="61" fillId="0" borderId="43" xfId="0" applyNumberFormat="1" applyFont="1" applyBorder="1" applyAlignment="1">
      <alignment horizontal="right" wrapText="1" readingOrder="1"/>
    </xf>
    <xf numFmtId="3" fontId="61" fillId="0" borderId="0" xfId="0" applyNumberFormat="1" applyFont="1" applyAlignment="1">
      <alignment horizontal="left" wrapText="1" readingOrder="1"/>
    </xf>
    <xf numFmtId="3" fontId="61" fillId="0" borderId="40" xfId="0" applyNumberFormat="1" applyFont="1" applyBorder="1" applyAlignment="1">
      <alignment horizontal="left" wrapText="1" readingOrder="1"/>
    </xf>
    <xf numFmtId="3" fontId="61" fillId="46" borderId="0" xfId="0" applyNumberFormat="1" applyFont="1" applyFill="1" applyAlignment="1">
      <alignment horizontal="left" wrapText="1" readingOrder="1"/>
    </xf>
    <xf numFmtId="3" fontId="61" fillId="46" borderId="40" xfId="0" applyNumberFormat="1" applyFont="1" applyFill="1" applyBorder="1" applyAlignment="1">
      <alignment horizontal="left" wrapText="1" readingOrder="1"/>
    </xf>
    <xf numFmtId="38" fontId="61" fillId="0" borderId="40" xfId="0" applyNumberFormat="1" applyFont="1" applyBorder="1" applyAlignment="1">
      <alignment horizontal="left" wrapText="1" readingOrder="1"/>
    </xf>
    <xf numFmtId="3" fontId="61" fillId="0" borderId="42" xfId="0" applyNumberFormat="1" applyFont="1" applyBorder="1" applyAlignment="1">
      <alignment horizontal="left" wrapText="1" readingOrder="1"/>
    </xf>
    <xf numFmtId="3" fontId="61" fillId="0" borderId="43" xfId="0" applyNumberFormat="1" applyFont="1" applyBorder="1" applyAlignment="1">
      <alignment horizontal="left" wrapText="1" readingOrder="1"/>
    </xf>
    <xf numFmtId="43" fontId="13" fillId="0" borderId="0" xfId="2" applyFont="1"/>
    <xf numFmtId="165" fontId="0" fillId="42" borderId="0" xfId="2" applyNumberFormat="1" applyFont="1" applyFill="1"/>
    <xf numFmtId="0" fontId="74" fillId="0" borderId="0" xfId="0" applyFont="1" applyBorder="1" applyAlignment="1">
      <alignment horizontal="right" vertical="center" wrapText="1" readingOrder="1"/>
    </xf>
    <xf numFmtId="167" fontId="74" fillId="0" borderId="0" xfId="2" applyNumberFormat="1" applyFont="1" applyBorder="1" applyAlignment="1">
      <alignment horizontal="right" vertical="center" wrapText="1" readingOrder="1"/>
    </xf>
    <xf numFmtId="164" fontId="74" fillId="0" borderId="0" xfId="0" applyNumberFormat="1" applyFont="1" applyBorder="1" applyAlignment="1">
      <alignment horizontal="right" vertical="center" wrapText="1" readingOrder="1"/>
    </xf>
    <xf numFmtId="9" fontId="74" fillId="0" borderId="0" xfId="0" applyNumberFormat="1" applyFont="1" applyBorder="1" applyAlignment="1">
      <alignment horizontal="right" vertical="center" wrapText="1" readingOrder="1"/>
    </xf>
    <xf numFmtId="165" fontId="74" fillId="0" borderId="0" xfId="2" applyNumberFormat="1" applyFont="1" applyBorder="1" applyAlignment="1">
      <alignment horizontal="right" vertical="center" wrapText="1" readingOrder="1"/>
    </xf>
    <xf numFmtId="0" fontId="72" fillId="2" borderId="20" xfId="0" applyFont="1" applyFill="1" applyBorder="1" applyAlignment="1">
      <alignment horizontal="right" vertical="center" wrapText="1" readingOrder="1"/>
    </xf>
    <xf numFmtId="0" fontId="72" fillId="2" borderId="45" xfId="0" applyFont="1" applyFill="1" applyBorder="1" applyAlignment="1">
      <alignment horizontal="right" vertical="center" wrapText="1" readingOrder="1"/>
    </xf>
    <xf numFmtId="0" fontId="74" fillId="0" borderId="46" xfId="0" applyFont="1" applyBorder="1" applyAlignment="1">
      <alignment horizontal="left" vertical="center" wrapText="1" readingOrder="1"/>
    </xf>
    <xf numFmtId="167" fontId="74" fillId="47" borderId="47" xfId="2" applyNumberFormat="1" applyFont="1" applyFill="1" applyBorder="1" applyAlignment="1">
      <alignment horizontal="right" vertical="center" wrapText="1" readingOrder="1"/>
    </xf>
    <xf numFmtId="164" fontId="74" fillId="47" borderId="47" xfId="0" applyNumberFormat="1" applyFont="1" applyFill="1" applyBorder="1" applyAlignment="1">
      <alignment horizontal="right" vertical="center" wrapText="1" readingOrder="1"/>
    </xf>
    <xf numFmtId="9" fontId="74" fillId="47" borderId="47" xfId="0" applyNumberFormat="1" applyFont="1" applyFill="1" applyBorder="1" applyAlignment="1">
      <alignment horizontal="right" vertical="center" wrapText="1" readingOrder="1"/>
    </xf>
    <xf numFmtId="165" fontId="74" fillId="47" borderId="47" xfId="2" applyNumberFormat="1" applyFont="1" applyFill="1" applyBorder="1" applyAlignment="1">
      <alignment horizontal="right" vertical="center" wrapText="1" readingOrder="1"/>
    </xf>
    <xf numFmtId="0" fontId="74" fillId="47" borderId="47" xfId="0" applyFont="1" applyFill="1" applyBorder="1" applyAlignment="1">
      <alignment horizontal="right" vertical="center" wrapText="1" readingOrder="1"/>
    </xf>
    <xf numFmtId="0" fontId="75" fillId="0" borderId="46" xfId="0" applyFont="1" applyBorder="1" applyAlignment="1">
      <alignment horizontal="left" vertical="center" wrapText="1" readingOrder="1"/>
    </xf>
    <xf numFmtId="0" fontId="74" fillId="0" borderId="48" xfId="0" applyFont="1" applyBorder="1" applyAlignment="1">
      <alignment horizontal="left" vertical="center" wrapText="1" readingOrder="1"/>
    </xf>
    <xf numFmtId="0" fontId="74" fillId="0" borderId="19" xfId="0" applyFont="1" applyBorder="1" applyAlignment="1">
      <alignment horizontal="right" vertical="center" wrapText="1" readingOrder="1"/>
    </xf>
    <xf numFmtId="164" fontId="74" fillId="0" borderId="19" xfId="0" applyNumberFormat="1" applyFont="1" applyBorder="1" applyAlignment="1">
      <alignment horizontal="right" vertical="center" wrapText="1" readingOrder="1"/>
    </xf>
    <xf numFmtId="164" fontId="74" fillId="47" borderId="49" xfId="0" applyNumberFormat="1" applyFont="1" applyFill="1" applyBorder="1" applyAlignment="1">
      <alignment horizontal="right" vertical="center" wrapText="1" readingOrder="1"/>
    </xf>
    <xf numFmtId="0" fontId="15" fillId="2" borderId="2" xfId="0" applyFont="1" applyFill="1" applyBorder="1"/>
    <xf numFmtId="0" fontId="15" fillId="2" borderId="3" xfId="0" applyFont="1" applyFill="1" applyBorder="1"/>
    <xf numFmtId="0" fontId="15" fillId="2" borderId="4" xfId="0" applyFont="1" applyFill="1" applyBorder="1"/>
    <xf numFmtId="0" fontId="15" fillId="2" borderId="5" xfId="0" applyFont="1" applyFill="1" applyBorder="1"/>
    <xf numFmtId="0" fontId="15" fillId="2" borderId="0" xfId="0" applyFont="1" applyFill="1" applyBorder="1"/>
    <xf numFmtId="0" fontId="15" fillId="2" borderId="6" xfId="0" applyFont="1" applyFill="1" applyBorder="1"/>
    <xf numFmtId="164" fontId="13" fillId="0" borderId="9" xfId="1" applyNumberFormat="1" applyFont="1" applyBorder="1"/>
    <xf numFmtId="165" fontId="8" fillId="42" borderId="6" xfId="2" applyNumberFormat="1" applyFont="1" applyFill="1" applyBorder="1"/>
    <xf numFmtId="165" fontId="8" fillId="42" borderId="8" xfId="2" applyNumberFormat="1" applyFont="1" applyFill="1" applyBorder="1"/>
    <xf numFmtId="165" fontId="8" fillId="42" borderId="9" xfId="2" applyNumberFormat="1" applyFont="1" applyFill="1" applyBorder="1"/>
    <xf numFmtId="0" fontId="15" fillId="2" borderId="0" xfId="0" applyFont="1" applyFill="1"/>
    <xf numFmtId="0" fontId="13" fillId="48" borderId="0" xfId="0" applyFont="1" applyFill="1"/>
    <xf numFmtId="164" fontId="13" fillId="48" borderId="0" xfId="1" applyNumberFormat="1" applyFont="1" applyFill="1"/>
    <xf numFmtId="0" fontId="61" fillId="0" borderId="46" xfId="0" applyFont="1" applyBorder="1" applyAlignment="1">
      <alignment horizontal="left" vertical="center" wrapText="1" readingOrder="1"/>
    </xf>
    <xf numFmtId="0" fontId="61" fillId="0" borderId="0" xfId="0" applyFont="1" applyBorder="1" applyAlignment="1">
      <alignment horizontal="right" vertical="center" wrapText="1" readingOrder="1"/>
    </xf>
    <xf numFmtId="0" fontId="76" fillId="0" borderId="46" xfId="0" applyFont="1" applyBorder="1" applyAlignment="1">
      <alignment horizontal="left" vertical="center" wrapText="1" readingOrder="1"/>
    </xf>
    <xf numFmtId="165" fontId="76" fillId="0" borderId="0" xfId="2" applyNumberFormat="1" applyFont="1" applyBorder="1" applyAlignment="1">
      <alignment horizontal="right" vertical="center" wrapText="1" readingOrder="1"/>
    </xf>
    <xf numFmtId="165" fontId="76" fillId="47" borderId="47" xfId="2" applyNumberFormat="1" applyFont="1" applyFill="1" applyBorder="1" applyAlignment="1">
      <alignment horizontal="right" vertical="center" wrapText="1" readingOrder="1"/>
    </xf>
    <xf numFmtId="0" fontId="61" fillId="0" borderId="48" xfId="0" applyFont="1" applyBorder="1" applyAlignment="1">
      <alignment horizontal="left" vertical="center" wrapText="1" readingOrder="1"/>
    </xf>
    <xf numFmtId="0" fontId="61" fillId="0" borderId="19" xfId="0" applyFont="1" applyBorder="1" applyAlignment="1">
      <alignment horizontal="right" vertical="center" wrapText="1" readingOrder="1"/>
    </xf>
    <xf numFmtId="165" fontId="74" fillId="0" borderId="19" xfId="2" applyNumberFormat="1" applyFont="1" applyBorder="1" applyAlignment="1">
      <alignment horizontal="right" vertical="center" wrapText="1" readingOrder="1"/>
    </xf>
    <xf numFmtId="165" fontId="74" fillId="47" borderId="49" xfId="2" applyNumberFormat="1" applyFont="1" applyFill="1" applyBorder="1" applyAlignment="1">
      <alignment horizontal="right" vertical="center" wrapText="1" readingOrder="1"/>
    </xf>
    <xf numFmtId="0" fontId="8" fillId="48" borderId="0" xfId="0" applyFont="1" applyFill="1"/>
    <xf numFmtId="165" fontId="8" fillId="48" borderId="0" xfId="2" applyNumberFormat="1" applyFont="1" applyFill="1"/>
    <xf numFmtId="165" fontId="8" fillId="44" borderId="51" xfId="0" applyNumberFormat="1" applyFont="1" applyFill="1" applyBorder="1"/>
    <xf numFmtId="165" fontId="8" fillId="44" borderId="52" xfId="0" applyNumberFormat="1" applyFont="1" applyFill="1" applyBorder="1"/>
    <xf numFmtId="165" fontId="8" fillId="42" borderId="53" xfId="0" applyNumberFormat="1" applyFont="1" applyFill="1" applyBorder="1"/>
    <xf numFmtId="165" fontId="8" fillId="42" borderId="50" xfId="0" applyNumberFormat="1" applyFont="1" applyFill="1" applyBorder="1"/>
    <xf numFmtId="10" fontId="0" fillId="0" borderId="0" xfId="0" applyNumberFormat="1"/>
    <xf numFmtId="38" fontId="8" fillId="0" borderId="50" xfId="0" applyNumberFormat="1" applyFont="1" applyBorder="1"/>
    <xf numFmtId="167" fontId="8" fillId="0" borderId="0" xfId="0" applyNumberFormat="1" applyFont="1" applyBorder="1"/>
    <xf numFmtId="167" fontId="8" fillId="0" borderId="6" xfId="0" applyNumberFormat="1" applyFont="1" applyBorder="1"/>
    <xf numFmtId="165" fontId="8" fillId="49" borderId="50" xfId="2" applyNumberFormat="1" applyFont="1" applyFill="1" applyBorder="1"/>
    <xf numFmtId="169" fontId="9" fillId="50" borderId="0" xfId="0" applyNumberFormat="1" applyFont="1" applyFill="1"/>
    <xf numFmtId="165" fontId="59" fillId="0" borderId="55" xfId="2" applyNumberFormat="1" applyFont="1" applyBorder="1"/>
    <xf numFmtId="165" fontId="59" fillId="0" borderId="56" xfId="2" applyNumberFormat="1" applyFont="1" applyBorder="1"/>
    <xf numFmtId="165" fontId="59" fillId="42" borderId="50" xfId="0" applyNumberFormat="1" applyFont="1" applyFill="1" applyBorder="1"/>
    <xf numFmtId="165" fontId="59" fillId="42" borderId="55" xfId="0" applyNumberFormat="1" applyFont="1" applyFill="1" applyBorder="1"/>
    <xf numFmtId="165" fontId="59" fillId="42" borderId="56" xfId="0" applyNumberFormat="1" applyFont="1" applyFill="1" applyBorder="1"/>
    <xf numFmtId="164" fontId="54" fillId="48" borderId="0" xfId="1" applyNumberFormat="1" applyFont="1" applyFill="1" applyBorder="1"/>
    <xf numFmtId="164" fontId="2" fillId="0" borderId="0" xfId="1" applyNumberFormat="1" applyFont="1"/>
    <xf numFmtId="165" fontId="8" fillId="48" borderId="0" xfId="2" applyNumberFormat="1" applyFont="1" applyFill="1" applyBorder="1"/>
    <xf numFmtId="9" fontId="54" fillId="48" borderId="0" xfId="0" applyNumberFormat="1" applyFont="1" applyFill="1" applyBorder="1"/>
    <xf numFmtId="43" fontId="8" fillId="0" borderId="0" xfId="2" applyNumberFormat="1" applyFont="1" applyBorder="1"/>
    <xf numFmtId="170" fontId="54" fillId="0" borderId="0" xfId="0" applyNumberFormat="1" applyFont="1" applyBorder="1"/>
    <xf numFmtId="170" fontId="54" fillId="0" borderId="8" xfId="0" applyNumberFormat="1" applyFont="1" applyBorder="1"/>
    <xf numFmtId="43" fontId="59" fillId="0" borderId="54" xfId="2" applyNumberFormat="1" applyFont="1" applyBorder="1"/>
    <xf numFmtId="165" fontId="8" fillId="0" borderId="51" xfId="2" applyNumberFormat="1" applyFont="1" applyBorder="1"/>
    <xf numFmtId="165" fontId="8" fillId="0" borderId="52" xfId="2" applyNumberFormat="1" applyFont="1" applyBorder="1"/>
    <xf numFmtId="165" fontId="8" fillId="0" borderId="53" xfId="2" applyNumberFormat="1" applyFont="1" applyBorder="1"/>
    <xf numFmtId="0" fontId="54" fillId="48" borderId="0" xfId="0" applyFont="1" applyFill="1" applyBorder="1" applyAlignment="1">
      <alignment horizontal="right"/>
    </xf>
    <xf numFmtId="9" fontId="54" fillId="48" borderId="8" xfId="0" applyNumberFormat="1" applyFont="1" applyFill="1" applyBorder="1"/>
    <xf numFmtId="0" fontId="12" fillId="3" borderId="10" xfId="0" applyFont="1" applyFill="1" applyBorder="1" applyAlignment="1">
      <alignment horizontal="center"/>
    </xf>
    <xf numFmtId="0" fontId="12" fillId="3" borderId="11" xfId="0" applyFont="1" applyFill="1" applyBorder="1" applyAlignment="1">
      <alignment horizontal="center"/>
    </xf>
    <xf numFmtId="0" fontId="12" fillId="3" borderId="12" xfId="0" applyFont="1" applyFill="1" applyBorder="1" applyAlignment="1">
      <alignment horizontal="center"/>
    </xf>
    <xf numFmtId="0" fontId="4" fillId="0" borderId="3" xfId="0" applyFont="1" applyFill="1" applyBorder="1" applyAlignment="1">
      <alignment horizontal="right"/>
    </xf>
    <xf numFmtId="0" fontId="4" fillId="0" borderId="4" xfId="0" applyFont="1" applyFill="1" applyBorder="1" applyAlignment="1">
      <alignment horizontal="right"/>
    </xf>
    <xf numFmtId="0" fontId="4" fillId="0" borderId="0" xfId="0" applyFont="1" applyFill="1" applyBorder="1" applyAlignment="1">
      <alignment horizontal="right"/>
    </xf>
    <xf numFmtId="0" fontId="4" fillId="0" borderId="6" xfId="0" applyFont="1" applyFill="1" applyBorder="1" applyAlignment="1">
      <alignment horizontal="right"/>
    </xf>
    <xf numFmtId="0" fontId="4" fillId="0" borderId="8" xfId="0" applyFont="1" applyFill="1" applyBorder="1" applyAlignment="1">
      <alignment horizontal="right"/>
    </xf>
    <xf numFmtId="0" fontId="4" fillId="0" borderId="9" xfId="0" applyFont="1" applyFill="1" applyBorder="1" applyAlignment="1">
      <alignment horizontal="right"/>
    </xf>
    <xf numFmtId="0" fontId="72" fillId="2" borderId="44" xfId="0" applyFont="1" applyFill="1" applyBorder="1" applyAlignment="1">
      <alignment horizontal="left" vertical="center" wrapText="1" readingOrder="1"/>
    </xf>
    <xf numFmtId="0" fontId="72" fillId="2" borderId="20" xfId="0" applyFont="1" applyFill="1" applyBorder="1" applyAlignment="1">
      <alignment horizontal="left" vertical="center" wrapText="1" readingOrder="1"/>
    </xf>
    <xf numFmtId="0" fontId="14" fillId="0" borderId="14" xfId="0" applyFont="1" applyBorder="1" applyAlignment="1">
      <alignment horizontal="center"/>
    </xf>
    <xf numFmtId="0" fontId="3" fillId="0" borderId="0" xfId="0" applyFont="1" applyAlignment="1">
      <alignment horizontal="center"/>
    </xf>
    <xf numFmtId="0" fontId="14" fillId="3" borderId="10" xfId="0" applyFont="1" applyFill="1" applyBorder="1" applyAlignment="1">
      <alignment horizontal="center"/>
    </xf>
    <xf numFmtId="0" fontId="14" fillId="3" borderId="11" xfId="0" applyFont="1" applyFill="1" applyBorder="1" applyAlignment="1">
      <alignment horizontal="center"/>
    </xf>
    <xf numFmtId="0" fontId="14" fillId="3" borderId="12" xfId="0" applyFont="1" applyFill="1" applyBorder="1" applyAlignment="1">
      <alignment horizontal="center"/>
    </xf>
    <xf numFmtId="0" fontId="13" fillId="3" borderId="10" xfId="0" applyFont="1" applyFill="1" applyBorder="1" applyAlignment="1">
      <alignment horizontal="center"/>
    </xf>
    <xf numFmtId="0" fontId="13" fillId="3" borderId="11" xfId="0" applyFont="1" applyFill="1" applyBorder="1" applyAlignment="1">
      <alignment horizontal="center"/>
    </xf>
    <xf numFmtId="0" fontId="13" fillId="3" borderId="12" xfId="0" applyFont="1" applyFill="1" applyBorder="1" applyAlignment="1">
      <alignment horizontal="center"/>
    </xf>
  </cellXfs>
  <cellStyles count="50">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xfId="15" builtinId="27" customBuiltin="1"/>
    <cellStyle name="Calculation" xfId="19" builtinId="22" customBuiltin="1"/>
    <cellStyle name="Check Cell" xfId="21" builtinId="23" customBuiltin="1"/>
    <cellStyle name="Comma" xfId="2" builtinId="3"/>
    <cellStyle name="Comma 3" xfId="4"/>
    <cellStyle name="Explanatory Text" xfId="24" builtinId="53" customBuiltin="1"/>
    <cellStyle name="Good" xfId="14" builtinId="26" customBuiltin="1"/>
    <cellStyle name="Heading 1" xfId="10" builtinId="16" customBuiltin="1"/>
    <cellStyle name="Heading 2" xfId="11" builtinId="17" customBuiltin="1"/>
    <cellStyle name="Heading 3" xfId="12" builtinId="18" customBuiltin="1"/>
    <cellStyle name="Heading 4" xfId="13" builtinId="19" customBuiltin="1"/>
    <cellStyle name="Hyperlink" xfId="3" builtinId="8"/>
    <cellStyle name="Input" xfId="17" builtinId="20" customBuiltin="1"/>
    <cellStyle name="Linked Cell" xfId="20" builtinId="24" customBuiltin="1"/>
    <cellStyle name="Neutral" xfId="16" builtinId="28" customBuiltin="1"/>
    <cellStyle name="Normal" xfId="0" builtinId="0"/>
    <cellStyle name="Normal - Style1 2" xfId="5"/>
    <cellStyle name="Normal 2 2" xfId="6"/>
    <cellStyle name="Normal 3" xfId="7"/>
    <cellStyle name="Normal 4 2" xfId="8"/>
    <cellStyle name="Note" xfId="23" builtinId="10" customBuiltin="1"/>
    <cellStyle name="Output" xfId="18" builtinId="21" customBuiltin="1"/>
    <cellStyle name="Percent" xfId="1" builtinId="5"/>
    <cellStyle name="Title" xfId="9" builtinId="15" customBuiltin="1"/>
    <cellStyle name="Total" xfId="25" builtinId="25" customBuiltin="1"/>
    <cellStyle name="Warning Text" xfId="22" builtinId="11" customBuiltin="1"/>
  </cellStyles>
  <dxfs count="0"/>
  <tableStyles count="0" defaultTableStyle="TableStyleMedium9" defaultPivotStyle="PivotStyleLight16"/>
  <colors>
    <mruColors>
      <color rgb="FFB9910B"/>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pieChart>
        <c:varyColors val="1"/>
        <c:ser>
          <c:idx val="0"/>
          <c:order val="0"/>
          <c:dPt>
            <c:idx val="0"/>
            <c:spPr>
              <a:solidFill>
                <a:srgbClr val="0070C0"/>
              </a:solidFill>
            </c:spPr>
          </c:dPt>
          <c:dPt>
            <c:idx val="1"/>
            <c:spPr>
              <a:solidFill>
                <a:schemeClr val="bg1">
                  <a:lumMod val="50000"/>
                </a:schemeClr>
              </a:solidFill>
            </c:spPr>
          </c:dPt>
          <c:dPt>
            <c:idx val="2"/>
            <c:spPr>
              <a:solidFill>
                <a:schemeClr val="bg1">
                  <a:lumMod val="75000"/>
                </a:schemeClr>
              </a:solidFill>
            </c:spPr>
          </c:dPt>
          <c:dPt>
            <c:idx val="3"/>
            <c:spPr>
              <a:solidFill>
                <a:schemeClr val="bg1">
                  <a:lumMod val="95000"/>
                </a:schemeClr>
              </a:solidFill>
            </c:spPr>
          </c:dPt>
          <c:dPt>
            <c:idx val="5"/>
            <c:spPr>
              <a:solidFill>
                <a:srgbClr val="B9910B"/>
              </a:solidFill>
            </c:spPr>
          </c:dPt>
          <c:dLbls>
            <c:dLbl>
              <c:idx val="1"/>
              <c:layout>
                <c:manualLayout>
                  <c:x val="0.29792209307171463"/>
                  <c:y val="-0.10835097225750009"/>
                </c:manualLayout>
              </c:layout>
              <c:showCatName val="1"/>
              <c:showPercent val="1"/>
            </c:dLbl>
            <c:dLbl>
              <c:idx val="2"/>
              <c:layout>
                <c:manualLayout>
                  <c:x val="-0.16554437024485863"/>
                  <c:y val="-8.2962354245627173E-3"/>
                </c:manualLayout>
              </c:layout>
              <c:showCatName val="1"/>
              <c:showPercent val="1"/>
            </c:dLbl>
            <c:dLbl>
              <c:idx val="3"/>
              <c:layout>
                <c:manualLayout>
                  <c:x val="-0.18572710056813446"/>
                  <c:y val="-0.27448348683586454"/>
                </c:manualLayout>
              </c:layout>
              <c:showCatName val="1"/>
              <c:showPercent val="1"/>
            </c:dLbl>
            <c:dLbl>
              <c:idx val="4"/>
              <c:layout>
                <c:manualLayout>
                  <c:x val="-0.11681090020487248"/>
                  <c:y val="-0.52404353867531261"/>
                </c:manualLayout>
              </c:layout>
              <c:showCatName val="1"/>
              <c:showPercent val="1"/>
            </c:dLbl>
            <c:txPr>
              <a:bodyPr/>
              <a:lstStyle/>
              <a:p>
                <a:pPr>
                  <a:defRPr sz="700"/>
                </a:pPr>
                <a:endParaRPr lang="en-US"/>
              </a:p>
            </c:txPr>
            <c:showCatName val="1"/>
            <c:showPercent val="1"/>
          </c:dLbls>
          <c:cat>
            <c:numRef>
              <c:f>Overview!$F$18:$F$23</c:f>
              <c:numCache>
                <c:formatCode>General</c:formatCode>
                <c:ptCount val="6"/>
              </c:numCache>
            </c:numRef>
          </c:cat>
          <c:val>
            <c:numRef>
              <c:f>Overview!$G$18:$G$23</c:f>
              <c:numCache>
                <c:formatCode>_(* #,##0_);_(* \(#,##0\);_(* "-"??_);_(@_)</c:formatCode>
                <c:ptCount val="6"/>
              </c:numCache>
            </c:numRef>
          </c:val>
        </c:ser>
        <c:ser>
          <c:idx val="1"/>
          <c:order val="1"/>
          <c:dLbls>
            <c:showCatName val="1"/>
            <c:showPercent val="1"/>
          </c:dLbls>
          <c:cat>
            <c:numRef>
              <c:f>Overview!$F$18:$F$23</c:f>
              <c:numCache>
                <c:formatCode>General</c:formatCode>
                <c:ptCount val="6"/>
              </c:numCache>
            </c:numRef>
          </c:cat>
          <c:val>
            <c:numRef>
              <c:f>Overview!$H$18:$H$23</c:f>
              <c:numCache>
                <c:formatCode>0.0%</c:formatCode>
                <c:ptCount val="6"/>
              </c:numCache>
            </c:numRef>
          </c:val>
        </c:ser>
        <c:dLbls>
          <c:showCatName val="1"/>
          <c:showPercent val="1"/>
        </c:dLbls>
        <c:firstSliceAng val="0"/>
      </c:pieChart>
    </c:plotArea>
    <c:plotVisOnly val="1"/>
  </c:chart>
  <c:spPr>
    <a:ln>
      <a:noFill/>
    </a:ln>
  </c:sp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Doanh thu các mỏ đá 2015</a:t>
            </a:r>
          </a:p>
        </c:rich>
      </c:tx>
    </c:title>
    <c:view3D>
      <c:rotX val="30"/>
      <c:perspective val="30"/>
    </c:view3D>
    <c:plotArea>
      <c:layout/>
      <c:pie3DChart>
        <c:varyColors val="1"/>
        <c:ser>
          <c:idx val="0"/>
          <c:order val="0"/>
          <c:dLbls>
            <c:showCatName val="1"/>
            <c:showPercent val="1"/>
          </c:dLbls>
          <c:cat>
            <c:strRef>
              <c:f>Sheet2!$A$7:$A$11</c:f>
              <c:strCache>
                <c:ptCount val="5"/>
                <c:pt idx="0">
                  <c:v>Mỏ Hóa An </c:v>
                </c:pt>
                <c:pt idx="1">
                  <c:v>Mỏ Thường Tân</c:v>
                </c:pt>
                <c:pt idx="2">
                  <c:v>Mỏ Tân Cang 3</c:v>
                </c:pt>
                <c:pt idx="3">
                  <c:v>Mỏ Thạnh Phú 2</c:v>
                </c:pt>
                <c:pt idx="4">
                  <c:v>Mỏ Núi Gió</c:v>
                </c:pt>
              </c:strCache>
            </c:strRef>
          </c:cat>
          <c:val>
            <c:numRef>
              <c:f>Sheet2!$D$7:$D$11</c:f>
              <c:numCache>
                <c:formatCode>_(* #,##0_);_(* \(#,##0\);_(* "-"??_);_(@_)</c:formatCode>
                <c:ptCount val="5"/>
                <c:pt idx="0">
                  <c:v>7012</c:v>
                </c:pt>
                <c:pt idx="1">
                  <c:v>5128</c:v>
                </c:pt>
                <c:pt idx="2">
                  <c:v>37846</c:v>
                </c:pt>
                <c:pt idx="3">
                  <c:v>129016</c:v>
                </c:pt>
                <c:pt idx="4">
                  <c:v>22506</c:v>
                </c:pt>
              </c:numCache>
            </c:numRef>
          </c:val>
        </c:ser>
        <c:dLbls>
          <c:showCatName val="1"/>
          <c:showPercent val="1"/>
        </c:dLbls>
      </c:pie3DChart>
    </c:plotArea>
    <c:plotVisOnly val="1"/>
  </c:chart>
  <c:spPr>
    <a:noFill/>
    <a:ln>
      <a:noFill/>
    </a:ln>
  </c:spPr>
  <c:txPr>
    <a:bodyPr/>
    <a:lstStyle/>
    <a:p>
      <a:pPr>
        <a:defRPr>
          <a:latin typeface="Arial" pitchFamily="34" charset="0"/>
          <a:cs typeface="Arial" pitchFamily="34" charset="0"/>
        </a:defRPr>
      </a:pPr>
      <a:endParaRPr lang="en-US"/>
    </a:p>
  </c:txPr>
  <c:printSettings>
    <c:headerFooter/>
    <c:pageMargins b="0.75000000000000144" l="0.70000000000000062" r="0.70000000000000062" t="0.750000000000001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Lợi nhuận trước thuế các mỏ đá</a:t>
            </a:r>
          </a:p>
        </c:rich>
      </c:tx>
    </c:title>
    <c:plotArea>
      <c:layout/>
      <c:doughnutChart>
        <c:varyColors val="1"/>
        <c:ser>
          <c:idx val="0"/>
          <c:order val="0"/>
          <c:dLbls>
            <c:showPercent val="1"/>
          </c:dLbls>
          <c:cat>
            <c:strRef>
              <c:f>Sheet2!$A$15:$A$17</c:f>
              <c:strCache>
                <c:ptCount val="3"/>
                <c:pt idx="0">
                  <c:v>Mỏ Tân Cang 3</c:v>
                </c:pt>
                <c:pt idx="1">
                  <c:v>Mỏ Thạnh Phú 2</c:v>
                </c:pt>
                <c:pt idx="2">
                  <c:v>Mỏ Núi Gió</c:v>
                </c:pt>
              </c:strCache>
            </c:strRef>
          </c:cat>
          <c:val>
            <c:numRef>
              <c:f>Sheet2!$C$15:$C$17</c:f>
              <c:numCache>
                <c:formatCode>_(* #,##0_);_(* \(#,##0\);_(* "-"??_);_(@_)</c:formatCode>
                <c:ptCount val="3"/>
                <c:pt idx="0">
                  <c:v>1922</c:v>
                </c:pt>
                <c:pt idx="1">
                  <c:v>8523</c:v>
                </c:pt>
                <c:pt idx="2">
                  <c:v>7020</c:v>
                </c:pt>
              </c:numCache>
            </c:numRef>
          </c:val>
        </c:ser>
        <c:ser>
          <c:idx val="1"/>
          <c:order val="1"/>
          <c:dLbls>
            <c:showPercent val="1"/>
          </c:dLbls>
          <c:cat>
            <c:strRef>
              <c:f>Sheet2!$A$15:$A$17</c:f>
              <c:strCache>
                <c:ptCount val="3"/>
                <c:pt idx="0">
                  <c:v>Mỏ Tân Cang 3</c:v>
                </c:pt>
                <c:pt idx="1">
                  <c:v>Mỏ Thạnh Phú 2</c:v>
                </c:pt>
                <c:pt idx="2">
                  <c:v>Mỏ Núi Gió</c:v>
                </c:pt>
              </c:strCache>
            </c:strRef>
          </c:cat>
          <c:val>
            <c:numRef>
              <c:f>Sheet2!$D$15:$D$17</c:f>
              <c:numCache>
                <c:formatCode>_(* #,##0_);_(* \(#,##0\);_(* "-"??_);_(@_)</c:formatCode>
                <c:ptCount val="3"/>
                <c:pt idx="0">
                  <c:v>760.7</c:v>
                </c:pt>
                <c:pt idx="1">
                  <c:v>37876</c:v>
                </c:pt>
                <c:pt idx="2">
                  <c:v>3441</c:v>
                </c:pt>
              </c:numCache>
            </c:numRef>
          </c:val>
        </c:ser>
        <c:dLbls>
          <c:showPercent val="1"/>
        </c:dLbls>
        <c:firstSliceAng val="0"/>
        <c:holeSize val="50"/>
      </c:doughnutChart>
    </c:plotArea>
    <c:legend>
      <c:legendPos val="b"/>
      <c:txPr>
        <a:bodyPr/>
        <a:lstStyle/>
        <a:p>
          <a:pPr rtl="0">
            <a:defRPr/>
          </a:pPr>
          <a:endParaRPr lang="en-US"/>
        </a:p>
      </c:txPr>
    </c:legend>
    <c:plotVisOnly val="1"/>
  </c:chart>
  <c:txPr>
    <a:bodyPr/>
    <a:lstStyle/>
    <a:p>
      <a:pPr>
        <a:defRPr>
          <a:latin typeface="Arial" pitchFamily="34" charset="0"/>
          <a:cs typeface="Arial" pitchFamily="34" charset="0"/>
        </a:defRPr>
      </a:pPr>
      <a:endParaRPr lang="en-US"/>
    </a:p>
  </c:txPr>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Liabilities!A1"/><Relationship Id="rId13" Type="http://schemas.openxmlformats.org/officeDocument/2006/relationships/hyperlink" Target="#Multiple!A1"/><Relationship Id="rId3" Type="http://schemas.openxmlformats.org/officeDocument/2006/relationships/hyperlink" Target="#'Market reseach'!A1"/><Relationship Id="rId7" Type="http://schemas.openxmlformats.org/officeDocument/2006/relationships/hyperlink" Target="#CAPEX!A1"/><Relationship Id="rId12" Type="http://schemas.openxmlformats.org/officeDocument/2006/relationships/hyperlink" Target="#DCF!A1"/><Relationship Id="rId2" Type="http://schemas.openxmlformats.org/officeDocument/2006/relationships/hyperlink" Target="#'Financial statement'!A1"/><Relationship Id="rId1" Type="http://schemas.openxmlformats.org/officeDocument/2006/relationships/hyperlink" Target="#Overview!A1"/><Relationship Id="rId6" Type="http://schemas.openxmlformats.org/officeDocument/2006/relationships/hyperlink" Target="#'Assump- Revenue'!A1"/><Relationship Id="rId11" Type="http://schemas.openxmlformats.org/officeDocument/2006/relationships/hyperlink" Target="#'CF projection'!A1"/><Relationship Id="rId5" Type="http://schemas.openxmlformats.org/officeDocument/2006/relationships/hyperlink" Target="#'Assump-F '!A1"/><Relationship Id="rId10" Type="http://schemas.openxmlformats.org/officeDocument/2006/relationships/hyperlink" Target="#'PL&amp;BS Projection'!A1"/><Relationship Id="rId4" Type="http://schemas.openxmlformats.org/officeDocument/2006/relationships/hyperlink" Target="#Ratios!A1"/><Relationship Id="rId9" Type="http://schemas.openxmlformats.org/officeDocument/2006/relationships/hyperlink" Target="#'Discount rate'!A1"/><Relationship Id="rId1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4.gif"/><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gif"/><Relationship Id="rId1" Type="http://schemas.openxmlformats.org/officeDocument/2006/relationships/image" Target="../media/image2.gif"/></Relationships>
</file>

<file path=xl/drawings/_rels/drawing8.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s>
</file>

<file path=xl/drawings/_rels/drawing9.xml.rels><?xml version="1.0" encoding="UTF-8" standalone="yes"?>
<Relationships xmlns="http://schemas.openxmlformats.org/package/2006/relationships"><Relationship Id="rId2" Type="http://schemas.openxmlformats.org/officeDocument/2006/relationships/image" Target="../media/image4.gif"/><Relationship Id="rId1" Type="http://schemas.openxmlformats.org/officeDocument/2006/relationships/image" Target="../media/image2.gi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6</xdr:col>
      <xdr:colOff>523875</xdr:colOff>
      <xdr:row>6</xdr:row>
      <xdr:rowOff>19049</xdr:rowOff>
    </xdr:from>
    <xdr:to>
      <xdr:col>6</xdr:col>
      <xdr:colOff>1133475</xdr:colOff>
      <xdr:row>6</xdr:row>
      <xdr:rowOff>190500</xdr:rowOff>
    </xdr:to>
    <xdr:sp macro="" textlink="">
      <xdr:nvSpPr>
        <xdr:cNvPr id="3" name="TextBox 2">
          <a:hlinkClick xmlns:r="http://schemas.openxmlformats.org/officeDocument/2006/relationships" r:id="rId1"/>
        </xdr:cNvPr>
        <xdr:cNvSpPr txBox="1"/>
      </xdr:nvSpPr>
      <xdr:spPr>
        <a:xfrm>
          <a:off x="7286625" y="1085849"/>
          <a:ext cx="609600" cy="171451"/>
        </a:xfrm>
        <a:prstGeom prst="rect">
          <a:avLst/>
        </a:prstGeom>
        <a:solidFill>
          <a:schemeClr val="bg1">
            <a:lumMod val="65000"/>
          </a:schemeClr>
        </a:solidFill>
        <a:ln/>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r>
            <a:rPr lang="en-US" sz="800">
              <a:solidFill>
                <a:schemeClr val="tx1"/>
              </a:solidFill>
              <a:latin typeface="Arial" pitchFamily="34" charset="0"/>
              <a:ea typeface="+mn-ea"/>
              <a:cs typeface="Arial" pitchFamily="34" charset="0"/>
            </a:rPr>
            <a:t>Overview</a:t>
          </a:r>
        </a:p>
      </xdr:txBody>
    </xdr:sp>
    <xdr:clientData/>
  </xdr:twoCellAnchor>
  <xdr:twoCellAnchor>
    <xdr:from>
      <xdr:col>6</xdr:col>
      <xdr:colOff>533400</xdr:colOff>
      <xdr:row>7</xdr:row>
      <xdr:rowOff>28576</xdr:rowOff>
    </xdr:from>
    <xdr:to>
      <xdr:col>6</xdr:col>
      <xdr:colOff>1123950</xdr:colOff>
      <xdr:row>7</xdr:row>
      <xdr:rowOff>190500</xdr:rowOff>
    </xdr:to>
    <xdr:sp macro="" textlink="">
      <xdr:nvSpPr>
        <xdr:cNvPr id="4" name="TextBox 3">
          <a:hlinkClick xmlns:r="http://schemas.openxmlformats.org/officeDocument/2006/relationships" r:id="rId2"/>
        </xdr:cNvPr>
        <xdr:cNvSpPr txBox="1"/>
      </xdr:nvSpPr>
      <xdr:spPr>
        <a:xfrm>
          <a:off x="7296150" y="1304926"/>
          <a:ext cx="590550" cy="161924"/>
        </a:xfrm>
        <a:prstGeom prst="rect">
          <a:avLst/>
        </a:prstGeom>
        <a:solidFill>
          <a:schemeClr val="bg1">
            <a:lumMod val="65000"/>
          </a:schemeClr>
        </a:solidFill>
        <a:ln/>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r>
            <a:rPr lang="en-US" sz="800">
              <a:latin typeface="Arial" pitchFamily="34" charset="0"/>
              <a:cs typeface="Arial" pitchFamily="34" charset="0"/>
            </a:rPr>
            <a:t>Financial</a:t>
          </a:r>
        </a:p>
      </xdr:txBody>
    </xdr:sp>
    <xdr:clientData/>
  </xdr:twoCellAnchor>
  <xdr:twoCellAnchor>
    <xdr:from>
      <xdr:col>6</xdr:col>
      <xdr:colOff>523875</xdr:colOff>
      <xdr:row>8</xdr:row>
      <xdr:rowOff>28575</xdr:rowOff>
    </xdr:from>
    <xdr:to>
      <xdr:col>6</xdr:col>
      <xdr:colOff>1143000</xdr:colOff>
      <xdr:row>8</xdr:row>
      <xdr:rowOff>171450</xdr:rowOff>
    </xdr:to>
    <xdr:sp macro="" textlink="">
      <xdr:nvSpPr>
        <xdr:cNvPr id="5" name="TextBox 4">
          <a:hlinkClick xmlns:r="http://schemas.openxmlformats.org/officeDocument/2006/relationships" r:id="rId3"/>
        </xdr:cNvPr>
        <xdr:cNvSpPr txBox="1"/>
      </xdr:nvSpPr>
      <xdr:spPr>
        <a:xfrm>
          <a:off x="7286625" y="1514475"/>
          <a:ext cx="619125" cy="142875"/>
        </a:xfrm>
        <a:prstGeom prst="rect">
          <a:avLst/>
        </a:prstGeom>
        <a:solidFill>
          <a:schemeClr val="bg1">
            <a:lumMod val="65000"/>
          </a:schemeClr>
        </a:solidFill>
        <a:ln/>
      </xdr:spPr>
      <xdr:style>
        <a:lnRef idx="1">
          <a:schemeClr val="accent1"/>
        </a:lnRef>
        <a:fillRef idx="2">
          <a:schemeClr val="accent1"/>
        </a:fillRef>
        <a:effectRef idx="1">
          <a:schemeClr val="accent1"/>
        </a:effectRef>
        <a:fontRef idx="minor">
          <a:schemeClr val="dk1"/>
        </a:fontRef>
      </xdr:style>
      <xdr:txBody>
        <a:bodyPr wrap="square" rtlCol="0" anchor="ctr"/>
        <a:lstStyle/>
        <a:p>
          <a:pPr algn="ctr"/>
          <a:r>
            <a:rPr lang="en-US" sz="800">
              <a:latin typeface="Arial" pitchFamily="34" charset="0"/>
              <a:cs typeface="Arial" pitchFamily="34" charset="0"/>
            </a:rPr>
            <a:t>Market</a:t>
          </a:r>
        </a:p>
      </xdr:txBody>
    </xdr:sp>
    <xdr:clientData/>
  </xdr:twoCellAnchor>
  <xdr:twoCellAnchor>
    <xdr:from>
      <xdr:col>2</xdr:col>
      <xdr:colOff>209550</xdr:colOff>
      <xdr:row>13</xdr:row>
      <xdr:rowOff>28575</xdr:rowOff>
    </xdr:from>
    <xdr:to>
      <xdr:col>2</xdr:col>
      <xdr:colOff>819150</xdr:colOff>
      <xdr:row>13</xdr:row>
      <xdr:rowOff>200026</xdr:rowOff>
    </xdr:to>
    <xdr:sp macro="" textlink="">
      <xdr:nvSpPr>
        <xdr:cNvPr id="6" name="TextBox 5">
          <a:hlinkClick xmlns:r="http://schemas.openxmlformats.org/officeDocument/2006/relationships" r:id="rId4"/>
        </xdr:cNvPr>
        <xdr:cNvSpPr txBox="1"/>
      </xdr:nvSpPr>
      <xdr:spPr>
        <a:xfrm>
          <a:off x="2781300" y="2562225"/>
          <a:ext cx="609600" cy="171451"/>
        </a:xfrm>
        <a:prstGeom prst="rect">
          <a:avLst/>
        </a:prstGeom>
        <a:solidFill>
          <a:schemeClr val="bg1">
            <a:lumMod val="65000"/>
          </a:schemeClr>
        </a:solidFill>
        <a:ln/>
      </xdr:spPr>
      <xdr:style>
        <a:lnRef idx="1">
          <a:schemeClr val="accent2"/>
        </a:lnRef>
        <a:fillRef idx="2">
          <a:schemeClr val="accent2"/>
        </a:fillRef>
        <a:effectRef idx="1">
          <a:schemeClr val="accent2"/>
        </a:effectRef>
        <a:fontRef idx="minor">
          <a:schemeClr val="dk1"/>
        </a:fontRef>
      </xdr:style>
      <xdr:txBody>
        <a:bodyPr wrap="square" rtlCol="0" anchor="ctr"/>
        <a:lstStyle/>
        <a:p>
          <a:pPr algn="ctr"/>
          <a:r>
            <a:rPr lang="en-US" sz="800" b="0">
              <a:latin typeface="Arial" pitchFamily="34" charset="0"/>
              <a:cs typeface="Arial" pitchFamily="34" charset="0"/>
            </a:rPr>
            <a:t>Ratio</a:t>
          </a:r>
        </a:p>
      </xdr:txBody>
    </xdr:sp>
    <xdr:clientData/>
  </xdr:twoCellAnchor>
  <xdr:twoCellAnchor>
    <xdr:from>
      <xdr:col>2</xdr:col>
      <xdr:colOff>85724</xdr:colOff>
      <xdr:row>14</xdr:row>
      <xdr:rowOff>38100</xdr:rowOff>
    </xdr:from>
    <xdr:to>
      <xdr:col>2</xdr:col>
      <xdr:colOff>933449</xdr:colOff>
      <xdr:row>15</xdr:row>
      <xdr:rowOff>0</xdr:rowOff>
    </xdr:to>
    <xdr:sp macro="" textlink="">
      <xdr:nvSpPr>
        <xdr:cNvPr id="7" name="TextBox 6">
          <a:hlinkClick xmlns:r="http://schemas.openxmlformats.org/officeDocument/2006/relationships" r:id="rId5"/>
        </xdr:cNvPr>
        <xdr:cNvSpPr txBox="1"/>
      </xdr:nvSpPr>
      <xdr:spPr>
        <a:xfrm>
          <a:off x="2657474" y="2781300"/>
          <a:ext cx="847725" cy="171450"/>
        </a:xfrm>
        <a:prstGeom prst="rect">
          <a:avLst/>
        </a:prstGeom>
        <a:solidFill>
          <a:schemeClr val="bg1">
            <a:lumMod val="65000"/>
          </a:schemeClr>
        </a:solidFill>
        <a:ln/>
      </xdr:spPr>
      <xdr:style>
        <a:lnRef idx="1">
          <a:schemeClr val="accent2"/>
        </a:lnRef>
        <a:fillRef idx="2">
          <a:schemeClr val="accent2"/>
        </a:fillRef>
        <a:effectRef idx="1">
          <a:schemeClr val="accent2"/>
        </a:effectRef>
        <a:fontRef idx="minor">
          <a:schemeClr val="dk1"/>
        </a:fontRef>
      </xdr:style>
      <xdr:txBody>
        <a:bodyPr wrap="square" rtlCol="0" anchor="ctr"/>
        <a:lstStyle/>
        <a:p>
          <a:pPr marL="0" indent="0" algn="ctr"/>
          <a:r>
            <a:rPr lang="en-US" sz="800" b="0">
              <a:solidFill>
                <a:schemeClr val="dk1"/>
              </a:solidFill>
              <a:latin typeface="Arial" pitchFamily="34" charset="0"/>
              <a:ea typeface="+mn-ea"/>
              <a:cs typeface="Arial" pitchFamily="34" charset="0"/>
            </a:rPr>
            <a:t>F Assumption</a:t>
          </a:r>
        </a:p>
      </xdr:txBody>
    </xdr:sp>
    <xdr:clientData/>
  </xdr:twoCellAnchor>
  <xdr:twoCellAnchor>
    <xdr:from>
      <xdr:col>2</xdr:col>
      <xdr:colOff>95250</xdr:colOff>
      <xdr:row>15</xdr:row>
      <xdr:rowOff>57151</xdr:rowOff>
    </xdr:from>
    <xdr:to>
      <xdr:col>2</xdr:col>
      <xdr:colOff>933450</xdr:colOff>
      <xdr:row>16</xdr:row>
      <xdr:rowOff>19051</xdr:rowOff>
    </xdr:to>
    <xdr:sp macro="" textlink="">
      <xdr:nvSpPr>
        <xdr:cNvPr id="8" name="TextBox 7">
          <a:hlinkClick xmlns:r="http://schemas.openxmlformats.org/officeDocument/2006/relationships" r:id="rId6"/>
        </xdr:cNvPr>
        <xdr:cNvSpPr txBox="1"/>
      </xdr:nvSpPr>
      <xdr:spPr>
        <a:xfrm>
          <a:off x="2667000" y="3009901"/>
          <a:ext cx="838200" cy="171450"/>
        </a:xfrm>
        <a:prstGeom prst="rect">
          <a:avLst/>
        </a:prstGeom>
        <a:solidFill>
          <a:schemeClr val="bg1">
            <a:lumMod val="65000"/>
          </a:schemeClr>
        </a:solidFill>
        <a:ln/>
      </xdr:spPr>
      <xdr:style>
        <a:lnRef idx="1">
          <a:schemeClr val="accent2"/>
        </a:lnRef>
        <a:fillRef idx="2">
          <a:schemeClr val="accent2"/>
        </a:fillRef>
        <a:effectRef idx="1">
          <a:schemeClr val="accent2"/>
        </a:effectRef>
        <a:fontRef idx="minor">
          <a:schemeClr val="dk1"/>
        </a:fontRef>
      </xdr:style>
      <xdr:txBody>
        <a:bodyPr wrap="square" rtlCol="0" anchor="ctr"/>
        <a:lstStyle/>
        <a:p>
          <a:pPr marL="0" indent="0" algn="ctr"/>
          <a:r>
            <a:rPr lang="en-US" sz="800" b="0">
              <a:solidFill>
                <a:schemeClr val="dk1"/>
              </a:solidFill>
              <a:latin typeface="Arial" pitchFamily="34" charset="0"/>
              <a:ea typeface="+mn-ea"/>
              <a:cs typeface="Arial" pitchFamily="34" charset="0"/>
            </a:rPr>
            <a:t>R Assumption</a:t>
          </a:r>
        </a:p>
      </xdr:txBody>
    </xdr:sp>
    <xdr:clientData/>
  </xdr:twoCellAnchor>
  <xdr:twoCellAnchor>
    <xdr:from>
      <xdr:col>2</xdr:col>
      <xdr:colOff>228599</xdr:colOff>
      <xdr:row>16</xdr:row>
      <xdr:rowOff>57151</xdr:rowOff>
    </xdr:from>
    <xdr:to>
      <xdr:col>2</xdr:col>
      <xdr:colOff>866774</xdr:colOff>
      <xdr:row>17</xdr:row>
      <xdr:rowOff>0</xdr:rowOff>
    </xdr:to>
    <xdr:sp macro="" textlink="">
      <xdr:nvSpPr>
        <xdr:cNvPr id="9" name="TextBox 8">
          <a:hlinkClick xmlns:r="http://schemas.openxmlformats.org/officeDocument/2006/relationships" r:id="rId7"/>
        </xdr:cNvPr>
        <xdr:cNvSpPr txBox="1"/>
      </xdr:nvSpPr>
      <xdr:spPr>
        <a:xfrm>
          <a:off x="2800349" y="3219451"/>
          <a:ext cx="638175" cy="152399"/>
        </a:xfrm>
        <a:prstGeom prst="rect">
          <a:avLst/>
        </a:prstGeom>
        <a:solidFill>
          <a:schemeClr val="bg1">
            <a:lumMod val="65000"/>
          </a:schemeClr>
        </a:solidFill>
        <a:ln/>
      </xdr:spPr>
      <xdr:style>
        <a:lnRef idx="1">
          <a:schemeClr val="accent2"/>
        </a:lnRef>
        <a:fillRef idx="2">
          <a:schemeClr val="accent2"/>
        </a:fillRef>
        <a:effectRef idx="1">
          <a:schemeClr val="accent2"/>
        </a:effectRef>
        <a:fontRef idx="minor">
          <a:schemeClr val="dk1"/>
        </a:fontRef>
      </xdr:style>
      <xdr:txBody>
        <a:bodyPr wrap="square" rtlCol="0" anchor="ctr"/>
        <a:lstStyle/>
        <a:p>
          <a:pPr marL="0" indent="0" algn="ctr"/>
          <a:r>
            <a:rPr lang="en-US" sz="800" b="0">
              <a:solidFill>
                <a:schemeClr val="dk1"/>
              </a:solidFill>
              <a:latin typeface="Arial" pitchFamily="34" charset="0"/>
              <a:ea typeface="+mn-ea"/>
              <a:cs typeface="Arial" pitchFamily="34" charset="0"/>
            </a:rPr>
            <a:t>CAPEX</a:t>
          </a:r>
        </a:p>
      </xdr:txBody>
    </xdr:sp>
    <xdr:clientData/>
  </xdr:twoCellAnchor>
  <xdr:twoCellAnchor>
    <xdr:from>
      <xdr:col>2</xdr:col>
      <xdr:colOff>190500</xdr:colOff>
      <xdr:row>17</xdr:row>
      <xdr:rowOff>57150</xdr:rowOff>
    </xdr:from>
    <xdr:to>
      <xdr:col>2</xdr:col>
      <xdr:colOff>876300</xdr:colOff>
      <xdr:row>18</xdr:row>
      <xdr:rowOff>9525</xdr:rowOff>
    </xdr:to>
    <xdr:sp macro="" textlink="">
      <xdr:nvSpPr>
        <xdr:cNvPr id="10" name="TextBox 9">
          <a:hlinkClick xmlns:r="http://schemas.openxmlformats.org/officeDocument/2006/relationships" r:id="rId8"/>
        </xdr:cNvPr>
        <xdr:cNvSpPr txBox="1"/>
      </xdr:nvSpPr>
      <xdr:spPr>
        <a:xfrm>
          <a:off x="2762250" y="3429000"/>
          <a:ext cx="685800" cy="161925"/>
        </a:xfrm>
        <a:prstGeom prst="rect">
          <a:avLst/>
        </a:prstGeom>
        <a:solidFill>
          <a:schemeClr val="bg1">
            <a:lumMod val="65000"/>
          </a:schemeClr>
        </a:solidFill>
        <a:ln/>
      </xdr:spPr>
      <xdr:style>
        <a:lnRef idx="1">
          <a:schemeClr val="accent2"/>
        </a:lnRef>
        <a:fillRef idx="2">
          <a:schemeClr val="accent2"/>
        </a:fillRef>
        <a:effectRef idx="1">
          <a:schemeClr val="accent2"/>
        </a:effectRef>
        <a:fontRef idx="minor">
          <a:schemeClr val="dk1"/>
        </a:fontRef>
      </xdr:style>
      <xdr:txBody>
        <a:bodyPr wrap="square" rtlCol="0" anchor="ctr"/>
        <a:lstStyle/>
        <a:p>
          <a:pPr marL="0" indent="0" algn="ctr"/>
          <a:r>
            <a:rPr lang="en-US" sz="800" b="0">
              <a:solidFill>
                <a:schemeClr val="dk1"/>
              </a:solidFill>
              <a:latin typeface="Arial" pitchFamily="34" charset="0"/>
              <a:ea typeface="+mn-ea"/>
              <a:cs typeface="Arial" pitchFamily="34" charset="0"/>
            </a:rPr>
            <a:t>Liabilities</a:t>
          </a:r>
        </a:p>
      </xdr:txBody>
    </xdr:sp>
    <xdr:clientData/>
  </xdr:twoCellAnchor>
  <xdr:twoCellAnchor>
    <xdr:from>
      <xdr:col>2</xdr:col>
      <xdr:colOff>85725</xdr:colOff>
      <xdr:row>18</xdr:row>
      <xdr:rowOff>66675</xdr:rowOff>
    </xdr:from>
    <xdr:to>
      <xdr:col>2</xdr:col>
      <xdr:colOff>981075</xdr:colOff>
      <xdr:row>19</xdr:row>
      <xdr:rowOff>19050</xdr:rowOff>
    </xdr:to>
    <xdr:sp macro="" textlink="">
      <xdr:nvSpPr>
        <xdr:cNvPr id="11" name="TextBox 10">
          <a:hlinkClick xmlns:r="http://schemas.openxmlformats.org/officeDocument/2006/relationships" r:id="rId9"/>
        </xdr:cNvPr>
        <xdr:cNvSpPr txBox="1"/>
      </xdr:nvSpPr>
      <xdr:spPr>
        <a:xfrm>
          <a:off x="2600325" y="3648075"/>
          <a:ext cx="895350" cy="161925"/>
        </a:xfrm>
        <a:prstGeom prst="rect">
          <a:avLst/>
        </a:prstGeom>
        <a:solidFill>
          <a:schemeClr val="bg1">
            <a:lumMod val="65000"/>
          </a:schemeClr>
        </a:solidFill>
        <a:ln/>
      </xdr:spPr>
      <xdr:style>
        <a:lnRef idx="1">
          <a:schemeClr val="accent2"/>
        </a:lnRef>
        <a:fillRef idx="2">
          <a:schemeClr val="accent2"/>
        </a:fillRef>
        <a:effectRef idx="1">
          <a:schemeClr val="accent2"/>
        </a:effectRef>
        <a:fontRef idx="minor">
          <a:schemeClr val="dk1"/>
        </a:fontRef>
      </xdr:style>
      <xdr:txBody>
        <a:bodyPr wrap="square" rtlCol="0" anchor="ctr"/>
        <a:lstStyle/>
        <a:p>
          <a:pPr marL="0" indent="0" algn="ctr"/>
          <a:r>
            <a:rPr lang="en-US" sz="800" b="0">
              <a:solidFill>
                <a:schemeClr val="dk1"/>
              </a:solidFill>
              <a:latin typeface="Arial" pitchFamily="34" charset="0"/>
              <a:ea typeface="+mn-ea"/>
              <a:cs typeface="Arial" pitchFamily="34" charset="0"/>
            </a:rPr>
            <a:t>Discount  rate</a:t>
          </a:r>
        </a:p>
      </xdr:txBody>
    </xdr:sp>
    <xdr:clientData/>
  </xdr:twoCellAnchor>
  <xdr:twoCellAnchor>
    <xdr:from>
      <xdr:col>6</xdr:col>
      <xdr:colOff>400049</xdr:colOff>
      <xdr:row>13</xdr:row>
      <xdr:rowOff>28576</xdr:rowOff>
    </xdr:from>
    <xdr:to>
      <xdr:col>6</xdr:col>
      <xdr:colOff>1057274</xdr:colOff>
      <xdr:row>13</xdr:row>
      <xdr:rowOff>200025</xdr:rowOff>
    </xdr:to>
    <xdr:sp macro="" textlink="">
      <xdr:nvSpPr>
        <xdr:cNvPr id="12" name="TextBox 11">
          <a:hlinkClick xmlns:r="http://schemas.openxmlformats.org/officeDocument/2006/relationships" r:id="rId10"/>
        </xdr:cNvPr>
        <xdr:cNvSpPr txBox="1"/>
      </xdr:nvSpPr>
      <xdr:spPr>
        <a:xfrm>
          <a:off x="6838949" y="2562226"/>
          <a:ext cx="657225" cy="171449"/>
        </a:xfrm>
        <a:prstGeom prst="rect">
          <a:avLst/>
        </a:prstGeom>
        <a:solidFill>
          <a:schemeClr val="bg1">
            <a:lumMod val="65000"/>
          </a:schemeClr>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p>
          <a:pPr algn="ctr"/>
          <a:r>
            <a:rPr lang="en-US" sz="800" b="0">
              <a:latin typeface="Arial" pitchFamily="34" charset="0"/>
              <a:cs typeface="Arial" pitchFamily="34" charset="0"/>
            </a:rPr>
            <a:t>PL</a:t>
          </a:r>
          <a:r>
            <a:rPr lang="en-US" sz="800" b="0" baseline="0">
              <a:latin typeface="Arial" pitchFamily="34" charset="0"/>
              <a:cs typeface="Arial" pitchFamily="34" charset="0"/>
            </a:rPr>
            <a:t> Pro</a:t>
          </a:r>
          <a:endParaRPr lang="en-US" sz="800" b="0">
            <a:latin typeface="Arial" pitchFamily="34" charset="0"/>
            <a:cs typeface="Arial" pitchFamily="34" charset="0"/>
          </a:endParaRPr>
        </a:p>
      </xdr:txBody>
    </xdr:sp>
    <xdr:clientData/>
  </xdr:twoCellAnchor>
  <xdr:twoCellAnchor>
    <xdr:from>
      <xdr:col>6</xdr:col>
      <xdr:colOff>409575</xdr:colOff>
      <xdr:row>14</xdr:row>
      <xdr:rowOff>66675</xdr:rowOff>
    </xdr:from>
    <xdr:to>
      <xdr:col>6</xdr:col>
      <xdr:colOff>1066800</xdr:colOff>
      <xdr:row>15</xdr:row>
      <xdr:rowOff>28574</xdr:rowOff>
    </xdr:to>
    <xdr:sp macro="" textlink="">
      <xdr:nvSpPr>
        <xdr:cNvPr id="14" name="TextBox 13">
          <a:hlinkClick xmlns:r="http://schemas.openxmlformats.org/officeDocument/2006/relationships" r:id="rId11"/>
        </xdr:cNvPr>
        <xdr:cNvSpPr txBox="1"/>
      </xdr:nvSpPr>
      <xdr:spPr>
        <a:xfrm>
          <a:off x="6762750" y="2809875"/>
          <a:ext cx="657225" cy="171449"/>
        </a:xfrm>
        <a:prstGeom prst="rect">
          <a:avLst/>
        </a:prstGeom>
        <a:solidFill>
          <a:schemeClr val="bg1">
            <a:lumMod val="65000"/>
          </a:schemeClr>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p>
          <a:pPr marL="0" indent="0" algn="ctr"/>
          <a:r>
            <a:rPr lang="en-US" sz="800" b="0">
              <a:solidFill>
                <a:schemeClr val="dk1"/>
              </a:solidFill>
              <a:latin typeface="Arial" pitchFamily="34" charset="0"/>
              <a:ea typeface="+mn-ea"/>
              <a:cs typeface="Arial" pitchFamily="34" charset="0"/>
            </a:rPr>
            <a:t>CF Pro</a:t>
          </a:r>
        </a:p>
      </xdr:txBody>
    </xdr:sp>
    <xdr:clientData/>
  </xdr:twoCellAnchor>
  <xdr:twoCellAnchor>
    <xdr:from>
      <xdr:col>6</xdr:col>
      <xdr:colOff>419100</xdr:colOff>
      <xdr:row>15</xdr:row>
      <xdr:rowOff>76200</xdr:rowOff>
    </xdr:from>
    <xdr:to>
      <xdr:col>6</xdr:col>
      <xdr:colOff>1076325</xdr:colOff>
      <xdr:row>16</xdr:row>
      <xdr:rowOff>38099</xdr:rowOff>
    </xdr:to>
    <xdr:sp macro="" textlink="">
      <xdr:nvSpPr>
        <xdr:cNvPr id="15" name="TextBox 14">
          <a:hlinkClick xmlns:r="http://schemas.openxmlformats.org/officeDocument/2006/relationships" r:id="rId12"/>
        </xdr:cNvPr>
        <xdr:cNvSpPr txBox="1"/>
      </xdr:nvSpPr>
      <xdr:spPr>
        <a:xfrm>
          <a:off x="6772275" y="3028950"/>
          <a:ext cx="657225" cy="171449"/>
        </a:xfrm>
        <a:prstGeom prst="rect">
          <a:avLst/>
        </a:prstGeom>
        <a:solidFill>
          <a:schemeClr val="bg1">
            <a:lumMod val="65000"/>
          </a:schemeClr>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p>
          <a:pPr marL="0" indent="0" algn="ctr"/>
          <a:r>
            <a:rPr lang="en-US" sz="800" b="0">
              <a:solidFill>
                <a:schemeClr val="dk1"/>
              </a:solidFill>
              <a:latin typeface="Arial" pitchFamily="34" charset="0"/>
              <a:ea typeface="+mn-ea"/>
              <a:cs typeface="Arial" pitchFamily="34" charset="0"/>
            </a:rPr>
            <a:t>DCF</a:t>
          </a:r>
        </a:p>
      </xdr:txBody>
    </xdr:sp>
    <xdr:clientData/>
  </xdr:twoCellAnchor>
  <xdr:twoCellAnchor>
    <xdr:from>
      <xdr:col>6</xdr:col>
      <xdr:colOff>409575</xdr:colOff>
      <xdr:row>16</xdr:row>
      <xdr:rowOff>104775</xdr:rowOff>
    </xdr:from>
    <xdr:to>
      <xdr:col>6</xdr:col>
      <xdr:colOff>1066800</xdr:colOff>
      <xdr:row>17</xdr:row>
      <xdr:rowOff>66674</xdr:rowOff>
    </xdr:to>
    <xdr:sp macro="" textlink="">
      <xdr:nvSpPr>
        <xdr:cNvPr id="16" name="TextBox 15">
          <a:hlinkClick xmlns:r="http://schemas.openxmlformats.org/officeDocument/2006/relationships" r:id="rId13"/>
        </xdr:cNvPr>
        <xdr:cNvSpPr txBox="1"/>
      </xdr:nvSpPr>
      <xdr:spPr>
        <a:xfrm>
          <a:off x="6762750" y="3267075"/>
          <a:ext cx="657225" cy="171449"/>
        </a:xfrm>
        <a:prstGeom prst="rect">
          <a:avLst/>
        </a:prstGeom>
        <a:solidFill>
          <a:schemeClr val="bg1">
            <a:lumMod val="65000"/>
          </a:schemeClr>
        </a:solidFill>
        <a:ln/>
      </xdr:spPr>
      <xdr:style>
        <a:lnRef idx="1">
          <a:schemeClr val="accent6"/>
        </a:lnRef>
        <a:fillRef idx="2">
          <a:schemeClr val="accent6"/>
        </a:fillRef>
        <a:effectRef idx="1">
          <a:schemeClr val="accent6"/>
        </a:effectRef>
        <a:fontRef idx="minor">
          <a:schemeClr val="dk1"/>
        </a:fontRef>
      </xdr:style>
      <xdr:txBody>
        <a:bodyPr wrap="square" rtlCol="0" anchor="ctr"/>
        <a:lstStyle/>
        <a:p>
          <a:pPr marL="0" indent="0" algn="ctr"/>
          <a:r>
            <a:rPr lang="en-US" sz="800" b="0">
              <a:solidFill>
                <a:schemeClr val="dk1"/>
              </a:solidFill>
              <a:latin typeface="Arial" pitchFamily="34" charset="0"/>
              <a:ea typeface="+mn-ea"/>
              <a:cs typeface="Arial" pitchFamily="34" charset="0"/>
            </a:rPr>
            <a:t>Mutiple</a:t>
          </a:r>
        </a:p>
      </xdr:txBody>
    </xdr:sp>
    <xdr:clientData/>
  </xdr:twoCellAnchor>
  <xdr:twoCellAnchor editAs="oneCell">
    <xdr:from>
      <xdr:col>0</xdr:col>
      <xdr:colOff>66675</xdr:colOff>
      <xdr:row>0</xdr:row>
      <xdr:rowOff>47625</xdr:rowOff>
    </xdr:from>
    <xdr:to>
      <xdr:col>1</xdr:col>
      <xdr:colOff>981074</xdr:colOff>
      <xdr:row>2</xdr:row>
      <xdr:rowOff>123825</xdr:rowOff>
    </xdr:to>
    <xdr:pic>
      <xdr:nvPicPr>
        <xdr:cNvPr id="18" name="Picture 17" descr="Logo BVSC - Slogan T.jpg"/>
        <xdr:cNvPicPr>
          <a:picLocks noChangeAspect="1"/>
        </xdr:cNvPicPr>
      </xdr:nvPicPr>
      <xdr:blipFill>
        <a:blip xmlns:r="http://schemas.openxmlformats.org/officeDocument/2006/relationships" r:embed="rId14" cstate="print"/>
        <a:stretch>
          <a:fillRect/>
        </a:stretch>
      </xdr:blipFill>
      <xdr:spPr>
        <a:xfrm>
          <a:off x="66675" y="47625"/>
          <a:ext cx="1819274" cy="400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228600</xdr:colOff>
      <xdr:row>16</xdr:row>
      <xdr:rowOff>9525</xdr:rowOff>
    </xdr:from>
    <xdr:to>
      <xdr:col>12</xdr:col>
      <xdr:colOff>523875</xdr:colOff>
      <xdr:row>22</xdr:row>
      <xdr:rowOff>161925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9526</xdr:rowOff>
    </xdr:from>
    <xdr:to>
      <xdr:col>13</xdr:col>
      <xdr:colOff>9524</xdr:colOff>
      <xdr:row>14</xdr:row>
      <xdr:rowOff>28576</xdr:rowOff>
    </xdr:to>
    <xdr:sp macro="" textlink="">
      <xdr:nvSpPr>
        <xdr:cNvPr id="8" name="TextBox 7"/>
        <xdr:cNvSpPr txBox="1"/>
      </xdr:nvSpPr>
      <xdr:spPr>
        <a:xfrm>
          <a:off x="0" y="1628776"/>
          <a:ext cx="8896349" cy="9715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361950</xdr:colOff>
      <xdr:row>16</xdr:row>
      <xdr:rowOff>9525</xdr:rowOff>
    </xdr:from>
    <xdr:to>
      <xdr:col>19</xdr:col>
      <xdr:colOff>57150</xdr:colOff>
      <xdr:row>30</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28575</xdr:colOff>
      <xdr:row>0</xdr:row>
      <xdr:rowOff>114300</xdr:rowOff>
    </xdr:from>
    <xdr:to>
      <xdr:col>21</xdr:col>
      <xdr:colOff>333375</xdr:colOff>
      <xdr:row>13</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57148</xdr:colOff>
      <xdr:row>4</xdr:row>
      <xdr:rowOff>66673</xdr:rowOff>
    </xdr:from>
    <xdr:to>
      <xdr:col>14</xdr:col>
      <xdr:colOff>466724</xdr:colOff>
      <xdr:row>19</xdr:row>
      <xdr:rowOff>0</xdr:rowOff>
    </xdr:to>
    <xdr:sp macro="" textlink="">
      <xdr:nvSpPr>
        <xdr:cNvPr id="2" name="TextBox 1"/>
        <xdr:cNvSpPr txBox="1"/>
      </xdr:nvSpPr>
      <xdr:spPr>
        <a:xfrm>
          <a:off x="57148" y="761998"/>
          <a:ext cx="9163051" cy="3305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ct val="130000"/>
            </a:lnSpc>
          </a:pPr>
          <a:r>
            <a:rPr lang="en-US" sz="1000" b="1">
              <a:solidFill>
                <a:srgbClr val="0070C0"/>
              </a:solidFill>
              <a:latin typeface="Arial" pitchFamily="34" charset="0"/>
              <a:cs typeface="Arial" pitchFamily="34" charset="0"/>
            </a:rPr>
            <a:t>Description:</a:t>
          </a:r>
          <a:r>
            <a:rPr lang="en-US" sz="1000" b="1" baseline="0">
              <a:solidFill>
                <a:srgbClr val="0070C0"/>
              </a:solidFill>
              <a:latin typeface="Arial" pitchFamily="34" charset="0"/>
              <a:cs typeface="Arial" pitchFamily="34" charset="0"/>
            </a:rPr>
            <a:t> </a:t>
          </a:r>
        </a:p>
        <a:p>
          <a:pPr marL="0" marR="0" indent="0" defTabSz="914400" eaLnBrk="1" fontAlgn="auto" latinLnBrk="0" hangingPunct="1">
            <a:lnSpc>
              <a:spcPct val="130000"/>
            </a:lnSpc>
            <a:spcBef>
              <a:spcPts val="0"/>
            </a:spcBef>
            <a:spcAft>
              <a:spcPts val="0"/>
            </a:spcAft>
            <a:buClrTx/>
            <a:buSzTx/>
            <a:buFontTx/>
            <a:buNone/>
            <a:tabLst/>
            <a:defRPr/>
          </a:pPr>
          <a:r>
            <a:rPr lang="en-US" sz="1000" b="0" baseline="0">
              <a:solidFill>
                <a:sysClr val="windowText" lastClr="000000"/>
              </a:solidFill>
              <a:latin typeface="Arial" pitchFamily="34" charset="0"/>
              <a:cs typeface="Arial" pitchFamily="34" charset="0"/>
            </a:rPr>
            <a:t>As the Vietnamese stock market is young and the history of the market is limited. Thus, we use the indirect method to calculate the cost of equity and cost of debt. </a:t>
          </a:r>
        </a:p>
        <a:p>
          <a:pPr marL="0" marR="0" indent="0" algn="ctr" defTabSz="914400" eaLnBrk="1" fontAlgn="auto" latinLnBrk="0" hangingPunct="1">
            <a:lnSpc>
              <a:spcPct val="130000"/>
            </a:lnSpc>
            <a:spcBef>
              <a:spcPts val="0"/>
            </a:spcBef>
            <a:spcAft>
              <a:spcPts val="0"/>
            </a:spcAft>
            <a:buClrTx/>
            <a:buSzTx/>
            <a:buFontTx/>
            <a:buNone/>
            <a:tabLst/>
            <a:defRPr/>
          </a:pPr>
          <a:r>
            <a:rPr lang="en-US" sz="1000" b="1" baseline="0">
              <a:solidFill>
                <a:sysClr val="windowText" lastClr="000000"/>
              </a:solidFill>
              <a:latin typeface="Arial" pitchFamily="34" charset="0"/>
              <a:cs typeface="Arial" pitchFamily="34" charset="0"/>
            </a:rPr>
            <a:t>WACC = Cost of Equity * E/(E+D) + Cost of Debt * (1-Tax) * D/(E+D)</a:t>
          </a:r>
        </a:p>
        <a:p>
          <a:pPr marL="0" marR="0" indent="0" defTabSz="914400" eaLnBrk="1" fontAlgn="auto" latinLnBrk="0" hangingPunct="1">
            <a:lnSpc>
              <a:spcPct val="130000"/>
            </a:lnSpc>
            <a:spcBef>
              <a:spcPts val="0"/>
            </a:spcBef>
            <a:spcAft>
              <a:spcPts val="0"/>
            </a:spcAft>
            <a:buClrTx/>
            <a:buSzTx/>
            <a:buFontTx/>
            <a:buNone/>
            <a:tabLst/>
            <a:defRPr/>
          </a:pPr>
          <a:r>
            <a:rPr lang="en-US" sz="1000" b="1" baseline="0">
              <a:solidFill>
                <a:sysClr val="windowText" lastClr="000000"/>
              </a:solidFill>
              <a:latin typeface="Arial" pitchFamily="34" charset="0"/>
              <a:cs typeface="Arial" pitchFamily="34" charset="0"/>
            </a:rPr>
            <a:t>Cost of Debt:</a:t>
          </a:r>
        </a:p>
        <a:p>
          <a:pPr marL="0" marR="0" indent="0" defTabSz="914400" eaLnBrk="1" fontAlgn="auto" latinLnBrk="0" hangingPunct="1">
            <a:lnSpc>
              <a:spcPct val="130000"/>
            </a:lnSpc>
            <a:spcBef>
              <a:spcPts val="0"/>
            </a:spcBef>
            <a:spcAft>
              <a:spcPts val="0"/>
            </a:spcAft>
            <a:buClrTx/>
            <a:buSzTx/>
            <a:buFontTx/>
            <a:buNone/>
            <a:tabLst/>
            <a:defRPr/>
          </a:pPr>
          <a:r>
            <a:rPr lang="en-US" sz="1000" b="0" baseline="0">
              <a:solidFill>
                <a:sysClr val="windowText" lastClr="000000"/>
              </a:solidFill>
              <a:latin typeface="Arial" pitchFamily="34" charset="0"/>
              <a:cs typeface="Arial" pitchFamily="34" charset="0"/>
            </a:rPr>
            <a:t>In short term, a company may take advantage of abnormal low or high interest rate. Thus, we can use the stated cost of debt for the projected period which is from 3 to 5 years. However, in long term, the we can use the combination of Risk Free Rate (Rf) and Credit spread. As the financial market at the moment is chaotic, we use the U.S market and add the country risk premium to work out cost of debt. </a:t>
          </a:r>
        </a:p>
        <a:p>
          <a:pPr marL="0" marR="0" indent="0" algn="l" defTabSz="914400" eaLnBrk="1" fontAlgn="auto" latinLnBrk="0" hangingPunct="1">
            <a:lnSpc>
              <a:spcPct val="130000"/>
            </a:lnSpc>
            <a:spcBef>
              <a:spcPts val="0"/>
            </a:spcBef>
            <a:spcAft>
              <a:spcPts val="0"/>
            </a:spcAft>
            <a:buClrTx/>
            <a:buSzTx/>
            <a:buFontTx/>
            <a:buNone/>
            <a:tabLst/>
            <a:defRPr/>
          </a:pPr>
          <a:r>
            <a:rPr lang="en-US" sz="1000" b="1" baseline="0">
              <a:solidFill>
                <a:sysClr val="windowText" lastClr="000000"/>
              </a:solidFill>
              <a:latin typeface="Arial" pitchFamily="34" charset="0"/>
              <a:cs typeface="Arial" pitchFamily="34" charset="0"/>
            </a:rPr>
            <a:t>Cost of equity:</a:t>
          </a:r>
        </a:p>
        <a:p>
          <a:pPr marL="0" marR="0" indent="0" algn="ctr" defTabSz="914400" eaLnBrk="1" fontAlgn="auto" latinLnBrk="0" hangingPunct="1">
            <a:lnSpc>
              <a:spcPct val="130000"/>
            </a:lnSpc>
            <a:spcBef>
              <a:spcPts val="0"/>
            </a:spcBef>
            <a:spcAft>
              <a:spcPts val="0"/>
            </a:spcAft>
            <a:buClrTx/>
            <a:buSzTx/>
            <a:buFontTx/>
            <a:buNone/>
            <a:tabLst/>
            <a:defRPr/>
          </a:pPr>
          <a:r>
            <a:rPr lang="en-US" sz="1000" b="1" baseline="0">
              <a:solidFill>
                <a:sysClr val="windowText" lastClr="000000"/>
              </a:solidFill>
              <a:latin typeface="Arial" pitchFamily="34" charset="0"/>
              <a:cs typeface="Arial" pitchFamily="34" charset="0"/>
            </a:rPr>
            <a:t> (Re) = Rf + </a:t>
          </a:r>
          <a:r>
            <a:rPr lang="en-US" sz="1000" b="1" baseline="0">
              <a:solidFill>
                <a:sysClr val="windowText" lastClr="000000"/>
              </a:solidFill>
              <a:latin typeface="Arial" pitchFamily="34" charset="0"/>
              <a:cs typeface="Arial" pitchFamily="34" charset="0"/>
              <a:sym typeface="Symbol"/>
            </a:rPr>
            <a:t></a:t>
          </a:r>
          <a:r>
            <a:rPr lang="en-US" sz="1000" b="1" baseline="0">
              <a:solidFill>
                <a:sysClr val="windowText" lastClr="000000"/>
              </a:solidFill>
              <a:latin typeface="Arial" pitchFamily="34" charset="0"/>
              <a:cs typeface="Arial" pitchFamily="34" charset="0"/>
            </a:rPr>
            <a:t> * (Rm - Rf) = Rf + </a:t>
          </a:r>
          <a:r>
            <a:rPr lang="en-US" sz="1000" b="1" baseline="0">
              <a:solidFill>
                <a:sysClr val="windowText" lastClr="000000"/>
              </a:solidFill>
              <a:latin typeface="Arial" pitchFamily="34" charset="0"/>
              <a:cs typeface="Arial" pitchFamily="34" charset="0"/>
              <a:sym typeface="Symbol"/>
            </a:rPr>
            <a:t></a:t>
          </a:r>
          <a:r>
            <a:rPr lang="en-US" sz="1000" b="1" baseline="0">
              <a:solidFill>
                <a:sysClr val="windowText" lastClr="000000"/>
              </a:solidFill>
              <a:latin typeface="Arial" pitchFamily="34" charset="0"/>
              <a:cs typeface="Arial" pitchFamily="34" charset="0"/>
            </a:rPr>
            <a:t>* (equity risk premium)</a:t>
          </a:r>
        </a:p>
        <a:p>
          <a:pPr marL="0" marR="0" indent="0" defTabSz="914400" eaLnBrk="1" fontAlgn="auto" latinLnBrk="0" hangingPunct="1">
            <a:lnSpc>
              <a:spcPct val="130000"/>
            </a:lnSpc>
            <a:spcBef>
              <a:spcPts val="0"/>
            </a:spcBef>
            <a:spcAft>
              <a:spcPts val="0"/>
            </a:spcAft>
            <a:buClrTx/>
            <a:buSzTx/>
            <a:buFontTx/>
            <a:buNone/>
            <a:tabLst/>
            <a:defRPr/>
          </a:pPr>
          <a:r>
            <a:rPr lang="en-US" sz="1000" b="0" baseline="0">
              <a:solidFill>
                <a:sysClr val="windowText" lastClr="000000"/>
              </a:solidFill>
              <a:latin typeface="Arial" pitchFamily="34" charset="0"/>
              <a:cs typeface="Arial" pitchFamily="34" charset="0"/>
            </a:rPr>
            <a:t>Where Rm = Return on market portfolio; Rf = Long term government bond yield. </a:t>
          </a:r>
          <a:r>
            <a:rPr lang="en-US" sz="1000" b="0" baseline="0">
              <a:solidFill>
                <a:sysClr val="windowText" lastClr="000000"/>
              </a:solidFill>
              <a:latin typeface="Arial" pitchFamily="34" charset="0"/>
              <a:cs typeface="Arial" pitchFamily="34" charset="0"/>
              <a:sym typeface="Symbol"/>
            </a:rPr>
            <a:t></a:t>
          </a:r>
          <a:r>
            <a:rPr lang="en-US" sz="1000" b="0" baseline="0">
              <a:solidFill>
                <a:sysClr val="windowText" lastClr="000000"/>
              </a:solidFill>
              <a:latin typeface="Arial" pitchFamily="34" charset="0"/>
              <a:cs typeface="Arial" pitchFamily="34" charset="0"/>
            </a:rPr>
            <a:t>= correlation between return on a specific security  and return on market portfolio. </a:t>
          </a:r>
        </a:p>
        <a:p>
          <a:pPr marL="0" marR="0" indent="0" defTabSz="914400" eaLnBrk="1" fontAlgn="auto" latinLnBrk="0" hangingPunct="1">
            <a:lnSpc>
              <a:spcPct val="130000"/>
            </a:lnSpc>
            <a:spcBef>
              <a:spcPts val="0"/>
            </a:spcBef>
            <a:spcAft>
              <a:spcPts val="0"/>
            </a:spcAft>
            <a:buClrTx/>
            <a:buSzTx/>
            <a:buFontTx/>
            <a:buNone/>
            <a:tabLst/>
            <a:defRPr/>
          </a:pPr>
          <a:r>
            <a:rPr lang="en-US" sz="1000" b="0" baseline="0">
              <a:solidFill>
                <a:sysClr val="windowText" lastClr="000000"/>
              </a:solidFill>
              <a:latin typeface="Arial" pitchFamily="34" charset="0"/>
              <a:cs typeface="Arial" pitchFamily="34" charset="0"/>
            </a:rPr>
            <a:t>As the history of Vietnamese market is limited, we use the modified cost of equity in U.S market (with assumption is that investors come from U.S), </a:t>
          </a:r>
        </a:p>
        <a:p>
          <a:pPr marL="0" marR="0" indent="0" algn="ctr" defTabSz="914400" eaLnBrk="1" fontAlgn="auto" latinLnBrk="0" hangingPunct="1">
            <a:lnSpc>
              <a:spcPct val="130000"/>
            </a:lnSpc>
            <a:spcBef>
              <a:spcPts val="0"/>
            </a:spcBef>
            <a:spcAft>
              <a:spcPts val="0"/>
            </a:spcAft>
            <a:buClrTx/>
            <a:buSzTx/>
            <a:buFontTx/>
            <a:buNone/>
            <a:tabLst/>
            <a:defRPr/>
          </a:pPr>
          <a:r>
            <a:rPr lang="en-US" sz="1000" b="1" baseline="0">
              <a:solidFill>
                <a:sysClr val="windowText" lastClr="000000"/>
              </a:solidFill>
              <a:latin typeface="Arial" pitchFamily="34" charset="0"/>
              <a:cs typeface="Arial" pitchFamily="34" charset="0"/>
            </a:rPr>
            <a:t>Modified Re =   Rf + </a:t>
          </a:r>
          <a:r>
            <a:rPr lang="en-US" sz="1000" b="1" baseline="0">
              <a:solidFill>
                <a:sysClr val="windowText" lastClr="000000"/>
              </a:solidFill>
              <a:latin typeface="Arial" pitchFamily="34" charset="0"/>
              <a:cs typeface="Arial" pitchFamily="34" charset="0"/>
              <a:sym typeface="Symbol"/>
            </a:rPr>
            <a:t></a:t>
          </a:r>
          <a:r>
            <a:rPr lang="en-US" sz="1000" b="1" baseline="0">
              <a:solidFill>
                <a:sysClr val="windowText" lastClr="000000"/>
              </a:solidFill>
              <a:latin typeface="Arial" pitchFamily="34" charset="0"/>
              <a:cs typeface="Arial" pitchFamily="34" charset="0"/>
            </a:rPr>
            <a:t>* (base equity risk premium in U.S) + </a:t>
          </a:r>
          <a:r>
            <a:rPr lang="en-US" sz="1000" b="1" baseline="0">
              <a:solidFill>
                <a:sysClr val="windowText" lastClr="000000"/>
              </a:solidFill>
              <a:latin typeface="Arial" pitchFamily="34" charset="0"/>
              <a:cs typeface="Arial" pitchFamily="34" charset="0"/>
              <a:sym typeface="Symbol"/>
            </a:rPr>
            <a:t></a:t>
          </a:r>
          <a:r>
            <a:rPr lang="en-US" sz="1000" b="1" baseline="0">
              <a:solidFill>
                <a:sysClr val="windowText" lastClr="000000"/>
              </a:solidFill>
              <a:latin typeface="Arial" pitchFamily="34" charset="0"/>
              <a:cs typeface="Arial" pitchFamily="34" charset="0"/>
            </a:rPr>
            <a:t>*VN country risk</a:t>
          </a:r>
        </a:p>
        <a:p>
          <a:pPr marL="0" marR="0" indent="0" defTabSz="914400" eaLnBrk="1" fontAlgn="auto" latinLnBrk="0" hangingPunct="1">
            <a:lnSpc>
              <a:spcPct val="130000"/>
            </a:lnSpc>
            <a:spcBef>
              <a:spcPts val="0"/>
            </a:spcBef>
            <a:spcAft>
              <a:spcPts val="0"/>
            </a:spcAft>
            <a:buClrTx/>
            <a:buSzTx/>
            <a:buFontTx/>
            <a:buNone/>
            <a:tabLst/>
            <a:defRPr/>
          </a:pPr>
          <a:r>
            <a:rPr lang="en-US" sz="1000" b="0" baseline="0">
              <a:solidFill>
                <a:sysClr val="windowText" lastClr="000000"/>
              </a:solidFill>
              <a:latin typeface="Arial" pitchFamily="34" charset="0"/>
              <a:cs typeface="Arial" pitchFamily="34" charset="0"/>
            </a:rPr>
            <a:t>where c is the adjusted factor which reflects the risk relationship between a specific company and its country. Country risk = credit default spread * (</a:t>
          </a:r>
          <a:r>
            <a:rPr lang="en-US" sz="1000" b="0" baseline="0">
              <a:solidFill>
                <a:sysClr val="windowText" lastClr="000000"/>
              </a:solidFill>
              <a:latin typeface="Arial" pitchFamily="34" charset="0"/>
              <a:cs typeface="Arial" pitchFamily="34" charset="0"/>
              <a:sym typeface="Symbol"/>
            </a:rPr>
            <a:t></a:t>
          </a:r>
          <a:r>
            <a:rPr lang="en-US" sz="1000" b="0" baseline="0">
              <a:solidFill>
                <a:sysClr val="windowText" lastClr="000000"/>
              </a:solidFill>
              <a:latin typeface="Arial" pitchFamily="34" charset="0"/>
              <a:cs typeface="Arial" pitchFamily="34" charset="0"/>
            </a:rPr>
            <a:t> equity market/</a:t>
          </a:r>
          <a:r>
            <a:rPr lang="en-US" sz="1000" b="0" baseline="0">
              <a:solidFill>
                <a:sysClr val="windowText" lastClr="000000"/>
              </a:solidFill>
              <a:latin typeface="Arial" pitchFamily="34" charset="0"/>
              <a:cs typeface="Arial" pitchFamily="34" charset="0"/>
              <a:sym typeface="Symbol"/>
            </a:rPr>
            <a:t></a:t>
          </a:r>
          <a:r>
            <a:rPr lang="en-US" sz="1000" b="0" baseline="0">
              <a:solidFill>
                <a:sysClr val="windowText" lastClr="000000"/>
              </a:solidFill>
              <a:latin typeface="Arial" pitchFamily="34" charset="0"/>
              <a:cs typeface="Arial" pitchFamily="34" charset="0"/>
            </a:rPr>
            <a:t> bond market). Assume </a:t>
          </a:r>
          <a:r>
            <a:rPr lang="en-US" sz="1000" b="0" baseline="0">
              <a:solidFill>
                <a:sysClr val="windowText" lastClr="000000"/>
              </a:solidFill>
              <a:latin typeface="Arial" pitchFamily="34" charset="0"/>
              <a:cs typeface="Arial" pitchFamily="34" charset="0"/>
              <a:sym typeface="Symbol"/>
            </a:rPr>
            <a:t>=</a:t>
          </a:r>
          <a:endParaRPr lang="en-US" sz="1000" b="0" baseline="0">
            <a:solidFill>
              <a:sysClr val="windowText" lastClr="000000"/>
            </a:solidFill>
            <a:latin typeface="Arial" pitchFamily="34" charset="0"/>
            <a:cs typeface="Arial" pitchFamily="34" charset="0"/>
          </a:endParaRPr>
        </a:p>
        <a:p>
          <a:pPr marL="0" marR="0" indent="0" algn="r" defTabSz="914400" eaLnBrk="1" fontAlgn="auto" latinLnBrk="0" hangingPunct="1">
            <a:lnSpc>
              <a:spcPct val="130000"/>
            </a:lnSpc>
            <a:spcBef>
              <a:spcPts val="0"/>
            </a:spcBef>
            <a:spcAft>
              <a:spcPts val="0"/>
            </a:spcAft>
            <a:buClrTx/>
            <a:buSzTx/>
            <a:buFontTx/>
            <a:buNone/>
            <a:tabLst/>
            <a:defRPr/>
          </a:pPr>
          <a:r>
            <a:rPr lang="en-US" sz="1000" b="0" baseline="0">
              <a:solidFill>
                <a:sysClr val="windowText" lastClr="000000"/>
              </a:solidFill>
              <a:latin typeface="Arial" pitchFamily="34" charset="0"/>
              <a:cs typeface="Arial" pitchFamily="34" charset="0"/>
            </a:rPr>
            <a:t> </a:t>
          </a:r>
          <a:r>
            <a:rPr lang="en-US" sz="1000" i="1" baseline="0">
              <a:solidFill>
                <a:srgbClr val="C00000"/>
              </a:solidFill>
              <a:latin typeface="Arial" pitchFamily="34" charset="0"/>
              <a:cs typeface="Arial" pitchFamily="34" charset="0"/>
            </a:rPr>
            <a:t>Reference: http://www.stern.nyu.edu/fin/workpapers/papers99/wpa99021.pdf</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180975</xdr:colOff>
      <xdr:row>1</xdr:row>
      <xdr:rowOff>190500</xdr:rowOff>
    </xdr:to>
    <xdr:pic>
      <xdr:nvPicPr>
        <xdr:cNvPr id="2" name="Picture 1"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2000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 name="Picture 2"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4095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 name="Picture 3"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7049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 name="Picture 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30003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 name="Picture 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33909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 name="Picture 6"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45053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 name="Picture 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58007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 name="Picture 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65532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 name="Picture 9"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78390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 name="Picture 1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8953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 name="Picture 1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98869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 name="Picture 1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10013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 name="Picture 1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17443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 name="Picture 1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30302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 name="Picture 1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39636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 name="Picture 16"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52590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 name="Picture 1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60115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 name="Picture 1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65830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0" name="Picture 19"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75069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1" name="Picture 2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86213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2" name="Picture 2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7358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3" name="Picture 2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208502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4" name="Picture 2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221456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5" name="Picture 24"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232600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6" name="Picture 2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243744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7" name="Picture 2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251174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8" name="Picture 2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260413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9" name="Picture 2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273272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0" name="Picture 2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280701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1" name="Picture 3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288131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2" name="Picture 31"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297370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3" name="Picture 3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304895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4" name="Picture 3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314229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5" name="Picture 3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321754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6" name="Picture 3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329279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7" name="Picture 3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338518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8" name="Picture 3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344138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9" name="Picture 38"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349758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0" name="Picture 3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359092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1" name="Picture 4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366617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2" name="Picture 4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374142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3" name="Picture 4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385286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4" name="Picture 4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392715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5" name="Picture 4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398335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6" name="Picture 4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403955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7" name="Picture 4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415099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8" name="Picture 4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422529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9" name="Picture 4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435483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0" name="Picture 4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444817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1" name="Picture 50"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455866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2" name="Picture 5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465201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3" name="Picture 5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474535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4" name="Picture 5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483774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5" name="Picture 5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493109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6" name="Picture 5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500538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7" name="Picture 56"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508063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8" name="Picture 57"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511873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9" name="Picture 58"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517588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0" name="Picture 5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525113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1" name="Picture 6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530733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2" name="Picture 6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539972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3" name="Picture 6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549306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4" name="Picture 6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558641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5" name="Picture 6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571595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6" name="Picture 6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580929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7" name="Picture 6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588454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8" name="Picture 6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594074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9" name="Picture 6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610552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0" name="Picture 6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625316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1" name="Picture 7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634555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2" name="Picture 71"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643890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3" name="Picture 7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6496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4" name="Picture 7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658844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5" name="Picture 7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666273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6" name="Picture 7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673703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7" name="Picture 7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681228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8" name="Picture 7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688657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9" name="Picture 7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699801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0" name="Picture 7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707231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1" name="Picture 8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720185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2" name="Picture 81"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733044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3" name="Picture 8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742378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4" name="Picture 8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749903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5" name="Picture 8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759237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6" name="Picture 8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766762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7" name="Picture 8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774192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8" name="Picture 8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779811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9" name="Picture 8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790860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0" name="Picture 8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8020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1" name="Picture 9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811339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2" name="Picture 9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820674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3" name="Picture 9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831818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4" name="Picture 9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844772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5" name="Picture 9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855821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6" name="Picture 9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865060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7" name="Picture 9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872490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8" name="Picture 9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878109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9" name="Picture 9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890968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0" name="Picture 9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902017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1" name="Picture 10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909447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2" name="Picture 101"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3" name="Picture 102"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4" name="Picture 103"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5" name="Picture 10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6" name="Picture 10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7" name="Picture 106"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8" name="Picture 10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9" name="Picture 10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0" name="Picture 109"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1" name="Picture 11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2" name="Picture 11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3" name="Picture 11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4" name="Picture 11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5" name="Picture 11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6" name="Picture 11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7" name="Picture 116"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8" name="Picture 11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9" name="Picture 11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0" name="Picture 119"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1" name="Picture 12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2" name="Picture 12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3" name="Picture 12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4" name="Picture 12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5" name="Picture 124"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6" name="Picture 12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7" name="Picture 12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8" name="Picture 12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9" name="Picture 12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0" name="Picture 12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1" name="Picture 13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2" name="Picture 131"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3" name="Picture 13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4" name="Picture 13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5" name="Picture 13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6" name="Picture 13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7" name="Picture 13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8" name="Picture 13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9" name="Picture 138"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0" name="Picture 13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1" name="Picture 14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2" name="Picture 14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3" name="Picture 14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4" name="Picture 14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5" name="Picture 14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6" name="Picture 14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7" name="Picture 14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8" name="Picture 14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9" name="Picture 14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0" name="Picture 14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1" name="Picture 150"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2" name="Picture 15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3" name="Picture 15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4" name="Picture 15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5" name="Picture 15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6" name="Picture 15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7" name="Picture 156"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8" name="Picture 157"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9" name="Picture 158"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0" name="Picture 15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1" name="Picture 16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2" name="Picture 16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3" name="Picture 16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4" name="Picture 16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5" name="Picture 16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6" name="Picture 16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7" name="Picture 16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8" name="Picture 16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9" name="Picture 16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0" name="Picture 16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1" name="Picture 17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2" name="Picture 171"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3" name="Picture 17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4" name="Picture 17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5" name="Picture 17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6" name="Picture 17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7" name="Picture 17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8" name="Picture 17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9" name="Picture 17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0" name="Picture 17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1" name="Picture 18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2" name="Picture 181"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3" name="Picture 18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4" name="Picture 18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5" name="Picture 18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6" name="Picture 18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7" name="Picture 18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8" name="Picture 18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9" name="Picture 18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0" name="Picture 18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1" name="Picture 19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2" name="Picture 19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3" name="Picture 19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4" name="Picture 19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5" name="Picture 19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6" name="Picture 19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7" name="Picture 19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8" name="Picture 19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9" name="Picture 19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00" name="Picture 19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01" name="Picture 20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180975</xdr:colOff>
      <xdr:row>1</xdr:row>
      <xdr:rowOff>190500</xdr:rowOff>
    </xdr:to>
    <xdr:pic>
      <xdr:nvPicPr>
        <xdr:cNvPr id="2" name="Picture 1"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2000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 name="Picture 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5049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 name="Picture 3"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26193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 name="Picture 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33718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 name="Picture 5"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41243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 name="Picture 6"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48768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 name="Picture 7"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58102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 name="Picture 8"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63817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 name="Picture 9"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73152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 name="Picture 1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80676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 name="Picture 11"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90011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 name="Picture 12"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0477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 name="Picture 13"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12299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 name="Picture 1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18014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 name="Picture 15"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25539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 name="Picture 16"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40208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 name="Picture 17"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51352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 name="Picture 18"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62496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0" name="Picture 19"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71831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1" name="Picture 2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79355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2" name="Picture 21"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92309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3" name="Picture 22"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20516850"/>
          <a:ext cx="180975" cy="1905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180975</xdr:colOff>
      <xdr:row>1</xdr:row>
      <xdr:rowOff>190500</xdr:rowOff>
    </xdr:to>
    <xdr:pic>
      <xdr:nvPicPr>
        <xdr:cNvPr id="2" name="Picture 1"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2000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 name="Picture 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4954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 name="Picture 3"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24288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 name="Picture 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33623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 name="Picture 5"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41148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 name="Picture 6"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50482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 name="Picture 7"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63341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 name="Picture 8"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70770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 name="Picture 9"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87344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 name="Picture 1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94869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 name="Picture 11"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04203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 name="Picture 1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08013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 name="Picture 13"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11823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 name="Picture 1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17538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 name="Picture 15"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28587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 name="Picture 16"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48780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 name="Picture 17"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59924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 name="Picture 18"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69259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0" name="Picture 19"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196691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1" name="Picture 2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206025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2" name="Picture 21"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218979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3" name="Picture 2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226504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4" name="Picture 23"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237648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5" name="Picture 2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250602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6" name="Picture 25"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263556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7" name="Picture 26"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280130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8" name="Picture 27"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291179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9" name="Picture 28"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313182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0" name="Picture 29"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33337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1" name="Picture 3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349948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2" name="Picture 31"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368331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3" name="Picture 3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381190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4" name="Picture 33"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388620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5" name="Picture 3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401574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6" name="Picture 35"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414528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7" name="Picture 36"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420147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8" name="Picture 37"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436721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9" name="Picture 38"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449580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0" name="Picture 39"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464343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1" name="Picture 4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475392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2" name="Picture 41"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493776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3" name="Picture 4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517493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4" name="Picture 43"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532257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5" name="Picture 4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541591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6" name="Picture 45"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549021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7" name="Picture 46"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558260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8" name="Picture 47"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567499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9" name="Picture 48"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580453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0" name="Picture 49"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595122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1" name="Picture 5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602551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2" name="Picture 51"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6173152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3" name="Picture 5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6284595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4" name="Picture 53"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63960375"/>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5" name="Picture 5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65436750"/>
          <a:ext cx="180975" cy="1905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180975</xdr:colOff>
      <xdr:row>1</xdr:row>
      <xdr:rowOff>190500</xdr:rowOff>
    </xdr:to>
    <xdr:pic>
      <xdr:nvPicPr>
        <xdr:cNvPr id="2" name="Picture 1"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 name="Picture 2"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 name="Picture 3"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 name="Picture 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 name="Picture 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 name="Picture 6"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 name="Picture 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 name="Picture 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 name="Picture 9"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 name="Picture 1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 name="Picture 1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 name="Picture 1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 name="Picture 1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 name="Picture 1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 name="Picture 1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 name="Picture 16"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 name="Picture 1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 name="Picture 1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0" name="Picture 19"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1" name="Picture 2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2" name="Picture 2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3" name="Picture 2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4" name="Picture 2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5" name="Picture 24"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6" name="Picture 2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7" name="Picture 2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8" name="Picture 2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9" name="Picture 2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0" name="Picture 2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1" name="Picture 3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2" name="Picture 31"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3" name="Picture 3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4" name="Picture 3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5" name="Picture 3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6" name="Picture 3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7" name="Picture 3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8" name="Picture 3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9" name="Picture 38"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0" name="Picture 3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1" name="Picture 4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2" name="Picture 4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3" name="Picture 4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4" name="Picture 4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5" name="Picture 4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6" name="Picture 4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7" name="Picture 4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8" name="Picture 4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9" name="Picture 4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0" name="Picture 4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1" name="Picture 50"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2" name="Picture 5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3" name="Picture 5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4" name="Picture 5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5" name="Picture 5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6" name="Picture 5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7" name="Picture 56"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8" name="Picture 57"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9" name="Picture 58"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0" name="Picture 5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1" name="Picture 6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2" name="Picture 6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3" name="Picture 6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4" name="Picture 6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5" name="Picture 6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6" name="Picture 6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7" name="Picture 6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8" name="Picture 6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9" name="Picture 6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0" name="Picture 6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1" name="Picture 7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2" name="Picture 71"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3" name="Picture 7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4" name="Picture 7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5" name="Picture 7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6" name="Picture 7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7" name="Picture 7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8" name="Picture 7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9" name="Picture 7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0" name="Picture 7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1" name="Picture 8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2" name="Picture 81"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3" name="Picture 8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4" name="Picture 8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5" name="Picture 8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6" name="Picture 8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7" name="Picture 8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8" name="Picture 8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89" name="Picture 8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0" name="Picture 8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1" name="Picture 9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2" name="Picture 9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3" name="Picture 9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4" name="Picture 9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5" name="Picture 9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6" name="Picture 9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7" name="Picture 9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8" name="Picture 9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99" name="Picture 9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0" name="Picture 9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1" name="Picture 10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2" name="Picture 101"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3" name="Picture 102"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4" name="Picture 103"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5" name="Picture 10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6" name="Picture 10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7" name="Picture 106"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8" name="Picture 10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09" name="Picture 10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0" name="Picture 109"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1" name="Picture 11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2" name="Picture 11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3" name="Picture 11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4" name="Picture 11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5" name="Picture 11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6" name="Picture 11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7" name="Picture 116"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8" name="Picture 11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19" name="Picture 11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0" name="Picture 119"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1" name="Picture 12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2" name="Picture 12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3" name="Picture 12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4" name="Picture 12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5" name="Picture 124"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6" name="Picture 12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7" name="Picture 12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8" name="Picture 12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29" name="Picture 12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0" name="Picture 12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1" name="Picture 13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2" name="Picture 131"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3" name="Picture 13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4" name="Picture 13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5" name="Picture 13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6" name="Picture 13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7" name="Picture 13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8" name="Picture 13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39" name="Picture 138"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0" name="Picture 13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1" name="Picture 14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2" name="Picture 14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3" name="Picture 14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4" name="Picture 14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5" name="Picture 14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6" name="Picture 14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7" name="Picture 14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8" name="Picture 14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49" name="Picture 14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0" name="Picture 14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1" name="Picture 150"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2" name="Picture 15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3" name="Picture 15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4" name="Picture 15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5" name="Picture 15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6" name="Picture 15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7" name="Picture 156"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8" name="Picture 157"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59" name="Picture 158"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0" name="Picture 15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1" name="Picture 16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2" name="Picture 16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3" name="Picture 16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4" name="Picture 16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5" name="Picture 16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6" name="Picture 16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7" name="Picture 16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8" name="Picture 16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69" name="Picture 16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0" name="Picture 16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1" name="Picture 17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2" name="Picture 171"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3" name="Picture 17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4" name="Picture 17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5" name="Picture 17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6" name="Picture 17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7" name="Picture 17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8" name="Picture 17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79" name="Picture 17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0" name="Picture 17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1" name="Picture 18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2" name="Picture 181"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3" name="Picture 182"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4" name="Picture 18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5" name="Picture 18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6" name="Picture 185"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7" name="Picture 18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8" name="Picture 18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89" name="Picture 18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0" name="Picture 18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1" name="Picture 19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2" name="Picture 191"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3" name="Picture 192"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4" name="Picture 193"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5" name="Picture 194"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6" name="Picture 195" descr="http://www.stockbiz.vn/Images/ComponentArt/TreeView/Lines/plus.gif"/>
        <xdr:cNvPicPr>
          <a:picLocks noChangeAspect="1" noChangeArrowheads="1"/>
        </xdr:cNvPicPr>
      </xdr:nvPicPr>
      <xdr:blipFill>
        <a:blip xmlns:r="http://schemas.openxmlformats.org/officeDocument/2006/relationships" r:embed="rId2" cstate="print"/>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7" name="Picture 196"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8" name="Picture 197"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199" name="Picture 198"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00" name="Picture 199"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01" name="Picture 200" descr="http://www.stockbiz.vn/Images/spacer.gif"/>
        <xdr:cNvPicPr>
          <a:picLocks noChangeAspect="1" noChangeArrowheads="1"/>
        </xdr:cNvPicPr>
      </xdr:nvPicPr>
      <xdr:blipFill>
        <a:blip xmlns:r="http://schemas.openxmlformats.org/officeDocument/2006/relationships" r:embed="rId3"/>
        <a:srcRect/>
        <a:stretch>
          <a:fillRect/>
        </a:stretch>
      </xdr:blipFill>
      <xdr:spPr bwMode="auto">
        <a:xfrm>
          <a:off x="0" y="190500"/>
          <a:ext cx="180975" cy="19050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180975</xdr:colOff>
      <xdr:row>1</xdr:row>
      <xdr:rowOff>190500</xdr:rowOff>
    </xdr:to>
    <xdr:pic>
      <xdr:nvPicPr>
        <xdr:cNvPr id="24" name="Picture 23"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5" name="Picture 2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6" name="Picture 25"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7" name="Picture 26"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8" name="Picture 27"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29" name="Picture 28"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0" name="Picture 29"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1" name="Picture 3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2" name="Picture 31"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3" name="Picture 3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4" name="Picture 33"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5" name="Picture 3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6" name="Picture 35"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7" name="Picture 36"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8" name="Picture 37"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39" name="Picture 38"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0" name="Picture 39"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1" name="Picture 4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2" name="Picture 41"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3" name="Picture 4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4" name="Picture 43"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5" name="Picture 4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6" name="Picture 45"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7" name="Picture 46"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8" name="Picture 47"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49" name="Picture 48"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0" name="Picture 49"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1" name="Picture 5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2" name="Picture 51"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3" name="Picture 5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4" name="Picture 53"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5" name="Picture 5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6" name="Picture 55"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7" name="Picture 56"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8" name="Picture 57"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59" name="Picture 58"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0" name="Picture 59"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1" name="Picture 6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2" name="Picture 61" descr="http://www.stockbiz.vn/Images/ComponentArt/TreeView/Lines/minus.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3" name="Picture 6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4" name="Picture 63"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5" name="Picture 6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6" name="Picture 65"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7" name="Picture 66"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8" name="Picture 67"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69" name="Picture 68"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0" name="Picture 69"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1" name="Picture 70"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2" name="Picture 71"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3" name="Picture 72"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4" name="Picture 73"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5" name="Picture 74"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6" name="Picture 75"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twoCellAnchor editAs="oneCell">
    <xdr:from>
      <xdr:col>0</xdr:col>
      <xdr:colOff>0</xdr:colOff>
      <xdr:row>1</xdr:row>
      <xdr:rowOff>0</xdr:rowOff>
    </xdr:from>
    <xdr:to>
      <xdr:col>0</xdr:col>
      <xdr:colOff>180975</xdr:colOff>
      <xdr:row>1</xdr:row>
      <xdr:rowOff>190500</xdr:rowOff>
    </xdr:to>
    <xdr:pic>
      <xdr:nvPicPr>
        <xdr:cNvPr id="77" name="Picture 76" descr="http://www.stockbiz.vn/Images/spacer.gif"/>
        <xdr:cNvPicPr>
          <a:picLocks noChangeAspect="1" noChangeArrowheads="1"/>
        </xdr:cNvPicPr>
      </xdr:nvPicPr>
      <xdr:blipFill>
        <a:blip xmlns:r="http://schemas.openxmlformats.org/officeDocument/2006/relationships" r:embed="rId2"/>
        <a:srcRect/>
        <a:stretch>
          <a:fillRect/>
        </a:stretch>
      </xdr:blipFill>
      <xdr:spPr bwMode="auto">
        <a:xfrm>
          <a:off x="0" y="0"/>
          <a:ext cx="180975" cy="190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folder/GDT/Valuation%20GD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fo"/>
      <sheetName val="Overview"/>
      <sheetName val="Assump- Revenue"/>
      <sheetName val="Assump-F "/>
      <sheetName val="CAPEX"/>
      <sheetName val="Liabilities"/>
      <sheetName val="PL&amp;BS Projection"/>
      <sheetName val="Market reseach"/>
      <sheetName val="Financial statement"/>
      <sheetName val="Ratios"/>
      <sheetName val="Discount rate"/>
      <sheetName val="CF projection"/>
      <sheetName val="DCF"/>
      <sheetName val="Multiple"/>
      <sheetName val="ABS"/>
      <sheetName val="APL"/>
      <sheetName val="ACF"/>
      <sheetName val="QPL"/>
      <sheetName val="QBS"/>
      <sheetName val="QCF"/>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
          <cell r="A1">
            <v>0</v>
          </cell>
        </row>
      </sheetData>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hoaan.com.v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FF0000"/>
  </sheetPr>
  <dimension ref="A1:F30"/>
  <sheetViews>
    <sheetView workbookViewId="0">
      <selection activeCell="F10" sqref="F10"/>
    </sheetView>
  </sheetViews>
  <sheetFormatPr defaultRowHeight="15"/>
  <cols>
    <col min="1" max="1" width="32.28515625" style="185" customWidth="1"/>
    <col min="2" max="2" width="16.42578125" bestFit="1" customWidth="1"/>
    <col min="4" max="4" width="32.7109375" bestFit="1" customWidth="1"/>
    <col min="5" max="5" width="16.5703125" bestFit="1" customWidth="1"/>
  </cols>
  <sheetData>
    <row r="1" spans="2:6">
      <c r="B1" s="185" t="s">
        <v>23</v>
      </c>
      <c r="C1" s="185" t="s">
        <v>997</v>
      </c>
      <c r="D1" s="185" t="s">
        <v>508</v>
      </c>
      <c r="E1" s="185" t="s">
        <v>1049</v>
      </c>
    </row>
    <row r="2" spans="2:6">
      <c r="B2" s="185" t="s">
        <v>994</v>
      </c>
      <c r="C2" s="185" t="s">
        <v>995</v>
      </c>
    </row>
    <row r="3" spans="2:6">
      <c r="B3" t="s">
        <v>996</v>
      </c>
      <c r="C3" s="185" t="s">
        <v>998</v>
      </c>
    </row>
    <row r="4" spans="2:6">
      <c r="C4" s="185" t="s">
        <v>999</v>
      </c>
    </row>
    <row r="5" spans="2:6">
      <c r="C5" s="185" t="s">
        <v>1000</v>
      </c>
      <c r="D5" s="185" t="s">
        <v>1001</v>
      </c>
    </row>
    <row r="6" spans="2:6">
      <c r="C6" s="185" t="s">
        <v>1003</v>
      </c>
      <c r="D6" s="185" t="s">
        <v>1001</v>
      </c>
    </row>
    <row r="7" spans="2:6">
      <c r="C7" s="185" t="s">
        <v>1002</v>
      </c>
      <c r="D7" s="185" t="s">
        <v>1001</v>
      </c>
    </row>
    <row r="8" spans="2:6">
      <c r="C8" s="185" t="s">
        <v>1005</v>
      </c>
      <c r="D8" s="185" t="s">
        <v>1001</v>
      </c>
    </row>
    <row r="9" spans="2:6">
      <c r="C9" s="185" t="s">
        <v>1007</v>
      </c>
      <c r="E9" s="185" t="s">
        <v>1008</v>
      </c>
      <c r="F9" s="185" t="s">
        <v>1052</v>
      </c>
    </row>
    <row r="10" spans="2:6">
      <c r="C10" s="185" t="s">
        <v>1006</v>
      </c>
    </row>
    <row r="11" spans="2:6">
      <c r="C11" s="185" t="s">
        <v>1029</v>
      </c>
      <c r="D11" s="185" t="s">
        <v>1030</v>
      </c>
    </row>
    <row r="12" spans="2:6">
      <c r="B12" t="s">
        <v>617</v>
      </c>
      <c r="C12" s="185" t="s">
        <v>1023</v>
      </c>
      <c r="E12" s="185" t="s">
        <v>1024</v>
      </c>
    </row>
    <row r="13" spans="2:6">
      <c r="C13" s="185" t="s">
        <v>1025</v>
      </c>
    </row>
    <row r="14" spans="2:6">
      <c r="C14" s="185" t="s">
        <v>1026</v>
      </c>
      <c r="E14">
        <v>166</v>
      </c>
    </row>
    <row r="15" spans="2:6">
      <c r="C15" s="185" t="s">
        <v>1027</v>
      </c>
      <c r="D15" s="185" t="s">
        <v>1001</v>
      </c>
      <c r="E15" s="185" t="s">
        <v>1028</v>
      </c>
    </row>
    <row r="16" spans="2:6">
      <c r="C16" s="185" t="s">
        <v>1031</v>
      </c>
      <c r="E16" s="185" t="s">
        <v>1032</v>
      </c>
    </row>
    <row r="17" spans="2:5">
      <c r="C17" s="185" t="s">
        <v>1033</v>
      </c>
    </row>
    <row r="18" spans="2:5">
      <c r="C18" s="185" t="s">
        <v>1034</v>
      </c>
    </row>
    <row r="19" spans="2:5">
      <c r="C19" s="185" t="s">
        <v>1035</v>
      </c>
    </row>
    <row r="20" spans="2:5">
      <c r="B20" t="s">
        <v>1036</v>
      </c>
      <c r="C20" s="185" t="s">
        <v>1037</v>
      </c>
      <c r="E20" s="612">
        <v>-1E-4</v>
      </c>
    </row>
    <row r="21" spans="2:5">
      <c r="C21" s="185" t="s">
        <v>1038</v>
      </c>
      <c r="E21" s="612">
        <v>1E-4</v>
      </c>
    </row>
    <row r="22" spans="2:5" s="185" customFormat="1">
      <c r="C22" s="185" t="s">
        <v>1043</v>
      </c>
      <c r="D22" s="185" t="s">
        <v>1045</v>
      </c>
      <c r="E22" s="612"/>
    </row>
    <row r="23" spans="2:5" s="185" customFormat="1">
      <c r="C23" s="185" t="s">
        <v>1044</v>
      </c>
      <c r="D23" s="185" t="s">
        <v>1045</v>
      </c>
      <c r="E23" s="612"/>
    </row>
    <row r="24" spans="2:5">
      <c r="C24" s="185" t="s">
        <v>1039</v>
      </c>
      <c r="D24" s="185" t="s">
        <v>1045</v>
      </c>
    </row>
    <row r="25" spans="2:5" s="185" customFormat="1">
      <c r="C25" s="185" t="s">
        <v>1046</v>
      </c>
      <c r="D25" s="185" t="s">
        <v>1045</v>
      </c>
    </row>
    <row r="26" spans="2:5">
      <c r="C26" s="185" t="s">
        <v>1048</v>
      </c>
      <c r="D26" s="185" t="s">
        <v>1045</v>
      </c>
    </row>
    <row r="27" spans="2:5">
      <c r="B27" t="s">
        <v>1040</v>
      </c>
      <c r="C27" s="185" t="s">
        <v>1041</v>
      </c>
      <c r="D27" s="185"/>
    </row>
    <row r="28" spans="2:5">
      <c r="C28" s="185" t="s">
        <v>1042</v>
      </c>
      <c r="D28" s="185"/>
      <c r="E28">
        <v>10000</v>
      </c>
    </row>
    <row r="29" spans="2:5">
      <c r="C29" s="185" t="s">
        <v>1047</v>
      </c>
      <c r="D29" s="185"/>
      <c r="E29">
        <v>13000</v>
      </c>
    </row>
    <row r="30" spans="2:5">
      <c r="B30" s="185" t="s">
        <v>994</v>
      </c>
      <c r="C30" s="185" t="s">
        <v>1050</v>
      </c>
      <c r="D30" s="185" t="s">
        <v>1051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I31"/>
  <sheetViews>
    <sheetView workbookViewId="0">
      <selection sqref="A1:E20"/>
    </sheetView>
  </sheetViews>
  <sheetFormatPr defaultRowHeight="15"/>
  <cols>
    <col min="1" max="1" width="22.140625" customWidth="1"/>
    <col min="3" max="3" width="10.7109375" style="185" bestFit="1" customWidth="1"/>
    <col min="4" max="4" width="11.140625" style="185" bestFit="1" customWidth="1"/>
    <col min="5" max="5" width="11.140625" bestFit="1" customWidth="1"/>
  </cols>
  <sheetData>
    <row r="1" spans="1:9">
      <c r="A1" s="645" t="s">
        <v>381</v>
      </c>
      <c r="B1" s="646"/>
      <c r="C1" s="571">
        <v>2014</v>
      </c>
      <c r="D1" s="571" t="s">
        <v>539</v>
      </c>
      <c r="E1" s="572" t="s">
        <v>770</v>
      </c>
    </row>
    <row r="2" spans="1:9" s="185" customFormat="1">
      <c r="A2" s="599" t="s">
        <v>963</v>
      </c>
      <c r="B2" s="598" t="s">
        <v>917</v>
      </c>
      <c r="C2" s="600">
        <f>'Assump Revenue'!N54</f>
        <v>1587083.9300000002</v>
      </c>
      <c r="D2" s="600">
        <v>1770544</v>
      </c>
      <c r="E2" s="601">
        <v>1332000</v>
      </c>
    </row>
    <row r="3" spans="1:9" s="185" customFormat="1">
      <c r="A3" s="597" t="s">
        <v>794</v>
      </c>
      <c r="B3" s="598"/>
      <c r="C3" s="570">
        <v>315790</v>
      </c>
      <c r="D3" s="570">
        <v>322762</v>
      </c>
      <c r="E3" s="577">
        <v>337000</v>
      </c>
      <c r="F3" s="185">
        <f>D3/C3-1</f>
        <v>2.2077963203394724E-2</v>
      </c>
      <c r="G3" s="185">
        <f>E3/D3-1</f>
        <v>4.4112999671584552E-2</v>
      </c>
    </row>
    <row r="4" spans="1:9" s="185" customFormat="1">
      <c r="A4" s="597" t="s">
        <v>796</v>
      </c>
      <c r="B4" s="598"/>
      <c r="C4" s="570">
        <v>715936</v>
      </c>
      <c r="D4" s="570">
        <v>1109976</v>
      </c>
      <c r="E4" s="577">
        <v>813000</v>
      </c>
      <c r="F4" s="185">
        <f t="shared" ref="F4:F7" si="0">D4/C4-1</f>
        <v>0.55038439190095212</v>
      </c>
      <c r="G4" s="185">
        <f t="shared" ref="G4:G7" si="1">E4/D4-1</f>
        <v>-0.26755173084823458</v>
      </c>
    </row>
    <row r="5" spans="1:9" s="185" customFormat="1">
      <c r="A5" s="597" t="s">
        <v>795</v>
      </c>
      <c r="B5" s="598"/>
      <c r="C5" s="570">
        <v>198924</v>
      </c>
      <c r="D5" s="570">
        <v>155077</v>
      </c>
      <c r="E5" s="577">
        <v>182000</v>
      </c>
      <c r="F5" s="185">
        <f t="shared" si="0"/>
        <v>-0.22042086424966323</v>
      </c>
      <c r="G5" s="185">
        <f t="shared" si="1"/>
        <v>0.1736105289630312</v>
      </c>
    </row>
    <row r="6" spans="1:9">
      <c r="A6" s="599" t="s">
        <v>847</v>
      </c>
      <c r="B6" s="598" t="s">
        <v>965</v>
      </c>
      <c r="C6" s="600">
        <v>171110.26989900001</v>
      </c>
      <c r="D6" s="600">
        <v>201509</v>
      </c>
      <c r="E6" s="601">
        <v>171230</v>
      </c>
      <c r="F6" s="185">
        <f t="shared" si="0"/>
        <v>0.17765578956156891</v>
      </c>
      <c r="G6" s="185">
        <f t="shared" si="1"/>
        <v>-0.15026127865256633</v>
      </c>
    </row>
    <row r="7" spans="1:9" s="185" customFormat="1">
      <c r="A7" s="597" t="s">
        <v>964</v>
      </c>
      <c r="B7" s="598"/>
      <c r="C7" s="570">
        <v>8755</v>
      </c>
      <c r="D7" s="570">
        <v>7012</v>
      </c>
      <c r="E7" s="577">
        <v>0</v>
      </c>
      <c r="F7" s="185">
        <f t="shared" si="0"/>
        <v>-0.19908623643632206</v>
      </c>
      <c r="G7" s="185">
        <f t="shared" si="1"/>
        <v>-1</v>
      </c>
    </row>
    <row r="8" spans="1:9" s="185" customFormat="1">
      <c r="A8" s="597" t="s">
        <v>793</v>
      </c>
      <c r="B8" s="598"/>
      <c r="C8" s="570">
        <v>22414</v>
      </c>
      <c r="D8" s="570">
        <v>5128</v>
      </c>
      <c r="E8" s="577">
        <v>0</v>
      </c>
      <c r="F8" s="185">
        <f t="shared" ref="F8:F11" si="2">D8/C8-1</f>
        <v>-0.77121441955920411</v>
      </c>
      <c r="G8" s="185">
        <f t="shared" ref="G8:G11" si="3">E8/D8-1</f>
        <v>-1</v>
      </c>
    </row>
    <row r="9" spans="1:9" s="185" customFormat="1" ht="18.75" customHeight="1">
      <c r="A9" s="597" t="s">
        <v>794</v>
      </c>
      <c r="B9" s="598"/>
      <c r="C9" s="570">
        <v>37035</v>
      </c>
      <c r="D9" s="570">
        <v>37846</v>
      </c>
      <c r="E9" s="577">
        <v>41296</v>
      </c>
      <c r="F9" s="185">
        <f t="shared" si="2"/>
        <v>2.1898204401242127E-2</v>
      </c>
      <c r="G9" s="185">
        <f t="shared" si="3"/>
        <v>9.1158907150029167E-2</v>
      </c>
    </row>
    <row r="10" spans="1:9" s="185" customFormat="1">
      <c r="A10" s="597" t="s">
        <v>796</v>
      </c>
      <c r="B10" s="598"/>
      <c r="C10" s="570">
        <v>76524</v>
      </c>
      <c r="D10" s="570">
        <v>129016</v>
      </c>
      <c r="E10" s="577">
        <v>94882</v>
      </c>
      <c r="F10" s="185">
        <f t="shared" si="2"/>
        <v>0.68595473315561128</v>
      </c>
      <c r="G10" s="185">
        <f t="shared" si="3"/>
        <v>-0.26457183605134249</v>
      </c>
    </row>
    <row r="11" spans="1:9" s="185" customFormat="1">
      <c r="A11" s="597" t="s">
        <v>795</v>
      </c>
      <c r="B11" s="598"/>
      <c r="C11" s="570">
        <v>26380</v>
      </c>
      <c r="D11" s="570">
        <v>22506</v>
      </c>
      <c r="E11" s="577">
        <v>26052</v>
      </c>
      <c r="F11" s="185">
        <f t="shared" si="2"/>
        <v>-0.14685367702805152</v>
      </c>
      <c r="G11" s="185">
        <f t="shared" si="3"/>
        <v>0.15755798453745662</v>
      </c>
    </row>
    <row r="12" spans="1:9" s="185" customFormat="1">
      <c r="A12" s="599" t="s">
        <v>959</v>
      </c>
      <c r="B12" s="598" t="s">
        <v>965</v>
      </c>
      <c r="C12" s="600">
        <f>SUM(C13:C17)</f>
        <v>19419</v>
      </c>
      <c r="D12" s="600">
        <f>SUM(D13:D17)</f>
        <v>45888.7</v>
      </c>
      <c r="E12" s="601">
        <f>SUM(E13:E17)</f>
        <v>29000</v>
      </c>
    </row>
    <row r="13" spans="1:9" s="185" customFormat="1">
      <c r="A13" s="597" t="s">
        <v>964</v>
      </c>
      <c r="B13" s="598"/>
      <c r="C13" s="570">
        <v>4510</v>
      </c>
      <c r="D13" s="570">
        <v>3648</v>
      </c>
      <c r="E13" s="577">
        <v>0</v>
      </c>
    </row>
    <row r="14" spans="1:9" s="185" customFormat="1" ht="18.75" customHeight="1">
      <c r="A14" s="597" t="s">
        <v>793</v>
      </c>
      <c r="B14" s="598"/>
      <c r="C14" s="570">
        <v>-2556</v>
      </c>
      <c r="D14" s="570">
        <v>163</v>
      </c>
      <c r="E14" s="577">
        <v>0</v>
      </c>
    </row>
    <row r="15" spans="1:9" s="185" customFormat="1">
      <c r="A15" s="597" t="s">
        <v>794</v>
      </c>
      <c r="B15" s="598"/>
      <c r="C15" s="570">
        <v>1922</v>
      </c>
      <c r="D15" s="570">
        <v>760.7</v>
      </c>
      <c r="E15" s="577">
        <v>2500</v>
      </c>
      <c r="F15" s="185">
        <f t="shared" ref="F15:H17" si="4">C15/C9</f>
        <v>5.1896854326987985E-2</v>
      </c>
      <c r="G15" s="185">
        <f t="shared" si="4"/>
        <v>2.0099878454790467E-2</v>
      </c>
      <c r="H15" s="185">
        <f t="shared" si="4"/>
        <v>6.0538550949244478E-2</v>
      </c>
      <c r="I15" s="185">
        <f>H15-G15</f>
        <v>4.0438672494454014E-2</v>
      </c>
    </row>
    <row r="16" spans="1:9" s="185" customFormat="1">
      <c r="A16" s="597" t="s">
        <v>796</v>
      </c>
      <c r="B16" s="598"/>
      <c r="C16" s="570">
        <v>8523</v>
      </c>
      <c r="D16" s="570">
        <v>37876</v>
      </c>
      <c r="E16" s="577">
        <v>22000</v>
      </c>
      <c r="F16" s="185">
        <f t="shared" si="4"/>
        <v>0.11137682295750354</v>
      </c>
      <c r="G16" s="185">
        <f t="shared" si="4"/>
        <v>0.29357599057481243</v>
      </c>
      <c r="H16" s="185">
        <f t="shared" si="4"/>
        <v>0.23186695052802428</v>
      </c>
      <c r="I16" s="185">
        <f t="shared" ref="I16:I17" si="5">H16-G16</f>
        <v>-6.1709040046788149E-2</v>
      </c>
    </row>
    <row r="17" spans="1:9" s="185" customFormat="1">
      <c r="A17" s="597" t="s">
        <v>795</v>
      </c>
      <c r="B17" s="598"/>
      <c r="C17" s="570">
        <v>7020</v>
      </c>
      <c r="D17" s="570">
        <v>3441</v>
      </c>
      <c r="E17" s="577">
        <v>4500</v>
      </c>
      <c r="F17" s="185">
        <f t="shared" si="4"/>
        <v>0.26611068991660347</v>
      </c>
      <c r="G17" s="185">
        <f t="shared" si="4"/>
        <v>0.15289256198347106</v>
      </c>
      <c r="H17" s="185">
        <f t="shared" si="4"/>
        <v>0.17273146015660987</v>
      </c>
      <c r="I17" s="185">
        <f t="shared" si="5"/>
        <v>1.9838898173138803E-2</v>
      </c>
    </row>
    <row r="18" spans="1:9" s="185" customFormat="1">
      <c r="A18" s="597" t="s">
        <v>960</v>
      </c>
      <c r="B18" s="598" t="s">
        <v>965</v>
      </c>
      <c r="C18" s="570"/>
      <c r="D18" s="570">
        <v>11232</v>
      </c>
      <c r="E18" s="577">
        <v>9000</v>
      </c>
    </row>
    <row r="19" spans="1:9" s="185" customFormat="1">
      <c r="A19" s="597" t="s">
        <v>961</v>
      </c>
      <c r="B19" s="598" t="s">
        <v>965</v>
      </c>
      <c r="C19" s="570">
        <f ca="1">'PL&amp;BS Projection'!F19</f>
        <v>18922.743263</v>
      </c>
      <c r="D19" s="570">
        <v>57123</v>
      </c>
      <c r="E19" s="577">
        <v>38000</v>
      </c>
    </row>
    <row r="20" spans="1:9" s="185" customFormat="1">
      <c r="A20" s="602" t="s">
        <v>962</v>
      </c>
      <c r="B20" s="603" t="s">
        <v>965</v>
      </c>
      <c r="C20" s="604">
        <f ca="1">'PL&amp;BS Projection'!F21</f>
        <v>14847.033325</v>
      </c>
      <c r="D20" s="604">
        <v>44957</v>
      </c>
      <c r="E20" s="605">
        <v>30400</v>
      </c>
    </row>
    <row r="21" spans="1:9" s="185" customFormat="1">
      <c r="A21" s="597"/>
      <c r="B21" s="566"/>
      <c r="C21" s="568"/>
      <c r="D21" s="568"/>
      <c r="E21" s="575"/>
    </row>
    <row r="22" spans="1:9" s="185" customFormat="1">
      <c r="A22" s="573"/>
      <c r="B22" s="566"/>
      <c r="C22" s="568"/>
      <c r="D22" s="568"/>
      <c r="E22" s="575"/>
    </row>
    <row r="23" spans="1:9">
      <c r="A23" s="573" t="s">
        <v>923</v>
      </c>
      <c r="B23" s="566" t="s">
        <v>921</v>
      </c>
      <c r="C23" s="567">
        <f ca="1">'PL&amp;BS Projection'!F10/1000</f>
        <v>41.323954140999994</v>
      </c>
      <c r="D23" s="567">
        <f ca="1">'PL&amp;BS Projection'!G10/1000</f>
        <v>42.556256739421805</v>
      </c>
      <c r="E23" s="574">
        <f ca="1">'PL&amp;BS Projection'!H10/1000</f>
        <v>36.084427676157674</v>
      </c>
    </row>
    <row r="24" spans="1:9">
      <c r="A24" s="573" t="s">
        <v>924</v>
      </c>
      <c r="B24" s="566" t="s">
        <v>921</v>
      </c>
      <c r="C24" s="567">
        <f ca="1">'PL&amp;BS Projection'!F12/1000</f>
        <v>29.343289293999995</v>
      </c>
      <c r="D24" s="567">
        <f ca="1">'PL&amp;BS Projection'!G12/1000</f>
        <v>32.862256739421802</v>
      </c>
      <c r="E24" s="574">
        <f ca="1">'PL&amp;BS Projection'!H12/1000</f>
        <v>25.390427676157678</v>
      </c>
    </row>
    <row r="25" spans="1:9">
      <c r="A25" s="597" t="s">
        <v>495</v>
      </c>
      <c r="B25" s="566" t="s">
        <v>921</v>
      </c>
      <c r="C25" s="567">
        <f ca="1">'PL&amp;BS Projection'!F21/1000</f>
        <v>14.847033325</v>
      </c>
      <c r="D25" s="567">
        <f ca="1">'PL&amp;BS Projection'!G21/1000</f>
        <v>41.493715340776241</v>
      </c>
      <c r="E25" s="574">
        <f ca="1">'PL&amp;BS Projection'!H21/1000</f>
        <v>37.854023045655822</v>
      </c>
    </row>
    <row r="26" spans="1:9">
      <c r="A26" s="597" t="s">
        <v>958</v>
      </c>
      <c r="B26" s="566" t="s">
        <v>922</v>
      </c>
      <c r="C26" s="569">
        <f ca="1">'PL&amp;BS Projection'!F21/'PL&amp;BS Projection'!E21-1</f>
        <v>0.75984244144532465</v>
      </c>
      <c r="D26" s="569">
        <f ca="1">'PL&amp;BS Projection'!G21/'PL&amp;BS Projection'!F21-1</f>
        <v>1.7947479090592151</v>
      </c>
      <c r="E26" s="576">
        <f ca="1">'PL&amp;BS Projection'!H21/'PL&amp;BS Projection'!G21-1</f>
        <v>-8.7716712404002584E-2</v>
      </c>
    </row>
    <row r="27" spans="1:9">
      <c r="A27" s="573" t="s">
        <v>925</v>
      </c>
      <c r="B27" s="566" t="s">
        <v>926</v>
      </c>
      <c r="C27" s="570">
        <f ca="1">'PL&amp;BS Projection'!F22</f>
        <v>981.95015544367686</v>
      </c>
      <c r="D27" s="570">
        <f ca="1">'PL&amp;BS Projection'!G22</f>
        <v>2744.3031437265872</v>
      </c>
      <c r="E27" s="577">
        <f ca="1">'PL&amp;BS Projection'!H22</f>
        <v>2503.5818941189223</v>
      </c>
    </row>
    <row r="28" spans="1:9">
      <c r="A28" s="573" t="s">
        <v>927</v>
      </c>
      <c r="B28" s="566" t="s">
        <v>928</v>
      </c>
      <c r="C28" s="567">
        <f t="shared" ref="C28:E28" ca="1" si="6">18400/C27</f>
        <v>18.738221994258236</v>
      </c>
      <c r="D28" s="567">
        <f t="shared" ca="1" si="6"/>
        <v>6.7047986451722617</v>
      </c>
      <c r="E28" s="574">
        <f t="shared" ca="1" si="6"/>
        <v>7.3494699906652965</v>
      </c>
    </row>
    <row r="29" spans="1:9">
      <c r="A29" s="573" t="s">
        <v>929</v>
      </c>
      <c r="B29" s="566" t="s">
        <v>928</v>
      </c>
      <c r="C29" s="566" t="s">
        <v>930</v>
      </c>
      <c r="D29" s="566" t="s">
        <v>931</v>
      </c>
      <c r="E29" s="578" t="s">
        <v>931</v>
      </c>
    </row>
    <row r="30" spans="1:9">
      <c r="A30" s="579" t="s">
        <v>932</v>
      </c>
      <c r="B30" s="566" t="s">
        <v>933</v>
      </c>
      <c r="C30" s="568">
        <f ca="1">Ratios!F39</f>
        <v>4.3563911571452632E-2</v>
      </c>
      <c r="D30" s="568">
        <f ca="1">Ratios!G39</f>
        <v>0.1155139929315068</v>
      </c>
      <c r="E30" s="575">
        <f ca="1">Ratios!H39</f>
        <v>9.8036577483645942E-2</v>
      </c>
    </row>
    <row r="31" spans="1:9">
      <c r="A31" s="580" t="s">
        <v>934</v>
      </c>
      <c r="B31" s="581" t="s">
        <v>933</v>
      </c>
      <c r="C31" s="582">
        <f ca="1">Ratios!F40</f>
        <v>4.8594113579871957E-2</v>
      </c>
      <c r="D31" s="582">
        <f ca="1">Ratios!G40</f>
        <v>0.130189267057647</v>
      </c>
      <c r="E31" s="583">
        <f ca="1">Ratios!H40</f>
        <v>0.1107618980271505</v>
      </c>
    </row>
  </sheetData>
  <mergeCells count="1">
    <mergeCell ref="A1:B1"/>
  </mergeCells>
  <pageMargins left="0.7" right="0.7" top="0.75" bottom="0.75" header="0.3" footer="0.3"/>
  <pageSetup orientation="portrait" r:id="rId1"/>
  <ignoredErrors>
    <ignoredError sqref="D12:E12" formulaRange="1"/>
  </ignoredErrors>
  <drawing r:id="rId2"/>
</worksheet>
</file>

<file path=xl/worksheets/sheet11.xml><?xml version="1.0" encoding="utf-8"?>
<worksheet xmlns="http://schemas.openxmlformats.org/spreadsheetml/2006/main" xmlns:r="http://schemas.openxmlformats.org/officeDocument/2006/relationships">
  <dimension ref="A1:M192"/>
  <sheetViews>
    <sheetView showGridLines="0" topLeftCell="A12" workbookViewId="0">
      <selection activeCell="C15" sqref="C15"/>
    </sheetView>
  </sheetViews>
  <sheetFormatPr defaultRowHeight="12.75" customHeight="1"/>
  <cols>
    <col min="1" max="1" width="41.140625" style="1" bestFit="1" customWidth="1"/>
    <col min="2" max="2" width="12.5703125" style="1" bestFit="1" customWidth="1"/>
    <col min="3" max="3" width="13.140625" style="1" bestFit="1" customWidth="1"/>
    <col min="4" max="4" width="14.5703125" style="1" customWidth="1"/>
    <col min="5" max="5" width="13.7109375" style="1" customWidth="1"/>
    <col min="6" max="7" width="13.5703125" style="1" bestFit="1" customWidth="1"/>
    <col min="8" max="8" width="12.28515625" style="1" bestFit="1" customWidth="1"/>
    <col min="9" max="9" width="11" style="1" customWidth="1"/>
    <col min="10" max="10" width="11" style="1" bestFit="1" customWidth="1"/>
    <col min="11" max="11" width="13.28515625" style="1" customWidth="1"/>
    <col min="12" max="12" width="10.140625" style="1" bestFit="1" customWidth="1"/>
    <col min="13" max="13" width="11" style="1" bestFit="1" customWidth="1"/>
    <col min="14" max="16384" width="9.140625" style="1"/>
  </cols>
  <sheetData>
    <row r="1" spans="1:9" ht="12.75" customHeight="1">
      <c r="A1" s="36">
        <f>Info!B6</f>
        <v>0</v>
      </c>
    </row>
    <row r="2" spans="1:9" ht="12.75" customHeight="1">
      <c r="A2" s="37" t="s">
        <v>536</v>
      </c>
    </row>
    <row r="4" spans="1:9" s="59" customFormat="1" ht="15" customHeight="1">
      <c r="A4" s="238"/>
      <c r="B4" s="263">
        <v>2014</v>
      </c>
      <c r="C4" s="263" t="s">
        <v>539</v>
      </c>
      <c r="D4" s="263" t="s">
        <v>770</v>
      </c>
      <c r="E4" s="263" t="s">
        <v>771</v>
      </c>
      <c r="F4" s="263" t="s">
        <v>856</v>
      </c>
      <c r="G4" s="263" t="s">
        <v>897</v>
      </c>
      <c r="H4" s="264" t="s">
        <v>920</v>
      </c>
    </row>
    <row r="5" spans="1:9" s="59" customFormat="1" ht="15" customHeight="1">
      <c r="A5" s="43" t="s">
        <v>540</v>
      </c>
      <c r="B5" s="267"/>
      <c r="C5" s="267">
        <f ca="1">B9</f>
        <v>171359.773495</v>
      </c>
      <c r="D5" s="267">
        <f t="shared" ref="D5:H5" ca="1" si="0">C9</f>
        <v>175626.60682833334</v>
      </c>
      <c r="E5" s="267">
        <f t="shared" ca="1" si="0"/>
        <v>203455.07349500002</v>
      </c>
      <c r="F5" s="267">
        <f t="shared" ca="1" si="0"/>
        <v>232648.54016166669</v>
      </c>
      <c r="G5" s="267">
        <f t="shared" ca="1" si="0"/>
        <v>266842.00682833337</v>
      </c>
      <c r="H5" s="277">
        <f t="shared" ca="1" si="0"/>
        <v>299670.47349500004</v>
      </c>
    </row>
    <row r="6" spans="1:9" s="59" customFormat="1" ht="15" customHeight="1">
      <c r="A6" s="43" t="s">
        <v>541</v>
      </c>
      <c r="B6" s="39"/>
      <c r="C6" s="51">
        <f>C54</f>
        <v>4266.833333333333</v>
      </c>
      <c r="D6" s="51">
        <f t="shared" ref="D6:H6" si="1">D54</f>
        <v>27828.466666666667</v>
      </c>
      <c r="E6" s="51">
        <f t="shared" si="1"/>
        <v>29193.466666666667</v>
      </c>
      <c r="F6" s="51">
        <f t="shared" si="1"/>
        <v>34193.466666666667</v>
      </c>
      <c r="G6" s="51">
        <f t="shared" si="1"/>
        <v>32828.466666666667</v>
      </c>
      <c r="H6" s="244">
        <f t="shared" si="1"/>
        <v>42828.466666666667</v>
      </c>
      <c r="I6" s="194"/>
    </row>
    <row r="7" spans="1:9" s="59" customFormat="1" ht="15" customHeight="1">
      <c r="A7" s="43" t="s">
        <v>861</v>
      </c>
      <c r="B7" s="267">
        <f ca="1">-(B16+B23)</f>
        <v>0</v>
      </c>
      <c r="C7" s="51">
        <f ca="1">B7+C8</f>
        <v>9694</v>
      </c>
      <c r="D7" s="51">
        <f ca="1">C7+D8</f>
        <v>20788</v>
      </c>
      <c r="E7" s="51">
        <f ca="1">D7+E8</f>
        <v>31882</v>
      </c>
      <c r="F7" s="51">
        <f t="shared" ref="F7:H7" ca="1" si="2">E7+F8</f>
        <v>42976</v>
      </c>
      <c r="G7" s="51">
        <f t="shared" ca="1" si="2"/>
        <v>54070</v>
      </c>
      <c r="H7" s="244">
        <f t="shared" ca="1" si="2"/>
        <v>65164</v>
      </c>
      <c r="I7" s="194"/>
    </row>
    <row r="8" spans="1:9" s="59" customFormat="1" ht="15" customHeight="1">
      <c r="A8" s="43" t="s">
        <v>559</v>
      </c>
      <c r="B8" s="267"/>
      <c r="C8" s="51">
        <f ca="1">E68+E99+C112+E88+E78+D120+E130-C23+$B$23</f>
        <v>9694</v>
      </c>
      <c r="D8" s="51">
        <f ca="1">F68+F99+D112+F88+F78+E120+F130-D23+$B$23</f>
        <v>11094</v>
      </c>
      <c r="E8" s="51">
        <f t="shared" ref="E8" ca="1" si="3">G68+G99+E112+G88+G78+F120+G130-E23+$B$23</f>
        <v>11094</v>
      </c>
      <c r="F8" s="51">
        <f ca="1">H68+H99+F112+I88+H78+G120+H130-F23+$B$23</f>
        <v>11094</v>
      </c>
      <c r="G8" s="51">
        <f ca="1">I68+I99+G112+J88+I78+H120+I130-G23+$B$23</f>
        <v>11094</v>
      </c>
      <c r="H8" s="244">
        <f ca="1">J68+J99+H112+K88+J78+I120+J130-H23+$B$23</f>
        <v>11094</v>
      </c>
    </row>
    <row r="9" spans="1:9" s="59" customFormat="1" ht="15" customHeight="1">
      <c r="A9" s="43" t="s">
        <v>542</v>
      </c>
      <c r="B9" s="267">
        <f ca="1">'Financial statement'!J50</f>
        <v>171359.773495</v>
      </c>
      <c r="C9" s="51">
        <f ca="1">C5+C6</f>
        <v>175626.60682833334</v>
      </c>
      <c r="D9" s="51">
        <f t="shared" ref="D9:H9" ca="1" si="4">D5+D6</f>
        <v>203455.07349500002</v>
      </c>
      <c r="E9" s="51">
        <f t="shared" ca="1" si="4"/>
        <v>232648.54016166669</v>
      </c>
      <c r="F9" s="51">
        <f t="shared" ca="1" si="4"/>
        <v>266842.00682833337</v>
      </c>
      <c r="G9" s="51">
        <f t="shared" ca="1" si="4"/>
        <v>299670.47349500004</v>
      </c>
      <c r="H9" s="244">
        <f t="shared" ca="1" si="4"/>
        <v>342498.94016166672</v>
      </c>
    </row>
    <row r="10" spans="1:9" s="59" customFormat="1" ht="15" customHeight="1">
      <c r="A10" s="62" t="s">
        <v>657</v>
      </c>
      <c r="B10" s="269"/>
      <c r="C10" s="253">
        <f ca="1">C9/B9-1</f>
        <v>2.4899853952350393E-2</v>
      </c>
      <c r="D10" s="253">
        <f t="shared" ref="D10:H10" ca="1" si="5">D9/C9-1</f>
        <v>0.15845245301509281</v>
      </c>
      <c r="E10" s="253">
        <f t="shared" ca="1" si="5"/>
        <v>0.14348851648265293</v>
      </c>
      <c r="F10" s="253">
        <f t="shared" ca="1" si="5"/>
        <v>0.14697477423630412</v>
      </c>
      <c r="G10" s="253">
        <f t="shared" ca="1" si="5"/>
        <v>0.12302585734856253</v>
      </c>
      <c r="H10" s="273">
        <f t="shared" ca="1" si="5"/>
        <v>0.14291854037925855</v>
      </c>
    </row>
    <row r="11" spans="1:9" s="59" customFormat="1" ht="12"/>
    <row r="12" spans="1:9" s="59" customFormat="1" ht="15" customHeight="1">
      <c r="A12" s="209" t="s">
        <v>546</v>
      </c>
      <c r="B12" s="265">
        <f>B4</f>
        <v>2014</v>
      </c>
      <c r="C12" s="265" t="str">
        <f t="shared" ref="C12:G12" si="6">C4</f>
        <v>2015F</v>
      </c>
      <c r="D12" s="265" t="str">
        <f t="shared" si="6"/>
        <v>2016F</v>
      </c>
      <c r="E12" s="265" t="str">
        <f t="shared" si="6"/>
        <v>2017F</v>
      </c>
      <c r="F12" s="265" t="str">
        <f t="shared" si="6"/>
        <v>2018F</v>
      </c>
      <c r="G12" s="265" t="str">
        <f t="shared" si="6"/>
        <v>2019F</v>
      </c>
      <c r="H12" s="266" t="str">
        <f>H4</f>
        <v>2020F</v>
      </c>
    </row>
    <row r="13" spans="1:9" s="59" customFormat="1" ht="15" customHeight="1">
      <c r="A13" s="43" t="s">
        <v>252</v>
      </c>
      <c r="B13" s="267">
        <f ca="1">'Financial statement'!J51</f>
        <v>38613.949869999997</v>
      </c>
      <c r="C13" s="288">
        <f ca="1">C14+C15</f>
        <v>33186.783203333332</v>
      </c>
      <c r="D13" s="288">
        <f t="shared" ref="D13:H13" ca="1" si="7">D14+D15</f>
        <v>50321.24987</v>
      </c>
      <c r="E13" s="288">
        <f t="shared" ca="1" si="7"/>
        <v>68820.716536666674</v>
      </c>
      <c r="F13" s="288">
        <f t="shared" ca="1" si="7"/>
        <v>92320.183203333349</v>
      </c>
      <c r="G13" s="288">
        <f t="shared" ca="1" si="7"/>
        <v>114454.64987000002</v>
      </c>
      <c r="H13" s="289">
        <f t="shared" ca="1" si="7"/>
        <v>146589.1165366667</v>
      </c>
    </row>
    <row r="14" spans="1:9" s="59" customFormat="1" ht="15" customHeight="1">
      <c r="A14" s="43" t="s">
        <v>253</v>
      </c>
      <c r="B14" s="267">
        <f ca="1">'Financial statement'!J52</f>
        <v>83962.125773000007</v>
      </c>
      <c r="C14" s="267">
        <f ca="1">C33</f>
        <v>88228.959106333336</v>
      </c>
      <c r="D14" s="267">
        <f t="shared" ref="D14:H14" ca="1" si="8">D33</f>
        <v>116057.425773</v>
      </c>
      <c r="E14" s="267">
        <f t="shared" ca="1" si="8"/>
        <v>145250.89243966667</v>
      </c>
      <c r="F14" s="267">
        <f t="shared" ca="1" si="8"/>
        <v>179444.35910633334</v>
      </c>
      <c r="G14" s="267">
        <f t="shared" ca="1" si="8"/>
        <v>212272.82577300002</v>
      </c>
      <c r="H14" s="277">
        <f t="shared" ca="1" si="8"/>
        <v>255101.29243966669</v>
      </c>
    </row>
    <row r="15" spans="1:9" s="59" customFormat="1" ht="15" customHeight="1" thickBot="1">
      <c r="A15" s="43" t="s">
        <v>254</v>
      </c>
      <c r="B15" s="267">
        <f ca="1">'Financial statement'!J53</f>
        <v>-45348.175903000003</v>
      </c>
      <c r="C15" s="267">
        <f ca="1">B15+C16</f>
        <v>-55042.175903000003</v>
      </c>
      <c r="D15" s="267">
        <f t="shared" ref="D15:H15" ca="1" si="9">C15+D16</f>
        <v>-65736.175902999996</v>
      </c>
      <c r="E15" s="267">
        <f t="shared" ca="1" si="9"/>
        <v>-76430.175902999996</v>
      </c>
      <c r="F15" s="267">
        <f t="shared" ca="1" si="9"/>
        <v>-87124.175902999996</v>
      </c>
      <c r="G15" s="267">
        <f t="shared" ca="1" si="9"/>
        <v>-97818.175902999996</v>
      </c>
      <c r="H15" s="277">
        <f t="shared" ca="1" si="9"/>
        <v>-108512.175903</v>
      </c>
    </row>
    <row r="16" spans="1:9" s="59" customFormat="1" ht="15" customHeight="1" thickBot="1">
      <c r="A16" s="43" t="s">
        <v>560</v>
      </c>
      <c r="B16" s="267">
        <f ca="1">AVERAGE('Financial statement'!J53-'Financial statement'!I53,'Financial statement'!J53-'Financial statement'!I53)</f>
        <v>0</v>
      </c>
      <c r="C16" s="613">
        <f ca="1">-E68-E78-E88-E99</f>
        <v>-9694</v>
      </c>
      <c r="D16" s="267">
        <f t="shared" ref="D16:H16" ca="1" si="10">-F68-F78-F88-F99</f>
        <v>-10694</v>
      </c>
      <c r="E16" s="267">
        <f t="shared" ca="1" si="10"/>
        <v>-10694</v>
      </c>
      <c r="F16" s="267">
        <f t="shared" ca="1" si="10"/>
        <v>-10694</v>
      </c>
      <c r="G16" s="267">
        <f t="shared" ca="1" si="10"/>
        <v>-10694</v>
      </c>
      <c r="H16" s="277">
        <f t="shared" ca="1" si="10"/>
        <v>-10694</v>
      </c>
    </row>
    <row r="17" spans="1:9" s="59" customFormat="1" ht="15" customHeight="1">
      <c r="A17" s="43" t="s">
        <v>255</v>
      </c>
      <c r="B17" s="217">
        <f ca="1">'Financial statement'!J54</f>
        <v>0</v>
      </c>
      <c r="C17" s="291">
        <f ca="1">C18-C19</f>
        <v>0</v>
      </c>
      <c r="D17" s="291">
        <f t="shared" ref="D17:H17" ca="1" si="11">D18-D19</f>
        <v>0</v>
      </c>
      <c r="E17" s="291">
        <f t="shared" ca="1" si="11"/>
        <v>0</v>
      </c>
      <c r="F17" s="291">
        <f t="shared" ca="1" si="11"/>
        <v>0</v>
      </c>
      <c r="G17" s="291">
        <f t="shared" ca="1" si="11"/>
        <v>0</v>
      </c>
      <c r="H17" s="292">
        <f t="shared" ca="1" si="11"/>
        <v>0</v>
      </c>
      <c r="I17" s="291"/>
    </row>
    <row r="18" spans="1:9" s="59" customFormat="1" ht="15" customHeight="1">
      <c r="A18" s="43" t="s">
        <v>253</v>
      </c>
      <c r="B18" s="217">
        <f ca="1">'Financial statement'!J55</f>
        <v>0</v>
      </c>
      <c r="C18" s="291">
        <f ca="1">B18</f>
        <v>0</v>
      </c>
      <c r="D18" s="291">
        <f t="shared" ref="D18:H19" ca="1" si="12">C18</f>
        <v>0</v>
      </c>
      <c r="E18" s="291">
        <f t="shared" ca="1" si="12"/>
        <v>0</v>
      </c>
      <c r="F18" s="291">
        <f t="shared" ca="1" si="12"/>
        <v>0</v>
      </c>
      <c r="G18" s="291">
        <f t="shared" ca="1" si="12"/>
        <v>0</v>
      </c>
      <c r="H18" s="292">
        <f t="shared" ca="1" si="12"/>
        <v>0</v>
      </c>
    </row>
    <row r="19" spans="1:9" s="59" customFormat="1" ht="15" customHeight="1">
      <c r="A19" s="43" t="s">
        <v>254</v>
      </c>
      <c r="B19" s="217">
        <f ca="1">'Financial statement'!J56</f>
        <v>0</v>
      </c>
      <c r="C19" s="291">
        <f ca="1">B19</f>
        <v>0</v>
      </c>
      <c r="D19" s="291">
        <f t="shared" ca="1" si="12"/>
        <v>0</v>
      </c>
      <c r="E19" s="291">
        <f t="shared" ca="1" si="12"/>
        <v>0</v>
      </c>
      <c r="F19" s="291">
        <f t="shared" ca="1" si="12"/>
        <v>0</v>
      </c>
      <c r="G19" s="291">
        <f t="shared" ca="1" si="12"/>
        <v>0</v>
      </c>
      <c r="H19" s="292">
        <f t="shared" ca="1" si="12"/>
        <v>0</v>
      </c>
    </row>
    <row r="20" spans="1:9" s="59" customFormat="1" ht="15" customHeight="1">
      <c r="A20" s="43" t="s">
        <v>256</v>
      </c>
      <c r="B20" s="267">
        <f ca="1">'Financial statement'!J57</f>
        <v>94850.188613999999</v>
      </c>
      <c r="C20" s="267">
        <f ca="1">C21+C22</f>
        <v>101833.188614</v>
      </c>
      <c r="D20" s="267">
        <f t="shared" ref="D20:H20" ca="1" si="13">D21+D22</f>
        <v>101433.188614</v>
      </c>
      <c r="E20" s="267">
        <f t="shared" ca="1" si="13"/>
        <v>101033.188614</v>
      </c>
      <c r="F20" s="267">
        <f t="shared" ca="1" si="13"/>
        <v>100633.188614</v>
      </c>
      <c r="G20" s="267">
        <f t="shared" ca="1" si="13"/>
        <v>100233.188614</v>
      </c>
      <c r="H20" s="277">
        <f t="shared" ca="1" si="13"/>
        <v>99833.188613999999</v>
      </c>
    </row>
    <row r="21" spans="1:9" s="59" customFormat="1" ht="15" customHeight="1">
      <c r="A21" s="43" t="s">
        <v>253</v>
      </c>
      <c r="B21" s="267">
        <f ca="1">'Financial statement'!J58</f>
        <v>118358.892073</v>
      </c>
      <c r="C21" s="267">
        <f ca="1">C39+6983</f>
        <v>125341.892073</v>
      </c>
      <c r="D21" s="267">
        <f t="shared" ref="D21:H21" ca="1" si="14">D39+6983</f>
        <v>125341.892073</v>
      </c>
      <c r="E21" s="267">
        <f t="shared" ca="1" si="14"/>
        <v>125341.892073</v>
      </c>
      <c r="F21" s="267">
        <f t="shared" ca="1" si="14"/>
        <v>125341.892073</v>
      </c>
      <c r="G21" s="267">
        <f t="shared" ca="1" si="14"/>
        <v>125341.892073</v>
      </c>
      <c r="H21" s="277">
        <f t="shared" ca="1" si="14"/>
        <v>125341.892073</v>
      </c>
    </row>
    <row r="22" spans="1:9" s="59" customFormat="1" ht="15" customHeight="1">
      <c r="A22" s="43" t="s">
        <v>254</v>
      </c>
      <c r="B22" s="267">
        <f ca="1">'Financial statement'!J59</f>
        <v>-23508.703459</v>
      </c>
      <c r="C22" s="267">
        <f ca="1">B22+C23</f>
        <v>-23508.703459</v>
      </c>
      <c r="D22" s="267">
        <f t="shared" ref="D22:H22" ca="1" si="15">C22+D23</f>
        <v>-23908.703459</v>
      </c>
      <c r="E22" s="267">
        <f t="shared" ca="1" si="15"/>
        <v>-24308.703459</v>
      </c>
      <c r="F22" s="267">
        <f t="shared" ca="1" si="15"/>
        <v>-24708.703459</v>
      </c>
      <c r="G22" s="267">
        <f t="shared" ca="1" si="15"/>
        <v>-25108.703459</v>
      </c>
      <c r="H22" s="277">
        <f t="shared" ca="1" si="15"/>
        <v>-25508.703459</v>
      </c>
    </row>
    <row r="23" spans="1:9" s="59" customFormat="1" ht="15" customHeight="1">
      <c r="A23" s="43" t="s">
        <v>560</v>
      </c>
      <c r="B23" s="267">
        <f ca="1">'Financial statement'!J59-'Financial statement'!I59</f>
        <v>0</v>
      </c>
      <c r="C23" s="267">
        <f ca="1">B23-G103/50</f>
        <v>0</v>
      </c>
      <c r="D23" s="267">
        <f ca="1">$B$23-$C$103/50</f>
        <v>-400</v>
      </c>
      <c r="E23" s="267">
        <f t="shared" ref="E23:H23" ca="1" si="16">$B$23-$C$103/50</f>
        <v>-400</v>
      </c>
      <c r="F23" s="267">
        <f t="shared" ca="1" si="16"/>
        <v>-400</v>
      </c>
      <c r="G23" s="267">
        <f t="shared" ca="1" si="16"/>
        <v>-400</v>
      </c>
      <c r="H23" s="277">
        <f t="shared" ca="1" si="16"/>
        <v>-400</v>
      </c>
    </row>
    <row r="24" spans="1:9" s="59" customFormat="1" ht="15" customHeight="1">
      <c r="A24" s="66" t="s">
        <v>257</v>
      </c>
      <c r="B24" s="196">
        <f ca="1">'Financial statement'!J60</f>
        <v>37895.635010999998</v>
      </c>
      <c r="C24" s="167">
        <f ca="1">C44</f>
        <v>37895.635010999998</v>
      </c>
      <c r="D24" s="167">
        <f t="shared" ref="D24:H24" ca="1" si="17">D44</f>
        <v>65724.101677666666</v>
      </c>
      <c r="E24" s="167">
        <f t="shared" ca="1" si="17"/>
        <v>94917.568344333326</v>
      </c>
      <c r="F24" s="167">
        <f t="shared" ca="1" si="17"/>
        <v>129111.035011</v>
      </c>
      <c r="G24" s="167">
        <f t="shared" ca="1" si="17"/>
        <v>161939.50167766667</v>
      </c>
      <c r="H24" s="290">
        <f t="shared" ca="1" si="17"/>
        <v>204767.96834433335</v>
      </c>
    </row>
    <row r="25" spans="1:9" s="59" customFormat="1" ht="3.75" customHeight="1">
      <c r="A25" s="66"/>
      <c r="B25" s="196"/>
      <c r="C25" s="167"/>
      <c r="D25" s="167"/>
      <c r="E25" s="167"/>
      <c r="F25" s="167"/>
      <c r="G25" s="167"/>
      <c r="H25" s="167"/>
    </row>
    <row r="26" spans="1:9" s="59" customFormat="1" ht="15" customHeight="1">
      <c r="A26" s="209" t="s">
        <v>845</v>
      </c>
      <c r="B26" s="265">
        <f>B12</f>
        <v>2014</v>
      </c>
      <c r="C26" s="265" t="str">
        <f t="shared" ref="C26:H26" si="18">C12</f>
        <v>2015F</v>
      </c>
      <c r="D26" s="265" t="str">
        <f t="shared" si="18"/>
        <v>2016F</v>
      </c>
      <c r="E26" s="265" t="str">
        <f t="shared" si="18"/>
        <v>2017F</v>
      </c>
      <c r="F26" s="265" t="str">
        <f t="shared" si="18"/>
        <v>2018F</v>
      </c>
      <c r="G26" s="265" t="str">
        <f t="shared" si="18"/>
        <v>2019F</v>
      </c>
      <c r="H26" s="266" t="str">
        <f t="shared" si="18"/>
        <v>2020F</v>
      </c>
    </row>
    <row r="27" spans="1:9" s="59" customFormat="1" ht="15" customHeight="1">
      <c r="A27" s="200" t="s">
        <v>862</v>
      </c>
      <c r="B27" s="219"/>
      <c r="C27" s="420"/>
      <c r="D27" s="420"/>
      <c r="E27" s="420"/>
      <c r="F27" s="420"/>
      <c r="G27" s="420"/>
      <c r="H27" s="507"/>
    </row>
    <row r="28" spans="1:9" s="59" customFormat="1" ht="15" customHeight="1">
      <c r="A28" s="43" t="s">
        <v>863</v>
      </c>
      <c r="B28" s="420">
        <f ca="1">'Financial statement'!I52</f>
        <v>83962.125773000007</v>
      </c>
      <c r="C28" s="420">
        <f ca="1">B33</f>
        <v>83962.125773000007</v>
      </c>
      <c r="D28" s="420">
        <f t="shared" ref="D28:H28" ca="1" si="19">C33</f>
        <v>88228.959106333336</v>
      </c>
      <c r="E28" s="420">
        <f t="shared" ca="1" si="19"/>
        <v>116057.425773</v>
      </c>
      <c r="F28" s="420">
        <f t="shared" ca="1" si="19"/>
        <v>145250.89243966667</v>
      </c>
      <c r="G28" s="420">
        <f t="shared" ca="1" si="19"/>
        <v>179444.35910633334</v>
      </c>
      <c r="H28" s="508">
        <f t="shared" ca="1" si="19"/>
        <v>212272.82577300002</v>
      </c>
    </row>
    <row r="29" spans="1:9" s="59" customFormat="1" ht="15" customHeight="1">
      <c r="A29" s="43" t="s">
        <v>864</v>
      </c>
      <c r="B29" s="474">
        <v>6494</v>
      </c>
      <c r="C29" s="474">
        <f>SUM(C47:C51)</f>
        <v>4266.833333333333</v>
      </c>
      <c r="D29" s="474">
        <f t="shared" ref="D29:H29" si="20">SUM(D47:D51)</f>
        <v>27828.466666666667</v>
      </c>
      <c r="E29" s="474">
        <f t="shared" si="20"/>
        <v>29193.466666666667</v>
      </c>
      <c r="F29" s="474">
        <f t="shared" si="20"/>
        <v>34193.466666666667</v>
      </c>
      <c r="G29" s="474">
        <f t="shared" si="20"/>
        <v>32828.466666666667</v>
      </c>
      <c r="H29" s="508">
        <f t="shared" si="20"/>
        <v>42828.466666666667</v>
      </c>
    </row>
    <row r="30" spans="1:9" s="59" customFormat="1" ht="15" customHeight="1">
      <c r="A30" s="43" t="s">
        <v>865</v>
      </c>
      <c r="B30" s="474">
        <v>243</v>
      </c>
      <c r="C30" s="474">
        <v>0</v>
      </c>
      <c r="D30" s="474">
        <f>C30</f>
        <v>0</v>
      </c>
      <c r="E30" s="474">
        <f t="shared" ref="E30:H30" si="21">D30</f>
        <v>0</v>
      </c>
      <c r="F30" s="474">
        <f t="shared" si="21"/>
        <v>0</v>
      </c>
      <c r="G30" s="474">
        <f t="shared" si="21"/>
        <v>0</v>
      </c>
      <c r="H30" s="508">
        <f t="shared" si="21"/>
        <v>0</v>
      </c>
    </row>
    <row r="31" spans="1:9" s="59" customFormat="1" ht="15" customHeight="1">
      <c r="A31" s="43" t="s">
        <v>866</v>
      </c>
      <c r="B31" s="474"/>
      <c r="C31" s="474"/>
      <c r="D31" s="474"/>
      <c r="E31" s="474"/>
      <c r="F31" s="420"/>
      <c r="G31" s="420"/>
      <c r="H31" s="507"/>
    </row>
    <row r="32" spans="1:9" s="59" customFormat="1" ht="15" customHeight="1">
      <c r="A32" s="43" t="s">
        <v>867</v>
      </c>
      <c r="B32" s="474"/>
      <c r="C32" s="474"/>
      <c r="D32" s="474"/>
      <c r="E32" s="474"/>
      <c r="F32" s="474"/>
      <c r="G32" s="474"/>
      <c r="H32" s="509"/>
    </row>
    <row r="33" spans="1:12" s="59" customFormat="1" ht="15" customHeight="1">
      <c r="A33" s="43" t="s">
        <v>868</v>
      </c>
      <c r="B33" s="420">
        <f ca="1">'Financial statement'!J52</f>
        <v>83962.125773000007</v>
      </c>
      <c r="C33" s="420">
        <f ca="1">C28+C29+C30+C31+C32</f>
        <v>88228.959106333336</v>
      </c>
      <c r="D33" s="420">
        <f t="shared" ref="D33:H33" ca="1" si="22">D28+D29+D30+D31+D32</f>
        <v>116057.425773</v>
      </c>
      <c r="E33" s="420">
        <f t="shared" ca="1" si="22"/>
        <v>145250.89243966667</v>
      </c>
      <c r="F33" s="420">
        <f t="shared" ca="1" si="22"/>
        <v>179444.35910633334</v>
      </c>
      <c r="G33" s="420">
        <f t="shared" ca="1" si="22"/>
        <v>212272.82577300002</v>
      </c>
      <c r="H33" s="508">
        <f t="shared" ca="1" si="22"/>
        <v>255101.29243966669</v>
      </c>
    </row>
    <row r="34" spans="1:12" s="59" customFormat="1" ht="15" customHeight="1">
      <c r="A34" s="200" t="s">
        <v>869</v>
      </c>
      <c r="E34" s="420"/>
      <c r="F34" s="420"/>
      <c r="G34" s="420"/>
      <c r="H34" s="507"/>
    </row>
    <row r="35" spans="1:12" s="59" customFormat="1" ht="15" customHeight="1">
      <c r="A35" s="43" t="s">
        <v>870</v>
      </c>
      <c r="B35" s="420">
        <f ca="1">'Financial statement'!I58</f>
        <v>118358.892073</v>
      </c>
      <c r="C35" s="420">
        <f ca="1">B39</f>
        <v>118358.892073</v>
      </c>
      <c r="D35" s="420">
        <f ca="1">C39</f>
        <v>118358.892073</v>
      </c>
      <c r="E35" s="420">
        <f t="shared" ref="E35:H35" ca="1" si="23">D39</f>
        <v>118358.892073</v>
      </c>
      <c r="F35" s="420">
        <f t="shared" ca="1" si="23"/>
        <v>118358.892073</v>
      </c>
      <c r="G35" s="420">
        <f t="shared" ca="1" si="23"/>
        <v>118358.892073</v>
      </c>
      <c r="H35" s="508">
        <f t="shared" ca="1" si="23"/>
        <v>118358.892073</v>
      </c>
    </row>
    <row r="36" spans="1:12" s="59" customFormat="1" ht="15" customHeight="1">
      <c r="A36" s="43" t="s">
        <v>864</v>
      </c>
      <c r="B36" s="474">
        <v>5041</v>
      </c>
      <c r="C36" s="474"/>
      <c r="D36" s="474"/>
      <c r="E36" s="474"/>
      <c r="F36" s="420"/>
      <c r="G36" s="420"/>
      <c r="H36" s="508"/>
    </row>
    <row r="37" spans="1:12" s="59" customFormat="1" ht="15" customHeight="1">
      <c r="A37" s="43" t="s">
        <v>865</v>
      </c>
      <c r="B37" s="474"/>
      <c r="C37" s="474"/>
      <c r="D37" s="474">
        <f>G103</f>
        <v>0</v>
      </c>
      <c r="E37" s="474">
        <f>H103</f>
        <v>0</v>
      </c>
      <c r="F37" s="420"/>
      <c r="G37" s="420"/>
      <c r="H37" s="507"/>
    </row>
    <row r="38" spans="1:12" s="59" customFormat="1" ht="15" customHeight="1">
      <c r="A38" s="43" t="s">
        <v>867</v>
      </c>
      <c r="B38" s="474"/>
      <c r="C38" s="474"/>
      <c r="D38" s="474"/>
      <c r="E38" s="474"/>
      <c r="F38" s="420"/>
      <c r="G38" s="420"/>
      <c r="H38" s="507"/>
    </row>
    <row r="39" spans="1:12" s="59" customFormat="1" ht="15" customHeight="1">
      <c r="A39" s="43" t="s">
        <v>871</v>
      </c>
      <c r="B39" s="420">
        <f ca="1">'Financial statement'!J58</f>
        <v>118358.892073</v>
      </c>
      <c r="C39" s="420">
        <f ca="1">C35+C36+C37-C38</f>
        <v>118358.892073</v>
      </c>
      <c r="D39" s="420">
        <f t="shared" ref="D39:H39" ca="1" si="24">D35+D36+D37-D38</f>
        <v>118358.892073</v>
      </c>
      <c r="E39" s="420">
        <f t="shared" ca="1" si="24"/>
        <v>118358.892073</v>
      </c>
      <c r="F39" s="420">
        <f t="shared" ca="1" si="24"/>
        <v>118358.892073</v>
      </c>
      <c r="G39" s="420">
        <f t="shared" ca="1" si="24"/>
        <v>118358.892073</v>
      </c>
      <c r="H39" s="508">
        <f t="shared" ca="1" si="24"/>
        <v>118358.892073</v>
      </c>
    </row>
    <row r="40" spans="1:12" s="59" customFormat="1" ht="15" customHeight="1">
      <c r="A40" s="200" t="s">
        <v>872</v>
      </c>
      <c r="B40" s="420"/>
      <c r="C40" s="420"/>
      <c r="D40" s="420"/>
      <c r="E40" s="420"/>
      <c r="F40" s="420"/>
      <c r="G40" s="420"/>
      <c r="H40" s="507"/>
    </row>
    <row r="41" spans="1:12" s="59" customFormat="1" ht="15" customHeight="1">
      <c r="A41" s="43" t="s">
        <v>873</v>
      </c>
      <c r="B41" s="420">
        <f ca="1">'Financial statement'!I60</f>
        <v>37895.635010999998</v>
      </c>
      <c r="C41" s="420">
        <f ca="1">B44</f>
        <v>37895.635010999998</v>
      </c>
      <c r="D41" s="420">
        <f t="shared" ref="D41:H41" ca="1" si="25">C44</f>
        <v>37895.635010999998</v>
      </c>
      <c r="E41" s="420">
        <f t="shared" ca="1" si="25"/>
        <v>65724.101677666666</v>
      </c>
      <c r="F41" s="420">
        <f t="shared" ca="1" si="25"/>
        <v>94917.568344333326</v>
      </c>
      <c r="G41" s="420">
        <f t="shared" ca="1" si="25"/>
        <v>129111.035011</v>
      </c>
      <c r="H41" s="508">
        <f t="shared" ca="1" si="25"/>
        <v>161939.50167766667</v>
      </c>
    </row>
    <row r="42" spans="1:12" s="59" customFormat="1" ht="15" customHeight="1">
      <c r="A42" s="43" t="s">
        <v>874</v>
      </c>
      <c r="B42" s="474">
        <v>3244215</v>
      </c>
      <c r="C42" s="474">
        <f>C54-C29</f>
        <v>0</v>
      </c>
      <c r="D42" s="474">
        <f>D54</f>
        <v>27828.466666666667</v>
      </c>
      <c r="E42" s="474">
        <f t="shared" ref="E42:H42" si="26">E54</f>
        <v>29193.466666666667</v>
      </c>
      <c r="F42" s="474">
        <f t="shared" si="26"/>
        <v>34193.466666666667</v>
      </c>
      <c r="G42" s="474">
        <f t="shared" si="26"/>
        <v>32828.466666666667</v>
      </c>
      <c r="H42" s="509">
        <f t="shared" si="26"/>
        <v>42828.466666666667</v>
      </c>
    </row>
    <row r="43" spans="1:12" s="59" customFormat="1" ht="15" customHeight="1">
      <c r="A43" s="43" t="s">
        <v>875</v>
      </c>
      <c r="B43" s="474">
        <v>961162</v>
      </c>
      <c r="C43" s="474">
        <f>C30+C37</f>
        <v>0</v>
      </c>
      <c r="D43" s="474">
        <f>D30</f>
        <v>0</v>
      </c>
      <c r="E43" s="474">
        <f t="shared" ref="E43:H43" si="27">E30</f>
        <v>0</v>
      </c>
      <c r="F43" s="474">
        <f t="shared" si="27"/>
        <v>0</v>
      </c>
      <c r="G43" s="474">
        <f t="shared" si="27"/>
        <v>0</v>
      </c>
      <c r="H43" s="509">
        <f t="shared" si="27"/>
        <v>0</v>
      </c>
    </row>
    <row r="44" spans="1:12" s="59" customFormat="1" ht="15" customHeight="1">
      <c r="A44" s="66" t="s">
        <v>876</v>
      </c>
      <c r="B44" s="477">
        <f ca="1">'Financial statement'!J60</f>
        <v>37895.635010999998</v>
      </c>
      <c r="C44" s="477">
        <f ca="1">C41+C42-C43</f>
        <v>37895.635010999998</v>
      </c>
      <c r="D44" s="477">
        <f t="shared" ref="D44:H44" ca="1" si="28">D41+D42-D43</f>
        <v>65724.101677666666</v>
      </c>
      <c r="E44" s="477">
        <f t="shared" ca="1" si="28"/>
        <v>94917.568344333326</v>
      </c>
      <c r="F44" s="477">
        <f t="shared" ca="1" si="28"/>
        <v>129111.035011</v>
      </c>
      <c r="G44" s="477">
        <f t="shared" ca="1" si="28"/>
        <v>161939.50167766667</v>
      </c>
      <c r="H44" s="510">
        <f t="shared" ca="1" si="28"/>
        <v>204767.96834433335</v>
      </c>
    </row>
    <row r="45" spans="1:12" s="59" customFormat="1" ht="15" customHeight="1">
      <c r="A45" s="66"/>
      <c r="B45" s="477"/>
      <c r="C45" s="477"/>
      <c r="D45" s="477"/>
      <c r="E45" s="477"/>
      <c r="F45" s="477"/>
      <c r="G45" s="477"/>
      <c r="H45" s="477"/>
    </row>
    <row r="46" spans="1:12" s="59" customFormat="1" ht="15" customHeight="1">
      <c r="A46" s="209" t="s">
        <v>541</v>
      </c>
      <c r="B46" s="265">
        <f>B26</f>
        <v>2014</v>
      </c>
      <c r="C46" s="265" t="str">
        <f t="shared" ref="C46:H46" si="29">C26</f>
        <v>2015F</v>
      </c>
      <c r="D46" s="265" t="str">
        <f t="shared" si="29"/>
        <v>2016F</v>
      </c>
      <c r="E46" s="265" t="str">
        <f t="shared" si="29"/>
        <v>2017F</v>
      </c>
      <c r="F46" s="265" t="str">
        <f t="shared" si="29"/>
        <v>2018F</v>
      </c>
      <c r="G46" s="265" t="str">
        <f t="shared" si="29"/>
        <v>2019F</v>
      </c>
      <c r="H46" s="265" t="str">
        <f t="shared" si="29"/>
        <v>2020F</v>
      </c>
      <c r="I46" s="511" t="s">
        <v>877</v>
      </c>
      <c r="J46" s="265" t="s">
        <v>878</v>
      </c>
      <c r="K46" s="265" t="s">
        <v>879</v>
      </c>
      <c r="L46" s="266" t="s">
        <v>880</v>
      </c>
    </row>
    <row r="47" spans="1:12" s="59" customFormat="1" ht="15" customHeight="1">
      <c r="A47" s="43" t="s">
        <v>793</v>
      </c>
      <c r="B47" s="251">
        <v>22335</v>
      </c>
      <c r="D47" s="195">
        <f>(I47-B47)/5</f>
        <v>3021</v>
      </c>
      <c r="E47" s="195">
        <f>(I47-SUM(B47:D47))/4</f>
        <v>3021</v>
      </c>
      <c r="F47" s="194">
        <f>E47</f>
        <v>3021</v>
      </c>
      <c r="G47" s="194">
        <f t="shared" ref="G47:H48" si="30">F47</f>
        <v>3021</v>
      </c>
      <c r="H47" s="194">
        <f t="shared" si="30"/>
        <v>3021</v>
      </c>
      <c r="I47" s="195">
        <f>C62</f>
        <v>37440</v>
      </c>
      <c r="J47" s="195"/>
      <c r="K47" s="285"/>
      <c r="L47" s="512"/>
    </row>
    <row r="48" spans="1:12" s="59" customFormat="1" ht="15" customHeight="1">
      <c r="A48" s="43" t="s">
        <v>795</v>
      </c>
      <c r="B48" s="251">
        <v>24239</v>
      </c>
      <c r="C48" s="195">
        <f>(I48-B48)/6</f>
        <v>4266.833333333333</v>
      </c>
      <c r="D48" s="195">
        <f>C48*2</f>
        <v>8533.6666666666661</v>
      </c>
      <c r="E48" s="195">
        <f>D48</f>
        <v>8533.6666666666661</v>
      </c>
      <c r="F48" s="195">
        <f t="shared" ref="F48" si="31">E48</f>
        <v>8533.6666666666661</v>
      </c>
      <c r="G48" s="195">
        <f t="shared" si="30"/>
        <v>8533.6666666666661</v>
      </c>
      <c r="H48" s="195">
        <f t="shared" si="30"/>
        <v>8533.6666666666661</v>
      </c>
      <c r="I48" s="195">
        <f>C74</f>
        <v>49840</v>
      </c>
      <c r="J48" s="195"/>
      <c r="K48" s="285"/>
      <c r="L48" s="512"/>
    </row>
    <row r="49" spans="1:13" s="59" customFormat="1" ht="15" customHeight="1">
      <c r="A49" s="43" t="s">
        <v>794</v>
      </c>
      <c r="B49" s="251">
        <v>42870</v>
      </c>
      <c r="C49" s="195"/>
      <c r="D49" s="195"/>
      <c r="E49" s="195">
        <f>(I49-B49)/2</f>
        <v>1365</v>
      </c>
      <c r="F49" s="51">
        <f>E49</f>
        <v>1365</v>
      </c>
      <c r="G49" s="39"/>
      <c r="H49" s="39"/>
      <c r="I49" s="195">
        <f>C82</f>
        <v>45600</v>
      </c>
      <c r="J49" s="195"/>
      <c r="K49" s="285"/>
      <c r="L49" s="512"/>
    </row>
    <row r="50" spans="1:13" s="59" customFormat="1" ht="15" customHeight="1">
      <c r="A50" s="43" t="s">
        <v>796</v>
      </c>
      <c r="B50" s="251">
        <v>64631</v>
      </c>
      <c r="D50" s="195">
        <f>(I50-B50)/5</f>
        <v>1273.8</v>
      </c>
      <c r="E50" s="195">
        <f>D50</f>
        <v>1273.8</v>
      </c>
      <c r="F50" s="195">
        <f t="shared" ref="F50:H50" si="32">E50</f>
        <v>1273.8</v>
      </c>
      <c r="G50" s="195">
        <f t="shared" si="32"/>
        <v>1273.8</v>
      </c>
      <c r="H50" s="195">
        <f t="shared" si="32"/>
        <v>1273.8</v>
      </c>
      <c r="I50" s="195">
        <v>71000</v>
      </c>
      <c r="J50" s="195"/>
      <c r="K50" s="285"/>
      <c r="L50" s="512"/>
    </row>
    <row r="51" spans="1:13" s="59" customFormat="1" ht="15" customHeight="1">
      <c r="A51" s="43"/>
      <c r="B51" s="195"/>
      <c r="C51" s="195"/>
      <c r="D51" s="195">
        <v>15000</v>
      </c>
      <c r="E51" s="195">
        <v>15000</v>
      </c>
      <c r="F51" s="195">
        <v>20000</v>
      </c>
      <c r="G51" s="195">
        <v>20000</v>
      </c>
      <c r="H51" s="195">
        <v>30000</v>
      </c>
      <c r="I51" s="195">
        <f>SUM(G51:H51)</f>
        <v>50000</v>
      </c>
      <c r="J51" s="195"/>
      <c r="K51" s="513"/>
      <c r="L51" s="514"/>
    </row>
    <row r="52" spans="1:13" s="59" customFormat="1" ht="15" customHeight="1">
      <c r="A52" s="43"/>
      <c r="B52" s="195"/>
      <c r="C52" s="195"/>
      <c r="D52" s="195"/>
      <c r="E52" s="195"/>
      <c r="F52" s="195"/>
      <c r="G52" s="195"/>
      <c r="H52" s="195"/>
      <c r="I52" s="195"/>
      <c r="J52" s="195"/>
      <c r="K52" s="285"/>
      <c r="L52" s="512"/>
    </row>
    <row r="53" spans="1:13" s="59" customFormat="1" ht="15" customHeight="1">
      <c r="A53" s="43"/>
      <c r="B53" s="195"/>
      <c r="C53" s="195"/>
      <c r="D53" s="195"/>
      <c r="E53" s="195"/>
      <c r="F53" s="51"/>
      <c r="G53" s="51"/>
      <c r="H53" s="51"/>
      <c r="I53" s="195"/>
      <c r="J53" s="195"/>
      <c r="K53" s="285"/>
      <c r="L53" s="512"/>
    </row>
    <row r="54" spans="1:13" s="59" customFormat="1" ht="15" customHeight="1">
      <c r="A54" s="43" t="s">
        <v>543</v>
      </c>
      <c r="B54" s="195">
        <f>B42+B29</f>
        <v>3250709</v>
      </c>
      <c r="C54" s="195">
        <f>SUM(C47:C53)</f>
        <v>4266.833333333333</v>
      </c>
      <c r="D54" s="195">
        <f>SUM(D47:D52)</f>
        <v>27828.466666666667</v>
      </c>
      <c r="E54" s="195">
        <f>SUM(E47:E52)</f>
        <v>29193.466666666667</v>
      </c>
      <c r="F54" s="195">
        <f>SUM(F47:F53)</f>
        <v>34193.466666666667</v>
      </c>
      <c r="G54" s="195">
        <f>SUM(G47:G53)</f>
        <v>32828.466666666667</v>
      </c>
      <c r="H54" s="195">
        <f>SUM(H47:H53)</f>
        <v>42828.466666666667</v>
      </c>
      <c r="I54" s="195">
        <f>SUM(I47:I53)</f>
        <v>253880</v>
      </c>
      <c r="J54" s="195"/>
      <c r="K54" s="195"/>
      <c r="L54" s="44"/>
    </row>
    <row r="55" spans="1:13" s="59" customFormat="1" ht="15" customHeight="1">
      <c r="A55" s="43" t="s">
        <v>548</v>
      </c>
      <c r="B55" s="195">
        <f>'Assump-F '!B8+'Assump-F '!B10+'Assump-F '!B12+'Assump-F '!B14</f>
        <v>94476.576000000001</v>
      </c>
      <c r="C55" s="195">
        <f>'Assump Revenue'!O55</f>
        <v>206606.72943529999</v>
      </c>
      <c r="D55" s="195">
        <f>'Assump Revenue'!P55</f>
        <v>193625.82463797822</v>
      </c>
      <c r="E55" s="195">
        <f>'Assump Revenue'!Q55</f>
        <v>237962.15417033673</v>
      </c>
      <c r="F55" s="195">
        <f>'Assump Revenue'!R55</f>
        <v>284731.99488504394</v>
      </c>
      <c r="G55" s="195">
        <f>'Assump Revenue'!S55</f>
        <v>330502.09409949498</v>
      </c>
      <c r="H55" s="195">
        <f>'Assump Revenue'!T55</f>
        <v>372446.21463373542</v>
      </c>
      <c r="I55" s="195"/>
      <c r="J55" s="195"/>
      <c r="K55" s="195"/>
      <c r="L55" s="44"/>
    </row>
    <row r="56" spans="1:13" s="59" customFormat="1" ht="15" customHeight="1">
      <c r="A56" s="66" t="s">
        <v>544</v>
      </c>
      <c r="B56" s="253">
        <f t="shared" ref="B56:H56" si="33">B54/B55</f>
        <v>34.407565744126885</v>
      </c>
      <c r="C56" s="253">
        <f t="shared" si="33"/>
        <v>2.0651957199049099E-2</v>
      </c>
      <c r="D56" s="253">
        <f t="shared" si="33"/>
        <v>0.14372290844311439</v>
      </c>
      <c r="E56" s="253">
        <f t="shared" si="33"/>
        <v>0.1226811329240597</v>
      </c>
      <c r="F56" s="253">
        <f t="shared" si="33"/>
        <v>0.12009000492014163</v>
      </c>
      <c r="G56" s="253">
        <f t="shared" si="33"/>
        <v>9.9329073106519936E-2</v>
      </c>
      <c r="H56" s="253">
        <f t="shared" si="33"/>
        <v>0.11499235321477033</v>
      </c>
      <c r="I56" s="253"/>
      <c r="J56" s="253"/>
      <c r="K56" s="253"/>
      <c r="L56" s="273"/>
    </row>
    <row r="57" spans="1:13" s="59" customFormat="1" ht="4.5" customHeight="1"/>
    <row r="58" spans="1:13" s="59" customFormat="1" ht="7.5" customHeight="1"/>
    <row r="59" spans="1:13" s="59" customFormat="1" ht="12.75" customHeight="1">
      <c r="A59" s="209" t="s">
        <v>545</v>
      </c>
      <c r="B59" s="205"/>
      <c r="C59" s="205"/>
      <c r="D59" s="206"/>
      <c r="E59" s="205"/>
      <c r="F59" s="205"/>
      <c r="G59" s="205"/>
      <c r="H59" s="205"/>
      <c r="I59" s="205"/>
      <c r="J59" s="205"/>
      <c r="K59" s="205"/>
      <c r="L59" s="205"/>
      <c r="M59" s="207"/>
    </row>
    <row r="60" spans="1:13" s="59" customFormat="1" ht="12.75" customHeight="1">
      <c r="A60" s="283" t="s">
        <v>793</v>
      </c>
      <c r="B60" s="378"/>
      <c r="C60" s="225"/>
      <c r="D60" s="232"/>
      <c r="E60" s="225"/>
      <c r="F60" s="378"/>
      <c r="G60" s="378"/>
      <c r="H60" s="232"/>
      <c r="I60" s="39"/>
      <c r="J60" s="39"/>
      <c r="K60" s="39"/>
      <c r="L60" s="39"/>
      <c r="M60" s="57"/>
    </row>
    <row r="61" spans="1:13" s="59" customFormat="1" ht="12.75" customHeight="1">
      <c r="A61" s="274" t="s">
        <v>549</v>
      </c>
      <c r="B61" s="275" t="s">
        <v>550</v>
      </c>
      <c r="C61" s="275" t="s">
        <v>551</v>
      </c>
      <c r="D61" s="275" t="s">
        <v>552</v>
      </c>
      <c r="E61" s="275"/>
      <c r="F61" s="274"/>
      <c r="G61" s="274"/>
      <c r="H61" s="275"/>
      <c r="I61" s="275"/>
      <c r="J61" s="275"/>
      <c r="K61" s="39"/>
      <c r="L61" s="39"/>
      <c r="M61" s="57"/>
    </row>
    <row r="62" spans="1:13" s="59" customFormat="1" ht="12.75" customHeight="1">
      <c r="A62" s="276" t="s">
        <v>882</v>
      </c>
      <c r="B62" s="52"/>
      <c r="C62" s="195">
        <v>37440</v>
      </c>
      <c r="D62" s="39">
        <v>20</v>
      </c>
      <c r="E62" s="276"/>
      <c r="F62" s="276"/>
      <c r="G62" s="276"/>
      <c r="H62" s="52"/>
      <c r="I62" s="195"/>
      <c r="J62" s="39"/>
      <c r="K62" s="39"/>
      <c r="L62" s="39"/>
      <c r="M62" s="57"/>
    </row>
    <row r="63" spans="1:13" s="59" customFormat="1" ht="12.75" customHeight="1">
      <c r="A63" s="276" t="s">
        <v>883</v>
      </c>
      <c r="B63" s="52"/>
      <c r="C63" s="195">
        <f ca="1">B63*$C$64</f>
        <v>0</v>
      </c>
      <c r="D63" s="39">
        <v>10</v>
      </c>
      <c r="E63" s="39"/>
      <c r="F63" s="276"/>
      <c r="G63" s="276"/>
      <c r="H63" s="52"/>
      <c r="I63" s="195"/>
      <c r="J63" s="39"/>
      <c r="K63" s="39"/>
      <c r="L63" s="39"/>
      <c r="M63" s="57"/>
    </row>
    <row r="64" spans="1:13" s="59" customFormat="1" ht="12.75" customHeight="1">
      <c r="A64" s="276" t="s">
        <v>554</v>
      </c>
      <c r="B64" s="52">
        <v>1</v>
      </c>
      <c r="C64" s="195">
        <f ca="1">SUM(C62:C63)</f>
        <v>37440</v>
      </c>
      <c r="D64" s="39"/>
      <c r="E64" s="39"/>
      <c r="F64" s="276"/>
      <c r="G64" s="276"/>
      <c r="H64" s="52"/>
      <c r="I64" s="195"/>
      <c r="J64" s="39"/>
      <c r="K64" s="39"/>
      <c r="L64" s="39"/>
      <c r="M64" s="57"/>
    </row>
    <row r="65" spans="1:13" s="59" customFormat="1" ht="12.75" customHeight="1">
      <c r="A65" s="280" t="s">
        <v>405</v>
      </c>
      <c r="B65" s="281">
        <v>2010</v>
      </c>
      <c r="C65" s="281">
        <v>2011</v>
      </c>
      <c r="D65" s="281">
        <v>2012</v>
      </c>
      <c r="E65" s="282">
        <v>2013</v>
      </c>
      <c r="F65" s="281">
        <v>2014</v>
      </c>
      <c r="G65" s="281">
        <v>2015</v>
      </c>
      <c r="H65" s="281">
        <v>2016</v>
      </c>
      <c r="I65" s="281">
        <v>2017</v>
      </c>
      <c r="J65" s="281">
        <v>2018</v>
      </c>
      <c r="K65" s="281">
        <v>2019</v>
      </c>
      <c r="L65" s="281">
        <v>2020</v>
      </c>
      <c r="M65" s="515"/>
    </row>
    <row r="66" spans="1:13" s="59" customFormat="1" ht="12.75" customHeight="1">
      <c r="A66" s="276" t="s">
        <v>553</v>
      </c>
      <c r="B66" s="39"/>
      <c r="C66" s="39"/>
      <c r="D66" s="39"/>
      <c r="E66" s="267">
        <f>SLN($C$62,0,$D$62)</f>
        <v>1872</v>
      </c>
      <c r="F66" s="267">
        <f>SLN($C$62,0,$D$62)</f>
        <v>1872</v>
      </c>
      <c r="G66" s="267">
        <f>SLN($C$62,0,$D$62)</f>
        <v>1872</v>
      </c>
      <c r="H66" s="267">
        <f>SLN($C$62,0,$D$62)</f>
        <v>1872</v>
      </c>
      <c r="I66" s="267">
        <f>SLN($C$62,0,$D$62)</f>
        <v>1872</v>
      </c>
      <c r="J66" s="267">
        <f t="shared" ref="J66:L66" si="34">SLN($C$62,0,$D$62)</f>
        <v>1872</v>
      </c>
      <c r="K66" s="267">
        <f t="shared" si="34"/>
        <v>1872</v>
      </c>
      <c r="L66" s="267">
        <f t="shared" si="34"/>
        <v>1872</v>
      </c>
      <c r="M66" s="57"/>
    </row>
    <row r="67" spans="1:13" s="59" customFormat="1" ht="12.75" customHeight="1">
      <c r="A67" s="276" t="s">
        <v>547</v>
      </c>
      <c r="B67" s="39"/>
      <c r="C67" s="39"/>
      <c r="D67" s="39"/>
      <c r="E67" s="267">
        <f ca="1">SLN($C$63,0,$D$63)*8/12</f>
        <v>0</v>
      </c>
      <c r="F67" s="267">
        <f ca="1">SLN($C$63,0,$D$63)</f>
        <v>0</v>
      </c>
      <c r="G67" s="267">
        <f ca="1">SLN($C$63,0,$D$63)</f>
        <v>0</v>
      </c>
      <c r="H67" s="267">
        <f ca="1">SLN($C$63,0,$D$63)</f>
        <v>0</v>
      </c>
      <c r="I67" s="267">
        <f ca="1">SLN($C$63,0,$D$63)</f>
        <v>0</v>
      </c>
      <c r="J67" s="267">
        <f t="shared" ref="J67:L67" ca="1" si="35">SLN($C$63,0,$D$63)</f>
        <v>0</v>
      </c>
      <c r="K67" s="267">
        <f t="shared" ca="1" si="35"/>
        <v>0</v>
      </c>
      <c r="L67" s="267">
        <f t="shared" ca="1" si="35"/>
        <v>0</v>
      </c>
      <c r="M67" s="57"/>
    </row>
    <row r="68" spans="1:13" s="59" customFormat="1" ht="12.75" customHeight="1">
      <c r="A68" s="276" t="s">
        <v>554</v>
      </c>
      <c r="B68" s="195">
        <f>SUM(B66:B67)</f>
        <v>0</v>
      </c>
      <c r="C68" s="195">
        <f t="shared" ref="C68:G68" si="36">SUM(C66:C67)</f>
        <v>0</v>
      </c>
      <c r="D68" s="195">
        <f t="shared" si="36"/>
        <v>0</v>
      </c>
      <c r="E68" s="195">
        <f t="shared" ca="1" si="36"/>
        <v>1872</v>
      </c>
      <c r="F68" s="195">
        <f t="shared" ca="1" si="36"/>
        <v>1872</v>
      </c>
      <c r="G68" s="195">
        <f t="shared" ca="1" si="36"/>
        <v>1872</v>
      </c>
      <c r="H68" s="195">
        <f ca="1">SUM(H66:H67)</f>
        <v>1872</v>
      </c>
      <c r="I68" s="195">
        <f ca="1">SUM(I66:I67)</f>
        <v>1872</v>
      </c>
      <c r="J68" s="195">
        <f ca="1">SUM(J66:J67)</f>
        <v>1872</v>
      </c>
      <c r="K68" s="195">
        <f ca="1">SUM(K66:K67)</f>
        <v>1872</v>
      </c>
      <c r="L68" s="195">
        <f ca="1">SUM(L66:L67)</f>
        <v>1872</v>
      </c>
      <c r="M68" s="57"/>
    </row>
    <row r="69" spans="1:13" s="59" customFormat="1" ht="3.75" customHeight="1">
      <c r="A69" s="268"/>
      <c r="B69" s="39"/>
      <c r="C69" s="39"/>
      <c r="D69" s="39"/>
      <c r="E69" s="39"/>
      <c r="F69" s="39"/>
      <c r="G69" s="39"/>
      <c r="H69" s="39"/>
      <c r="I69" s="39"/>
      <c r="J69" s="39"/>
      <c r="K69" s="39"/>
      <c r="L69" s="39"/>
      <c r="M69" s="57"/>
    </row>
    <row r="70" spans="1:13" s="59" customFormat="1" ht="12.75" customHeight="1">
      <c r="A70" s="284" t="s">
        <v>884</v>
      </c>
      <c r="B70" s="39"/>
      <c r="C70" s="39"/>
      <c r="D70" s="39"/>
      <c r="E70" s="291"/>
      <c r="F70" s="39"/>
      <c r="G70" s="39"/>
      <c r="H70" s="39"/>
      <c r="I70" s="39"/>
      <c r="J70" s="39"/>
      <c r="K70" s="39"/>
      <c r="L70" s="39"/>
      <c r="M70" s="57"/>
    </row>
    <row r="71" spans="1:13" s="59" customFormat="1" ht="12.75" customHeight="1">
      <c r="A71" s="274" t="s">
        <v>549</v>
      </c>
      <c r="B71" s="275" t="s">
        <v>550</v>
      </c>
      <c r="C71" s="275" t="s">
        <v>551</v>
      </c>
      <c r="D71" s="275" t="s">
        <v>552</v>
      </c>
      <c r="E71" s="267"/>
      <c r="F71" s="267"/>
      <c r="G71" s="267"/>
      <c r="H71" s="267"/>
      <c r="I71" s="39"/>
      <c r="J71" s="39"/>
      <c r="K71" s="39"/>
      <c r="L71" s="39"/>
      <c r="M71" s="57"/>
    </row>
    <row r="72" spans="1:13" s="59" customFormat="1" ht="12.75" customHeight="1">
      <c r="A72" s="276" t="s">
        <v>885</v>
      </c>
      <c r="B72" s="52">
        <f>C72/$C$74</f>
        <v>0.7993579454253612</v>
      </c>
      <c r="C72" s="195">
        <v>39840</v>
      </c>
      <c r="D72" s="39">
        <v>20</v>
      </c>
      <c r="E72" s="267"/>
      <c r="F72" s="267"/>
      <c r="G72" s="267"/>
      <c r="H72" s="267"/>
      <c r="I72" s="39"/>
      <c r="J72" s="39"/>
      <c r="K72" s="39"/>
      <c r="L72" s="39"/>
      <c r="M72" s="57"/>
    </row>
    <row r="73" spans="1:13" s="59" customFormat="1" ht="12.75" customHeight="1">
      <c r="A73" s="276" t="s">
        <v>883</v>
      </c>
      <c r="B73" s="52">
        <f>C73/$C$74</f>
        <v>0.20064205457463885</v>
      </c>
      <c r="C73" s="195">
        <v>10000</v>
      </c>
      <c r="D73" s="39">
        <v>10</v>
      </c>
      <c r="E73" s="267"/>
      <c r="F73" s="267"/>
      <c r="G73" s="267"/>
      <c r="H73" s="267"/>
      <c r="I73" s="39"/>
      <c r="J73" s="39"/>
      <c r="K73" s="39"/>
      <c r="L73" s="39"/>
      <c r="M73" s="57"/>
    </row>
    <row r="74" spans="1:13" s="59" customFormat="1" ht="12.75" customHeight="1">
      <c r="A74" s="276" t="s">
        <v>554</v>
      </c>
      <c r="B74" s="52">
        <v>1</v>
      </c>
      <c r="C74" s="195">
        <f>SUM(C72:C73)</f>
        <v>49840</v>
      </c>
      <c r="D74" s="39"/>
      <c r="E74" s="39"/>
      <c r="F74" s="39"/>
      <c r="G74" s="39"/>
      <c r="H74" s="39"/>
      <c r="I74" s="39"/>
      <c r="J74" s="39"/>
      <c r="K74" s="39"/>
      <c r="L74" s="39"/>
      <c r="M74" s="57"/>
    </row>
    <row r="75" spans="1:13" s="59" customFormat="1" ht="12.75" customHeight="1">
      <c r="A75" s="280" t="s">
        <v>405</v>
      </c>
      <c r="B75" s="281">
        <v>2010</v>
      </c>
      <c r="C75" s="281">
        <v>2011</v>
      </c>
      <c r="D75" s="281">
        <v>2012</v>
      </c>
      <c r="E75" s="282">
        <v>2013</v>
      </c>
      <c r="F75" s="281">
        <v>2014</v>
      </c>
      <c r="G75" s="281">
        <v>2015</v>
      </c>
      <c r="H75" s="281">
        <v>2016</v>
      </c>
      <c r="I75" s="281">
        <v>2017</v>
      </c>
      <c r="J75" s="281">
        <v>2018</v>
      </c>
      <c r="K75" s="281">
        <v>2019</v>
      </c>
      <c r="L75" s="281">
        <v>2020</v>
      </c>
      <c r="M75" s="515"/>
    </row>
    <row r="76" spans="1:13" s="59" customFormat="1" ht="12.75" customHeight="1">
      <c r="A76" s="276" t="s">
        <v>553</v>
      </c>
      <c r="B76" s="39"/>
      <c r="C76" s="39"/>
      <c r="D76" s="39"/>
      <c r="E76" s="267">
        <f>SLN($C$72,0,$D$72)</f>
        <v>1992</v>
      </c>
      <c r="F76" s="267">
        <f>SLN($C$72,0,$D$72)</f>
        <v>1992</v>
      </c>
      <c r="G76" s="267">
        <f t="shared" ref="G76:L76" si="37">SLN($C$72,0,$D$72)</f>
        <v>1992</v>
      </c>
      <c r="H76" s="267">
        <f t="shared" si="37"/>
        <v>1992</v>
      </c>
      <c r="I76" s="267">
        <f t="shared" si="37"/>
        <v>1992</v>
      </c>
      <c r="J76" s="267">
        <f t="shared" si="37"/>
        <v>1992</v>
      </c>
      <c r="K76" s="267">
        <f t="shared" si="37"/>
        <v>1992</v>
      </c>
      <c r="L76" s="267">
        <f t="shared" si="37"/>
        <v>1992</v>
      </c>
      <c r="M76" s="57"/>
    </row>
    <row r="77" spans="1:13" s="59" customFormat="1" ht="12.75" customHeight="1">
      <c r="A77" s="276" t="s">
        <v>547</v>
      </c>
      <c r="B77" s="39"/>
      <c r="C77" s="39"/>
      <c r="D77" s="39"/>
      <c r="E77" s="267"/>
      <c r="F77" s="267">
        <f>SLN($C$73,0,$D$73)</f>
        <v>1000</v>
      </c>
      <c r="G77" s="267">
        <f t="shared" ref="G77:L77" si="38">SLN($C$73,0,$D$73)</f>
        <v>1000</v>
      </c>
      <c r="H77" s="267">
        <f t="shared" si="38"/>
        <v>1000</v>
      </c>
      <c r="I77" s="267">
        <f t="shared" si="38"/>
        <v>1000</v>
      </c>
      <c r="J77" s="267">
        <f t="shared" si="38"/>
        <v>1000</v>
      </c>
      <c r="K77" s="267">
        <f t="shared" si="38"/>
        <v>1000</v>
      </c>
      <c r="L77" s="267">
        <f t="shared" si="38"/>
        <v>1000</v>
      </c>
      <c r="M77" s="57"/>
    </row>
    <row r="78" spans="1:13" s="59" customFormat="1" ht="12.75" customHeight="1">
      <c r="A78" s="276" t="s">
        <v>554</v>
      </c>
      <c r="B78" s="195">
        <f>SUM(B76:B77)</f>
        <v>0</v>
      </c>
      <c r="C78" s="195">
        <f t="shared" ref="C78:G78" si="39">SUM(C76:C77)</f>
        <v>0</v>
      </c>
      <c r="D78" s="195">
        <f t="shared" si="39"/>
        <v>0</v>
      </c>
      <c r="E78" s="195">
        <f t="shared" si="39"/>
        <v>1992</v>
      </c>
      <c r="F78" s="195">
        <f t="shared" si="39"/>
        <v>2992</v>
      </c>
      <c r="G78" s="195">
        <f t="shared" si="39"/>
        <v>2992</v>
      </c>
      <c r="H78" s="195">
        <f>SUM(H76:H77)</f>
        <v>2992</v>
      </c>
      <c r="I78" s="195">
        <f>SUM(I76:I77)</f>
        <v>2992</v>
      </c>
      <c r="J78" s="195">
        <f>SUM(J76:J77)</f>
        <v>2992</v>
      </c>
      <c r="K78" s="195">
        <f>SUM(K76:K77)</f>
        <v>2992</v>
      </c>
      <c r="L78" s="195">
        <f>SUM(L76:L77)</f>
        <v>2992</v>
      </c>
      <c r="M78" s="57"/>
    </row>
    <row r="79" spans="1:13" s="59" customFormat="1" ht="3.75" customHeight="1">
      <c r="A79" s="39"/>
      <c r="B79" s="39"/>
      <c r="C79" s="39"/>
      <c r="D79" s="39"/>
      <c r="E79" s="39"/>
      <c r="F79" s="39"/>
      <c r="G79" s="39"/>
      <c r="H79" s="39"/>
      <c r="I79" s="39"/>
      <c r="J79" s="39"/>
      <c r="K79" s="39"/>
      <c r="L79" s="39"/>
      <c r="M79" s="57"/>
    </row>
    <row r="80" spans="1:13" s="59" customFormat="1" ht="12.75" customHeight="1">
      <c r="A80" s="284" t="s">
        <v>881</v>
      </c>
      <c r="B80" s="39"/>
      <c r="C80" s="39"/>
      <c r="D80" s="39"/>
      <c r="E80" s="39"/>
      <c r="F80" s="39"/>
      <c r="G80" s="39"/>
      <c r="H80" s="39"/>
      <c r="I80" s="39"/>
      <c r="J80" s="39"/>
      <c r="K80" s="39"/>
      <c r="L80" s="39"/>
      <c r="M80" s="57"/>
    </row>
    <row r="81" spans="1:13" s="59" customFormat="1" ht="12.75" customHeight="1">
      <c r="A81" s="274" t="s">
        <v>549</v>
      </c>
      <c r="B81" s="275" t="s">
        <v>550</v>
      </c>
      <c r="C81" s="275" t="s">
        <v>551</v>
      </c>
      <c r="D81" s="275" t="s">
        <v>552</v>
      </c>
      <c r="E81" s="267"/>
      <c r="F81" s="267"/>
      <c r="G81" s="267"/>
      <c r="H81" s="267"/>
      <c r="I81" s="39"/>
      <c r="J81" s="39"/>
      <c r="K81" s="39"/>
      <c r="L81" s="39"/>
      <c r="M81" s="57"/>
    </row>
    <row r="82" spans="1:13" s="59" customFormat="1" ht="12.75" customHeight="1">
      <c r="A82" s="276" t="s">
        <v>553</v>
      </c>
      <c r="B82" s="52">
        <v>0.1</v>
      </c>
      <c r="C82" s="195">
        <v>45600</v>
      </c>
      <c r="D82" s="39">
        <v>20</v>
      </c>
      <c r="E82" s="267"/>
      <c r="F82" s="267"/>
      <c r="G82" s="267"/>
      <c r="H82" s="267"/>
      <c r="I82" s="39"/>
      <c r="J82" s="39"/>
      <c r="K82" s="39"/>
      <c r="L82" s="39"/>
      <c r="M82" s="57"/>
    </row>
    <row r="83" spans="1:13" s="59" customFormat="1" ht="12.75" customHeight="1">
      <c r="A83" s="276" t="s">
        <v>547</v>
      </c>
      <c r="B83" s="52">
        <f>B84-B82</f>
        <v>0.9</v>
      </c>
      <c r="C83" s="195"/>
      <c r="D83" s="39">
        <v>10</v>
      </c>
      <c r="E83" s="267"/>
      <c r="F83" s="267"/>
      <c r="G83" s="267"/>
      <c r="H83" s="267"/>
      <c r="I83" s="39"/>
      <c r="J83" s="39"/>
      <c r="K83" s="39"/>
      <c r="L83" s="39"/>
      <c r="M83" s="57"/>
    </row>
    <row r="84" spans="1:13" s="59" customFormat="1" ht="12.75" customHeight="1">
      <c r="A84" s="276" t="s">
        <v>554</v>
      </c>
      <c r="B84" s="52">
        <v>1</v>
      </c>
      <c r="C84" s="195"/>
      <c r="D84" s="39"/>
      <c r="E84" s="39"/>
      <c r="F84" s="39"/>
      <c r="G84" s="39"/>
      <c r="H84" s="39"/>
      <c r="I84" s="39"/>
      <c r="J84" s="39"/>
      <c r="K84" s="39"/>
      <c r="L84" s="39"/>
      <c r="M84" s="57"/>
    </row>
    <row r="85" spans="1:13" s="59" customFormat="1" ht="12.75" customHeight="1">
      <c r="A85" s="280" t="s">
        <v>405</v>
      </c>
      <c r="B85" s="281">
        <v>2010</v>
      </c>
      <c r="C85" s="281">
        <v>2011</v>
      </c>
      <c r="D85" s="281">
        <v>2012</v>
      </c>
      <c r="E85" s="282">
        <v>2013</v>
      </c>
      <c r="F85" s="281">
        <v>2014</v>
      </c>
      <c r="G85" s="281">
        <v>2015</v>
      </c>
      <c r="H85" s="281">
        <v>2015</v>
      </c>
      <c r="I85" s="281">
        <v>2016</v>
      </c>
      <c r="J85" s="281">
        <v>2017</v>
      </c>
      <c r="K85" s="281">
        <v>2018</v>
      </c>
      <c r="L85" s="281">
        <v>2019</v>
      </c>
      <c r="M85" s="515">
        <v>2020</v>
      </c>
    </row>
    <row r="86" spans="1:13" s="59" customFormat="1" ht="12.75" customHeight="1">
      <c r="A86" s="276" t="s">
        <v>553</v>
      </c>
      <c r="B86" s="39"/>
      <c r="C86" s="39"/>
      <c r="D86" s="267"/>
      <c r="E86" s="267">
        <f>SLN($C$82,0,$D$82)</f>
        <v>2280</v>
      </c>
      <c r="F86" s="267">
        <f>SLN($C$82,0,$D$82)</f>
        <v>2280</v>
      </c>
      <c r="G86" s="267">
        <f t="shared" ref="G86:L86" si="40">SLN($C$82,0,$D$82)</f>
        <v>2280</v>
      </c>
      <c r="H86" s="267">
        <f t="shared" si="40"/>
        <v>2280</v>
      </c>
      <c r="I86" s="267">
        <f t="shared" si="40"/>
        <v>2280</v>
      </c>
      <c r="J86" s="267">
        <f t="shared" si="40"/>
        <v>2280</v>
      </c>
      <c r="K86" s="267">
        <f t="shared" si="40"/>
        <v>2280</v>
      </c>
      <c r="L86" s="267">
        <f t="shared" si="40"/>
        <v>2280</v>
      </c>
      <c r="M86" s="277">
        <f>SLN($C$82,0,$D$82)</f>
        <v>2280</v>
      </c>
    </row>
    <row r="87" spans="1:13" s="59" customFormat="1" ht="12.75" customHeight="1">
      <c r="A87" s="276" t="s">
        <v>547</v>
      </c>
      <c r="B87" s="39"/>
      <c r="C87" s="39"/>
      <c r="D87" s="267"/>
      <c r="E87" s="267">
        <f>SLN($C$83,0,$D$83)</f>
        <v>0</v>
      </c>
      <c r="F87" s="267">
        <f>SLN($C$83,0,$D$83)</f>
        <v>0</v>
      </c>
      <c r="G87" s="267">
        <f t="shared" ref="G87:L87" si="41">SLN($C$83,0,$D$83)</f>
        <v>0</v>
      </c>
      <c r="H87" s="267">
        <f t="shared" si="41"/>
        <v>0</v>
      </c>
      <c r="I87" s="267">
        <f t="shared" si="41"/>
        <v>0</v>
      </c>
      <c r="J87" s="267">
        <f t="shared" si="41"/>
        <v>0</v>
      </c>
      <c r="K87" s="267">
        <f t="shared" si="41"/>
        <v>0</v>
      </c>
      <c r="L87" s="267">
        <f t="shared" si="41"/>
        <v>0</v>
      </c>
      <c r="M87" s="277">
        <f>SLN($C$83,0,$D$83)</f>
        <v>0</v>
      </c>
    </row>
    <row r="88" spans="1:13" s="59" customFormat="1" ht="12.75" customHeight="1">
      <c r="A88" s="276" t="s">
        <v>554</v>
      </c>
      <c r="B88" s="195">
        <f>SUM(B86:B87)</f>
        <v>0</v>
      </c>
      <c r="C88" s="195">
        <f t="shared" ref="C88" si="42">SUM(C86:C87)</f>
        <v>0</v>
      </c>
      <c r="D88" s="195"/>
      <c r="E88" s="195">
        <f t="shared" ref="E88:M88" si="43">SUM(E86:E87)</f>
        <v>2280</v>
      </c>
      <c r="F88" s="195">
        <f t="shared" si="43"/>
        <v>2280</v>
      </c>
      <c r="G88" s="195">
        <f t="shared" si="43"/>
        <v>2280</v>
      </c>
      <c r="H88" s="195">
        <f t="shared" si="43"/>
        <v>2280</v>
      </c>
      <c r="I88" s="195">
        <f t="shared" si="43"/>
        <v>2280</v>
      </c>
      <c r="J88" s="195">
        <f t="shared" si="43"/>
        <v>2280</v>
      </c>
      <c r="K88" s="195">
        <f t="shared" si="43"/>
        <v>2280</v>
      </c>
      <c r="L88" s="195">
        <f t="shared" si="43"/>
        <v>2280</v>
      </c>
      <c r="M88" s="44">
        <f t="shared" si="43"/>
        <v>2280</v>
      </c>
    </row>
    <row r="89" spans="1:13" s="59" customFormat="1" ht="3.75" customHeight="1">
      <c r="A89" s="39"/>
      <c r="B89" s="39"/>
      <c r="C89" s="39"/>
      <c r="D89" s="39"/>
      <c r="E89" s="39"/>
      <c r="F89" s="39"/>
      <c r="G89" s="39"/>
      <c r="H89" s="39"/>
      <c r="I89" s="39"/>
      <c r="J89" s="39"/>
      <c r="K89" s="39"/>
      <c r="L89" s="39"/>
      <c r="M89" s="57"/>
    </row>
    <row r="90" spans="1:13" s="59" customFormat="1" ht="12.75" customHeight="1">
      <c r="A90" s="283" t="str">
        <f>A50</f>
        <v>Mỏ Thạnh Phú 2</v>
      </c>
      <c r="B90" s="225"/>
      <c r="C90" s="225"/>
      <c r="D90" s="225"/>
      <c r="E90" s="225"/>
      <c r="F90" s="225"/>
      <c r="G90" s="225"/>
      <c r="H90" s="225"/>
      <c r="I90" s="225"/>
      <c r="J90" s="225"/>
      <c r="K90" s="225"/>
      <c r="L90" s="225"/>
      <c r="M90" s="226"/>
    </row>
    <row r="91" spans="1:13" s="59" customFormat="1" ht="12.75" customHeight="1">
      <c r="A91" s="274" t="s">
        <v>549</v>
      </c>
      <c r="B91" s="275" t="s">
        <v>550</v>
      </c>
      <c r="C91" s="275" t="s">
        <v>551</v>
      </c>
      <c r="D91" s="275" t="s">
        <v>552</v>
      </c>
      <c r="E91" s="286" t="s">
        <v>558</v>
      </c>
      <c r="F91" s="38"/>
      <c r="G91" s="38"/>
      <c r="H91" s="38"/>
      <c r="I91" s="38"/>
      <c r="J91" s="38"/>
      <c r="L91" s="39"/>
      <c r="M91" s="57"/>
    </row>
    <row r="92" spans="1:13" s="59" customFormat="1" ht="12.75" customHeight="1">
      <c r="A92" s="276" t="s">
        <v>885</v>
      </c>
      <c r="B92" s="52">
        <v>0.1</v>
      </c>
      <c r="C92" s="195">
        <v>71000</v>
      </c>
      <c r="D92" s="39">
        <v>20</v>
      </c>
      <c r="E92" s="267"/>
      <c r="F92" s="267"/>
      <c r="G92" s="267"/>
      <c r="H92" s="267"/>
      <c r="I92" s="39"/>
      <c r="J92" s="39"/>
      <c r="K92" s="39"/>
      <c r="L92" s="39"/>
      <c r="M92" s="57"/>
    </row>
    <row r="93" spans="1:13" s="59" customFormat="1" ht="12.75" customHeight="1">
      <c r="A93" s="276" t="s">
        <v>883</v>
      </c>
      <c r="B93" s="52">
        <f>B94-B92</f>
        <v>0.9</v>
      </c>
      <c r="C93" s="195">
        <f>C94-C92</f>
        <v>0</v>
      </c>
      <c r="D93" s="39">
        <v>10</v>
      </c>
      <c r="E93" s="267"/>
      <c r="F93" s="267"/>
      <c r="G93" s="267"/>
      <c r="H93" s="267"/>
      <c r="I93" s="39"/>
      <c r="J93" s="39"/>
      <c r="K93" s="39"/>
      <c r="L93" s="39"/>
      <c r="M93" s="57"/>
    </row>
    <row r="94" spans="1:13" s="59" customFormat="1" ht="12.75" customHeight="1">
      <c r="A94" s="276" t="s">
        <v>554</v>
      </c>
      <c r="B94" s="52">
        <v>1</v>
      </c>
      <c r="C94" s="195">
        <f>SUM(B50:H50)</f>
        <v>71000.000000000015</v>
      </c>
      <c r="D94" s="39"/>
      <c r="E94" s="39"/>
      <c r="F94" s="39"/>
      <c r="G94" s="39"/>
      <c r="H94" s="267"/>
      <c r="I94" s="39"/>
      <c r="J94" s="39"/>
      <c r="K94" s="39"/>
      <c r="L94" s="39"/>
      <c r="M94" s="57"/>
    </row>
    <row r="95" spans="1:13" s="59" customFormat="1" ht="12.75" customHeight="1">
      <c r="A95" s="276"/>
      <c r="B95" s="52"/>
      <c r="C95" s="195"/>
      <c r="D95" s="39"/>
      <c r="E95" s="39"/>
      <c r="F95" s="39"/>
      <c r="G95" s="39"/>
      <c r="H95" s="39"/>
      <c r="I95" s="39"/>
      <c r="J95" s="39"/>
      <c r="K95" s="39"/>
      <c r="L95" s="39"/>
      <c r="M95" s="57"/>
    </row>
    <row r="96" spans="1:13" ht="12.75" customHeight="1">
      <c r="A96" s="280" t="s">
        <v>405</v>
      </c>
      <c r="B96" s="281">
        <v>2010</v>
      </c>
      <c r="C96" s="281">
        <v>2011</v>
      </c>
      <c r="D96" s="281">
        <v>2012</v>
      </c>
      <c r="E96" s="281">
        <v>2013</v>
      </c>
      <c r="F96" s="281">
        <v>2014</v>
      </c>
      <c r="G96" s="281">
        <v>2015</v>
      </c>
      <c r="H96" s="281">
        <v>2016</v>
      </c>
      <c r="I96" s="281">
        <v>2017</v>
      </c>
      <c r="J96" s="281">
        <v>2018</v>
      </c>
      <c r="K96" s="281">
        <v>2019</v>
      </c>
      <c r="L96" s="281">
        <v>2020</v>
      </c>
      <c r="M96" s="515"/>
    </row>
    <row r="97" spans="1:13" ht="12.75" customHeight="1">
      <c r="A97" s="276" t="s">
        <v>553</v>
      </c>
      <c r="B97" s="39"/>
      <c r="C97" s="39"/>
      <c r="D97" s="267"/>
      <c r="E97" s="267">
        <f>SLN($C$92,0,$D$92)</f>
        <v>3550</v>
      </c>
      <c r="F97" s="267">
        <f>SLN($C$92,0,$D$92)</f>
        <v>3550</v>
      </c>
      <c r="G97" s="267">
        <f t="shared" ref="G97:L97" si="44">SLN($C$92,0,$D$92)</f>
        <v>3550</v>
      </c>
      <c r="H97" s="267">
        <f t="shared" si="44"/>
        <v>3550</v>
      </c>
      <c r="I97" s="267">
        <f t="shared" si="44"/>
        <v>3550</v>
      </c>
      <c r="J97" s="267">
        <f t="shared" si="44"/>
        <v>3550</v>
      </c>
      <c r="K97" s="267">
        <f t="shared" si="44"/>
        <v>3550</v>
      </c>
      <c r="L97" s="267">
        <f t="shared" si="44"/>
        <v>3550</v>
      </c>
      <c r="M97" s="57"/>
    </row>
    <row r="98" spans="1:13" ht="12.75" customHeight="1">
      <c r="A98" s="276" t="s">
        <v>547</v>
      </c>
      <c r="B98" s="39"/>
      <c r="C98" s="39"/>
      <c r="D98" s="267"/>
      <c r="E98" s="267"/>
      <c r="F98" s="267">
        <f t="shared" ref="F98:L98" si="45">SLN($C$93,0,$D$93)</f>
        <v>0</v>
      </c>
      <c r="G98" s="267">
        <f t="shared" si="45"/>
        <v>0</v>
      </c>
      <c r="H98" s="267">
        <f t="shared" si="45"/>
        <v>0</v>
      </c>
      <c r="I98" s="267">
        <f t="shared" si="45"/>
        <v>0</v>
      </c>
      <c r="J98" s="267">
        <f t="shared" si="45"/>
        <v>0</v>
      </c>
      <c r="K98" s="267">
        <f t="shared" si="45"/>
        <v>0</v>
      </c>
      <c r="L98" s="267">
        <f t="shared" si="45"/>
        <v>0</v>
      </c>
      <c r="M98" s="57"/>
    </row>
    <row r="99" spans="1:13" ht="12.75" customHeight="1">
      <c r="A99" s="276" t="s">
        <v>554</v>
      </c>
      <c r="B99" s="195">
        <f>SUM(B97:B98)</f>
        <v>0</v>
      </c>
      <c r="C99" s="195">
        <f t="shared" ref="C99" si="46">SUM(C97:C98)</f>
        <v>0</v>
      </c>
      <c r="D99" s="195"/>
      <c r="E99" s="195">
        <f>SUM(E97:E98)</f>
        <v>3550</v>
      </c>
      <c r="F99" s="195">
        <f>SUM(F97:F98)</f>
        <v>3550</v>
      </c>
      <c r="G99" s="195">
        <f t="shared" ref="G99:L99" si="47">SUM(G97:G98)</f>
        <v>3550</v>
      </c>
      <c r="H99" s="195">
        <f t="shared" si="47"/>
        <v>3550</v>
      </c>
      <c r="I99" s="195">
        <f t="shared" si="47"/>
        <v>3550</v>
      </c>
      <c r="J99" s="195">
        <f t="shared" si="47"/>
        <v>3550</v>
      </c>
      <c r="K99" s="195">
        <f t="shared" si="47"/>
        <v>3550</v>
      </c>
      <c r="L99" s="195">
        <f t="shared" si="47"/>
        <v>3550</v>
      </c>
      <c r="M99" s="57"/>
    </row>
    <row r="100" spans="1:13" ht="3.75" customHeight="1">
      <c r="A100" s="2"/>
      <c r="B100" s="2"/>
      <c r="C100" s="2"/>
      <c r="D100" s="2"/>
      <c r="E100" s="2"/>
      <c r="F100" s="2"/>
      <c r="G100" s="2"/>
      <c r="H100" s="2"/>
      <c r="I100" s="2"/>
      <c r="J100" s="2"/>
      <c r="K100" s="2"/>
      <c r="L100" s="2"/>
      <c r="M100" s="57"/>
    </row>
    <row r="101" spans="1:13" ht="12.75" customHeight="1">
      <c r="A101" s="283" t="s">
        <v>892</v>
      </c>
      <c r="B101" s="225"/>
      <c r="C101" s="225"/>
      <c r="D101" s="225"/>
      <c r="E101" s="225"/>
      <c r="F101" s="225"/>
      <c r="G101" s="225"/>
      <c r="H101" s="225"/>
      <c r="I101" s="225"/>
      <c r="J101" s="225"/>
      <c r="K101" s="225"/>
      <c r="L101" s="225"/>
      <c r="M101" s="226"/>
    </row>
    <row r="102" spans="1:13" ht="12.75" customHeight="1">
      <c r="A102" s="274" t="s">
        <v>549</v>
      </c>
      <c r="B102" s="275" t="s">
        <v>550</v>
      </c>
      <c r="C102" s="275" t="s">
        <v>551</v>
      </c>
      <c r="D102" s="275" t="s">
        <v>552</v>
      </c>
      <c r="E102" s="286" t="s">
        <v>558</v>
      </c>
      <c r="F102" s="38"/>
      <c r="G102" s="38"/>
      <c r="H102" s="38"/>
      <c r="I102" s="38"/>
      <c r="J102" s="38"/>
      <c r="K102" s="59"/>
      <c r="L102" s="39"/>
      <c r="M102" s="57"/>
    </row>
    <row r="103" spans="1:13" ht="12.75" customHeight="1">
      <c r="A103" s="276" t="s">
        <v>885</v>
      </c>
      <c r="B103" s="52">
        <v>0.9</v>
      </c>
      <c r="C103" s="195">
        <v>20000</v>
      </c>
      <c r="D103" s="39">
        <v>20</v>
      </c>
      <c r="E103" s="267"/>
      <c r="F103" s="267"/>
      <c r="G103" s="267"/>
      <c r="H103" s="267"/>
      <c r="I103" s="39"/>
      <c r="J103" s="39"/>
      <c r="K103" s="39"/>
      <c r="L103" s="39"/>
      <c r="M103" s="57"/>
    </row>
    <row r="104" spans="1:13">
      <c r="A104" s="276" t="s">
        <v>883</v>
      </c>
      <c r="B104" s="52">
        <v>0.1</v>
      </c>
      <c r="C104" s="195">
        <f>C103*B104</f>
        <v>2000</v>
      </c>
      <c r="D104" s="39">
        <v>10</v>
      </c>
      <c r="E104" s="267"/>
      <c r="F104" s="267"/>
      <c r="G104" s="267"/>
      <c r="H104" s="267"/>
      <c r="I104" s="39"/>
      <c r="J104" s="39"/>
      <c r="K104" s="39"/>
      <c r="L104" s="39"/>
      <c r="M104" s="57"/>
    </row>
    <row r="105" spans="1:13" ht="12.75" customHeight="1">
      <c r="A105" s="276" t="s">
        <v>554</v>
      </c>
      <c r="B105" s="52">
        <v>1</v>
      </c>
      <c r="C105" s="195">
        <f>SUM(C103:C104)</f>
        <v>22000</v>
      </c>
      <c r="D105" s="39"/>
      <c r="E105" s="39"/>
      <c r="F105" s="39"/>
      <c r="G105" s="39"/>
      <c r="H105" s="267"/>
      <c r="I105" s="39"/>
      <c r="J105" s="39"/>
      <c r="K105" s="39"/>
      <c r="L105" s="39"/>
      <c r="M105" s="57"/>
    </row>
    <row r="106" spans="1:13" ht="12.75" customHeight="1">
      <c r="A106" s="276"/>
      <c r="B106" s="52"/>
      <c r="C106" s="195"/>
      <c r="D106" s="39"/>
      <c r="E106" s="39"/>
      <c r="F106" s="39"/>
      <c r="G106" s="39"/>
      <c r="H106" s="39"/>
      <c r="I106" s="39"/>
      <c r="J106" s="39"/>
      <c r="K106" s="39"/>
      <c r="L106" s="39"/>
      <c r="M106" s="57"/>
    </row>
    <row r="107" spans="1:13" ht="12.75" customHeight="1">
      <c r="A107" s="280" t="s">
        <v>405</v>
      </c>
      <c r="B107" s="281">
        <v>2010</v>
      </c>
      <c r="C107" s="281">
        <v>2011</v>
      </c>
      <c r="D107" s="281">
        <v>2012</v>
      </c>
      <c r="E107" s="281">
        <v>2013</v>
      </c>
      <c r="F107" s="281">
        <v>2014</v>
      </c>
      <c r="G107" s="281">
        <v>2015</v>
      </c>
      <c r="H107" s="281">
        <v>2016</v>
      </c>
      <c r="I107" s="281">
        <v>2017</v>
      </c>
      <c r="J107" s="281">
        <v>2018</v>
      </c>
      <c r="K107" s="281">
        <v>2019</v>
      </c>
      <c r="L107" s="281">
        <v>2020</v>
      </c>
      <c r="M107" s="515"/>
    </row>
    <row r="108" spans="1:13" ht="12.75" customHeight="1">
      <c r="A108" s="276" t="s">
        <v>553</v>
      </c>
      <c r="B108" s="39"/>
      <c r="C108" s="39"/>
      <c r="D108" s="267"/>
      <c r="E108" s="267"/>
      <c r="F108" s="267"/>
      <c r="G108" s="267"/>
      <c r="H108" s="267"/>
      <c r="I108" s="267">
        <f>SLN($C$103,0,$D$103)</f>
        <v>1000</v>
      </c>
      <c r="J108" s="267">
        <f t="shared" ref="J108:L108" si="48">SLN($C$103,0,$D$103)</f>
        <v>1000</v>
      </c>
      <c r="K108" s="267">
        <f t="shared" si="48"/>
        <v>1000</v>
      </c>
      <c r="L108" s="267">
        <f t="shared" si="48"/>
        <v>1000</v>
      </c>
      <c r="M108" s="57"/>
    </row>
    <row r="109" spans="1:13" ht="12.75" customHeight="1">
      <c r="A109" s="276" t="s">
        <v>547</v>
      </c>
      <c r="B109" s="39"/>
      <c r="C109" s="39"/>
      <c r="D109" s="267"/>
      <c r="E109" s="267"/>
      <c r="F109" s="267"/>
      <c r="G109" s="267"/>
      <c r="H109" s="267"/>
      <c r="I109" s="267">
        <f>SLN($C$104,0,$D$104)</f>
        <v>200</v>
      </c>
      <c r="J109" s="267">
        <f t="shared" ref="J109:L109" si="49">SLN($C$104,0,$D$104)</f>
        <v>200</v>
      </c>
      <c r="K109" s="267">
        <f t="shared" si="49"/>
        <v>200</v>
      </c>
      <c r="L109" s="267">
        <f t="shared" si="49"/>
        <v>200</v>
      </c>
      <c r="M109" s="57"/>
    </row>
    <row r="110" spans="1:13" ht="12.75" hidden="1" customHeight="1">
      <c r="A110" s="276" t="s">
        <v>554</v>
      </c>
      <c r="B110" s="195">
        <f>SUM(B108:B109)</f>
        <v>0</v>
      </c>
      <c r="C110" s="195">
        <f t="shared" ref="C110" si="50">SUM(C108:C109)</f>
        <v>0</v>
      </c>
      <c r="D110" s="195"/>
      <c r="E110" s="195">
        <f>SUM(E108:E109)</f>
        <v>0</v>
      </c>
      <c r="F110" s="195">
        <f>SUM(F108:F109)</f>
        <v>0</v>
      </c>
      <c r="G110" s="195">
        <f t="shared" ref="G110:L110" si="51">SUM(G108:G109)</f>
        <v>0</v>
      </c>
      <c r="H110" s="195">
        <f t="shared" si="51"/>
        <v>0</v>
      </c>
      <c r="I110" s="195">
        <f t="shared" si="51"/>
        <v>1200</v>
      </c>
      <c r="J110" s="195">
        <f t="shared" si="51"/>
        <v>1200</v>
      </c>
      <c r="K110" s="195">
        <f t="shared" si="51"/>
        <v>1200</v>
      </c>
      <c r="L110" s="195">
        <f t="shared" si="51"/>
        <v>1200</v>
      </c>
      <c r="M110" s="57"/>
    </row>
    <row r="111" spans="1:13" ht="12.75" customHeight="1">
      <c r="A111" s="276"/>
      <c r="B111" s="195"/>
      <c r="C111" s="195"/>
      <c r="D111" s="195"/>
      <c r="E111" s="195"/>
      <c r="F111" s="195"/>
      <c r="G111" s="195"/>
      <c r="H111" s="195"/>
      <c r="I111" s="195"/>
      <c r="J111" s="195"/>
      <c r="K111" s="195"/>
      <c r="L111" s="195"/>
      <c r="M111" s="44"/>
    </row>
    <row r="112" spans="1:13" ht="12.75" customHeight="1">
      <c r="A112" s="278"/>
      <c r="B112" s="5"/>
      <c r="C112" s="279"/>
      <c r="D112" s="279"/>
      <c r="E112" s="279"/>
      <c r="F112" s="279"/>
      <c r="G112" s="279"/>
      <c r="H112" s="279"/>
      <c r="I112" s="279"/>
      <c r="J112" s="279"/>
      <c r="K112" s="279"/>
      <c r="L112" s="279"/>
      <c r="M112" s="516"/>
    </row>
    <row r="113" spans="1:13" ht="4.5" customHeight="1"/>
    <row r="114" spans="1:13" s="59" customFormat="1" ht="12.75" customHeight="1">
      <c r="A114" s="284"/>
      <c r="B114" s="39"/>
      <c r="C114" s="39"/>
      <c r="D114" s="39"/>
      <c r="E114" s="39"/>
      <c r="F114" s="39"/>
      <c r="G114" s="39"/>
      <c r="H114" s="39"/>
      <c r="I114" s="39"/>
      <c r="J114" s="39"/>
      <c r="K114" s="39"/>
      <c r="L114" s="39"/>
      <c r="M114" s="57"/>
    </row>
    <row r="115" spans="1:13" s="59" customFormat="1" ht="12.75" customHeight="1">
      <c r="A115" s="274"/>
      <c r="B115" s="275"/>
      <c r="C115" s="275"/>
      <c r="D115" s="275"/>
      <c r="E115" s="286"/>
      <c r="F115" s="38"/>
      <c r="G115" s="38"/>
      <c r="H115" s="298"/>
      <c r="I115" s="298"/>
      <c r="J115" s="298"/>
      <c r="K115" s="298"/>
      <c r="L115" s="298"/>
      <c r="M115" s="57"/>
    </row>
    <row r="116" spans="1:13" s="59" customFormat="1" ht="12.75" customHeight="1">
      <c r="A116" s="276"/>
      <c r="B116" s="52"/>
      <c r="C116" s="195"/>
      <c r="D116" s="39"/>
      <c r="E116" s="267"/>
      <c r="F116" s="267"/>
      <c r="G116" s="267"/>
      <c r="H116" s="267"/>
      <c r="I116" s="267"/>
      <c r="J116" s="267"/>
      <c r="K116" s="267"/>
      <c r="L116" s="267"/>
      <c r="M116" s="57"/>
    </row>
    <row r="117" spans="1:13" s="59" customFormat="1" ht="3" customHeight="1">
      <c r="A117" s="276"/>
      <c r="B117" s="52"/>
      <c r="C117" s="195"/>
      <c r="D117" s="39"/>
      <c r="E117" s="267"/>
      <c r="F117" s="267"/>
      <c r="G117" s="267"/>
      <c r="H117" s="267"/>
      <c r="I117" s="267"/>
      <c r="J117" s="39"/>
      <c r="K117" s="39"/>
      <c r="L117" s="39"/>
      <c r="M117" s="57"/>
    </row>
    <row r="118" spans="1:13" ht="12.75" customHeight="1">
      <c r="A118" s="280"/>
      <c r="B118" s="281"/>
      <c r="C118" s="281"/>
      <c r="D118" s="281"/>
      <c r="E118" s="282"/>
      <c r="F118" s="281"/>
      <c r="G118" s="281"/>
      <c r="H118" s="281"/>
      <c r="I118" s="281"/>
      <c r="J118" s="281"/>
      <c r="K118" s="281"/>
      <c r="L118" s="281"/>
      <c r="M118" s="515"/>
    </row>
    <row r="119" spans="1:13" ht="12.75" customHeight="1">
      <c r="A119" s="276"/>
      <c r="B119" s="267"/>
      <c r="C119" s="267"/>
      <c r="D119" s="267"/>
      <c r="E119" s="267"/>
      <c r="F119" s="267"/>
      <c r="G119" s="267"/>
      <c r="H119" s="267"/>
      <c r="I119" s="267"/>
      <c r="J119" s="267"/>
      <c r="K119" s="267"/>
      <c r="L119" s="267"/>
      <c r="M119" s="277"/>
    </row>
    <row r="120" spans="1:13" ht="12.75" customHeight="1">
      <c r="A120" s="278"/>
      <c r="B120" s="196"/>
      <c r="C120" s="196"/>
      <c r="D120" s="196"/>
      <c r="E120" s="196"/>
      <c r="F120" s="196"/>
      <c r="G120" s="196"/>
      <c r="H120" s="196"/>
      <c r="I120" s="196"/>
      <c r="J120" s="196"/>
      <c r="K120" s="196"/>
      <c r="L120" s="196"/>
      <c r="M120" s="197"/>
    </row>
    <row r="121" spans="1:13" ht="6" customHeight="1"/>
    <row r="122" spans="1:13" s="59" customFormat="1" ht="12.75" customHeight="1">
      <c r="A122" s="283"/>
      <c r="B122" s="225"/>
      <c r="C122" s="225"/>
      <c r="D122" s="225"/>
      <c r="E122" s="225"/>
      <c r="F122" s="225"/>
      <c r="G122" s="225"/>
      <c r="H122" s="225"/>
      <c r="I122" s="225"/>
      <c r="J122" s="225"/>
      <c r="K122" s="225"/>
      <c r="L122" s="225"/>
      <c r="M122" s="226"/>
    </row>
    <row r="123" spans="1:13" s="59" customFormat="1" ht="12.75" customHeight="1">
      <c r="A123" s="294"/>
      <c r="B123" s="275"/>
      <c r="C123" s="275"/>
      <c r="D123" s="275"/>
      <c r="E123" s="286"/>
      <c r="F123" s="286"/>
      <c r="G123" s="286"/>
      <c r="H123" s="286"/>
      <c r="I123" s="287"/>
      <c r="J123" s="287"/>
      <c r="K123" s="287"/>
      <c r="L123" s="287"/>
      <c r="M123" s="57"/>
    </row>
    <row r="124" spans="1:13" s="59" customFormat="1" ht="12.75" customHeight="1">
      <c r="A124" s="379"/>
      <c r="B124" s="52"/>
      <c r="C124" s="195"/>
      <c r="D124" s="39"/>
      <c r="E124" s="267"/>
      <c r="F124" s="267"/>
      <c r="G124" s="267"/>
      <c r="H124" s="267"/>
      <c r="I124" s="267"/>
      <c r="J124" s="267"/>
      <c r="K124" s="267"/>
      <c r="L124" s="267"/>
      <c r="M124" s="57"/>
    </row>
    <row r="125" spans="1:13" s="59" customFormat="1">
      <c r="A125" s="379"/>
      <c r="B125" s="52"/>
      <c r="C125" s="195"/>
      <c r="D125" s="39"/>
      <c r="E125" s="267"/>
      <c r="F125" s="267"/>
      <c r="G125" s="267"/>
      <c r="H125" s="267"/>
      <c r="I125" s="267"/>
      <c r="J125" s="39"/>
      <c r="K125" s="39"/>
      <c r="L125" s="39"/>
      <c r="M125" s="57"/>
    </row>
    <row r="126" spans="1:13" s="59" customFormat="1">
      <c r="A126" s="379"/>
      <c r="B126" s="52"/>
      <c r="C126" s="195"/>
      <c r="D126" s="39"/>
      <c r="E126" s="267"/>
      <c r="F126" s="267"/>
      <c r="G126" s="267"/>
      <c r="H126" s="267"/>
      <c r="I126" s="267"/>
      <c r="J126" s="39"/>
      <c r="K126" s="39"/>
      <c r="L126" s="39"/>
      <c r="M126" s="57"/>
    </row>
    <row r="127" spans="1:13" ht="12.75" customHeight="1">
      <c r="A127" s="380"/>
      <c r="B127" s="281"/>
      <c r="C127" s="281"/>
      <c r="D127" s="281"/>
      <c r="E127" s="282"/>
      <c r="F127" s="281"/>
      <c r="G127" s="281"/>
      <c r="H127" s="281"/>
      <c r="I127" s="281"/>
      <c r="J127" s="281"/>
      <c r="K127" s="281"/>
      <c r="L127" s="281"/>
      <c r="M127" s="515"/>
    </row>
    <row r="128" spans="1:13" ht="12.75" customHeight="1">
      <c r="A128" s="379"/>
      <c r="B128" s="267"/>
      <c r="C128" s="267"/>
      <c r="D128" s="267"/>
      <c r="E128" s="267"/>
      <c r="F128" s="267"/>
      <c r="G128" s="267"/>
      <c r="H128" s="267"/>
      <c r="I128" s="267"/>
      <c r="J128" s="267"/>
      <c r="K128" s="267"/>
      <c r="L128" s="267"/>
      <c r="M128" s="277"/>
    </row>
    <row r="129" spans="1:13" ht="12.75" customHeight="1">
      <c r="A129" s="379"/>
      <c r="B129" s="267"/>
      <c r="C129" s="267"/>
      <c r="D129" s="267"/>
      <c r="E129" s="267"/>
      <c r="F129" s="267"/>
      <c r="G129" s="267"/>
      <c r="H129" s="267"/>
      <c r="I129" s="267"/>
      <c r="J129" s="267"/>
      <c r="K129" s="267"/>
      <c r="L129" s="267"/>
      <c r="M129" s="277"/>
    </row>
    <row r="130" spans="1:13" ht="12.75" customHeight="1">
      <c r="A130" s="381"/>
      <c r="B130" s="196"/>
      <c r="C130" s="196"/>
      <c r="D130" s="196"/>
      <c r="E130" s="196"/>
      <c r="F130" s="196"/>
      <c r="G130" s="196"/>
      <c r="H130" s="196"/>
      <c r="I130" s="196"/>
      <c r="J130" s="196"/>
      <c r="K130" s="196"/>
      <c r="L130" s="196"/>
      <c r="M130" s="197"/>
    </row>
    <row r="131" spans="1:13" ht="12.75" customHeight="1">
      <c r="A131" s="276"/>
      <c r="B131" s="195"/>
      <c r="C131" s="195"/>
      <c r="D131" s="195"/>
      <c r="E131" s="195"/>
      <c r="F131" s="195"/>
      <c r="G131" s="195"/>
      <c r="H131" s="195"/>
      <c r="I131" s="195"/>
      <c r="J131" s="195"/>
      <c r="K131" s="195"/>
      <c r="L131" s="195"/>
      <c r="M131" s="44"/>
    </row>
    <row r="132" spans="1:13" ht="12.75" customHeight="1">
      <c r="C132" s="267"/>
      <c r="D132" s="267"/>
      <c r="E132" s="267"/>
    </row>
    <row r="133" spans="1:13" ht="12.75" customHeight="1">
      <c r="A133" s="348" t="s">
        <v>672</v>
      </c>
      <c r="B133" s="351" t="s">
        <v>535</v>
      </c>
      <c r="C133" s="349">
        <v>2011</v>
      </c>
      <c r="D133" s="349">
        <v>2012</v>
      </c>
      <c r="E133" s="349">
        <v>2013</v>
      </c>
      <c r="F133" s="349">
        <v>2014</v>
      </c>
      <c r="G133" s="349">
        <v>2015</v>
      </c>
      <c r="H133" s="517">
        <v>2016</v>
      </c>
      <c r="I133" s="517">
        <v>2017</v>
      </c>
      <c r="J133" s="517">
        <v>2018</v>
      </c>
      <c r="K133" s="517"/>
      <c r="L133" s="517"/>
      <c r="M133" s="518"/>
    </row>
    <row r="134" spans="1:13" ht="12.75" customHeight="1">
      <c r="A134" s="43" t="s">
        <v>673</v>
      </c>
      <c r="B134" s="251">
        <v>117666</v>
      </c>
      <c r="C134" s="195">
        <f>B134+B135</f>
        <v>117666</v>
      </c>
      <c r="D134" s="195">
        <f t="shared" ref="D134:G134" si="52">C134+C135</f>
        <v>117666</v>
      </c>
      <c r="E134" s="195">
        <f t="shared" si="52"/>
        <v>117666</v>
      </c>
      <c r="F134" s="195">
        <f t="shared" si="52"/>
        <v>117666</v>
      </c>
      <c r="G134" s="195">
        <f t="shared" si="52"/>
        <v>117666</v>
      </c>
      <c r="H134" s="195">
        <f>G134+G135</f>
        <v>117666</v>
      </c>
      <c r="I134" s="195">
        <f t="shared" ref="I134:J134" si="53">H134+H135</f>
        <v>117666</v>
      </c>
      <c r="J134" s="195">
        <f t="shared" si="53"/>
        <v>117666</v>
      </c>
      <c r="K134" s="2"/>
      <c r="L134" s="2"/>
      <c r="M134" s="6"/>
    </row>
    <row r="135" spans="1:13" ht="12.75" customHeight="1">
      <c r="A135" s="43" t="s">
        <v>674</v>
      </c>
      <c r="B135" s="251">
        <v>0</v>
      </c>
      <c r="C135" s="195">
        <f>B135</f>
        <v>0</v>
      </c>
      <c r="D135" s="195">
        <f t="shared" ref="D135:G136" si="54">C135</f>
        <v>0</v>
      </c>
      <c r="E135" s="195">
        <f t="shared" si="54"/>
        <v>0</v>
      </c>
      <c r="F135" s="195">
        <f t="shared" si="54"/>
        <v>0</v>
      </c>
      <c r="G135" s="195">
        <f t="shared" si="54"/>
        <v>0</v>
      </c>
      <c r="H135" s="195">
        <f>G135</f>
        <v>0</v>
      </c>
      <c r="I135" s="195">
        <f t="shared" ref="I135:J136" si="55">H135</f>
        <v>0</v>
      </c>
      <c r="J135" s="195">
        <f t="shared" si="55"/>
        <v>0</v>
      </c>
      <c r="K135" s="2"/>
      <c r="L135" s="2"/>
      <c r="M135" s="6"/>
    </row>
    <row r="136" spans="1:13" ht="12.75" customHeight="1">
      <c r="A136" s="43" t="s">
        <v>560</v>
      </c>
      <c r="B136" s="251">
        <v>-3956</v>
      </c>
      <c r="C136" s="195">
        <f>B136</f>
        <v>-3956</v>
      </c>
      <c r="D136" s="195">
        <f t="shared" si="54"/>
        <v>-3956</v>
      </c>
      <c r="E136" s="195">
        <f t="shared" si="54"/>
        <v>-3956</v>
      </c>
      <c r="F136" s="195">
        <f t="shared" si="54"/>
        <v>-3956</v>
      </c>
      <c r="G136" s="195">
        <f t="shared" si="54"/>
        <v>-3956</v>
      </c>
      <c r="H136" s="195">
        <f>G136</f>
        <v>-3956</v>
      </c>
      <c r="I136" s="195">
        <f t="shared" si="55"/>
        <v>-3956</v>
      </c>
      <c r="J136" s="195">
        <f t="shared" si="55"/>
        <v>-3956</v>
      </c>
      <c r="K136" s="2"/>
      <c r="L136" s="2"/>
      <c r="M136" s="6"/>
    </row>
    <row r="137" spans="1:13" ht="12.75" customHeight="1">
      <c r="A137" s="66" t="s">
        <v>675</v>
      </c>
      <c r="B137" s="336">
        <v>-20952</v>
      </c>
      <c r="C137" s="196">
        <f>B137+C136</f>
        <v>-24908</v>
      </c>
      <c r="D137" s="196">
        <f t="shared" ref="D137:G137" si="56">C137+D136</f>
        <v>-28864</v>
      </c>
      <c r="E137" s="196">
        <f t="shared" si="56"/>
        <v>-32820</v>
      </c>
      <c r="F137" s="196">
        <f t="shared" si="56"/>
        <v>-36776</v>
      </c>
      <c r="G137" s="196">
        <f t="shared" si="56"/>
        <v>-40732</v>
      </c>
      <c r="H137" s="196">
        <f>G137+H136</f>
        <v>-44688</v>
      </c>
      <c r="I137" s="196">
        <f t="shared" ref="I137:J137" si="57">H137+I136</f>
        <v>-48644</v>
      </c>
      <c r="J137" s="196">
        <f t="shared" si="57"/>
        <v>-52600</v>
      </c>
      <c r="K137" s="5"/>
      <c r="L137" s="5"/>
      <c r="M137" s="25"/>
    </row>
    <row r="151" ht="3.75" customHeight="1"/>
    <row r="161" ht="3.75" customHeight="1"/>
    <row r="171" ht="3.75" customHeight="1"/>
    <row r="184" ht="4.5" customHeight="1"/>
    <row r="188" ht="3" customHeight="1"/>
    <row r="192" ht="6" customHeight="1"/>
  </sheetData>
  <pageMargins left="0.7" right="0.7" top="0.75" bottom="0.75" header="0.3" footer="0.3"/>
  <pageSetup orientation="portrait" r:id="rId1"/>
  <ignoredErrors>
    <ignoredError sqref="B68:D68 B78:D78" formulaRange="1"/>
  </ignoredErrors>
</worksheet>
</file>

<file path=xl/worksheets/sheet12.xml><?xml version="1.0" encoding="utf-8"?>
<worksheet xmlns="http://schemas.openxmlformats.org/spreadsheetml/2006/main" xmlns:r="http://schemas.openxmlformats.org/officeDocument/2006/relationships">
  <dimension ref="A1:J80"/>
  <sheetViews>
    <sheetView showGridLines="0" topLeftCell="A6" workbookViewId="0">
      <selection activeCell="B28" sqref="B28"/>
    </sheetView>
  </sheetViews>
  <sheetFormatPr defaultRowHeight="12"/>
  <cols>
    <col min="1" max="1" width="30.42578125" style="59" customWidth="1"/>
    <col min="2" max="2" width="9.42578125" style="59" bestFit="1" customWidth="1"/>
    <col min="3" max="4" width="9.140625" style="59"/>
    <col min="5" max="7" width="10" style="59" bestFit="1" customWidth="1"/>
    <col min="8" max="16384" width="9.140625" style="59"/>
  </cols>
  <sheetData>
    <row r="1" spans="1:10" ht="15.95" customHeight="1">
      <c r="A1" s="36">
        <f>Info!B6</f>
        <v>0</v>
      </c>
    </row>
    <row r="2" spans="1:10" ht="15.95" customHeight="1">
      <c r="A2" s="37" t="s">
        <v>561</v>
      </c>
    </row>
    <row r="3" spans="1:10" ht="8.25" customHeight="1"/>
    <row r="4" spans="1:10" ht="15.95" customHeight="1">
      <c r="A4" s="305" t="s">
        <v>571</v>
      </c>
      <c r="B4" s="306">
        <v>2009</v>
      </c>
      <c r="C4" s="306">
        <v>2010</v>
      </c>
      <c r="D4" s="306">
        <v>2011</v>
      </c>
      <c r="E4" s="306">
        <v>2012</v>
      </c>
      <c r="F4" s="306" t="s">
        <v>537</v>
      </c>
      <c r="G4" s="306" t="s">
        <v>538</v>
      </c>
      <c r="H4" s="306" t="s">
        <v>539</v>
      </c>
      <c r="I4" s="306" t="s">
        <v>770</v>
      </c>
      <c r="J4" s="307" t="s">
        <v>771</v>
      </c>
    </row>
    <row r="5" spans="1:10" ht="15.95" customHeight="1">
      <c r="A5" s="43" t="s">
        <v>572</v>
      </c>
      <c r="B5" s="267">
        <f ca="1">'Financial statement'!G88</f>
        <v>0</v>
      </c>
      <c r="C5" s="267">
        <f ca="1">'Financial statement'!H88</f>
        <v>0</v>
      </c>
      <c r="D5" s="267">
        <f ca="1">'Financial statement'!I88</f>
        <v>0</v>
      </c>
      <c r="E5" s="267">
        <f ca="1">'Financial statement'!J88</f>
        <v>0</v>
      </c>
      <c r="F5" s="195">
        <f ca="1">E9</f>
        <v>0</v>
      </c>
      <c r="G5" s="51">
        <f ca="1">F9</f>
        <v>0</v>
      </c>
      <c r="H5" s="51">
        <f ca="1">G9</f>
        <v>0</v>
      </c>
      <c r="I5" s="51">
        <f ca="1">H9</f>
        <v>0</v>
      </c>
      <c r="J5" s="309">
        <f ca="1">I9</f>
        <v>0</v>
      </c>
    </row>
    <row r="6" spans="1:10" ht="15.95" customHeight="1">
      <c r="A6" s="43" t="s">
        <v>569</v>
      </c>
      <c r="B6" s="195">
        <f ca="1">B5*B11</f>
        <v>0</v>
      </c>
      <c r="C6" s="195">
        <f t="shared" ref="C6:F6" ca="1" si="0">C5*C11</f>
        <v>0</v>
      </c>
      <c r="D6" s="195">
        <f t="shared" ca="1" si="0"/>
        <v>0</v>
      </c>
      <c r="E6" s="195">
        <f t="shared" ca="1" si="0"/>
        <v>0</v>
      </c>
      <c r="F6" s="195">
        <f t="shared" ca="1" si="0"/>
        <v>0</v>
      </c>
      <c r="G6" s="51">
        <f>G19+G31</f>
        <v>0</v>
      </c>
      <c r="H6" s="51">
        <f>H19+H31</f>
        <v>0</v>
      </c>
      <c r="I6" s="51">
        <f>I19+I31</f>
        <v>0</v>
      </c>
      <c r="J6" s="244">
        <f>J19+J31</f>
        <v>0</v>
      </c>
    </row>
    <row r="7" spans="1:10" ht="15.95" customHeight="1">
      <c r="A7" s="43" t="s">
        <v>567</v>
      </c>
      <c r="B7" s="295"/>
      <c r="C7" s="295"/>
      <c r="D7" s="295"/>
      <c r="E7" s="295"/>
      <c r="F7" s="310">
        <f>F20+F31</f>
        <v>0</v>
      </c>
      <c r="G7" s="310">
        <f>G20+G31</f>
        <v>0</v>
      </c>
      <c r="H7" s="310">
        <f>H20+H31</f>
        <v>0</v>
      </c>
      <c r="I7" s="310">
        <f>I20+I31</f>
        <v>0</v>
      </c>
      <c r="J7" s="311">
        <f>J20+J31</f>
        <v>0</v>
      </c>
    </row>
    <row r="8" spans="1:10" ht="15.95" customHeight="1">
      <c r="A8" s="43" t="s">
        <v>566</v>
      </c>
      <c r="B8" s="39"/>
      <c r="C8" s="39"/>
      <c r="D8" s="39"/>
      <c r="E8" s="39"/>
      <c r="F8" s="39"/>
      <c r="G8" s="51">
        <f>G18+G29</f>
        <v>0</v>
      </c>
      <c r="H8" s="51">
        <f>H18+H29</f>
        <v>0</v>
      </c>
      <c r="I8" s="51">
        <f>I18+I29</f>
        <v>0</v>
      </c>
      <c r="J8" s="244">
        <f>J18+J29</f>
        <v>0</v>
      </c>
    </row>
    <row r="9" spans="1:10" ht="15.95" customHeight="1">
      <c r="A9" s="43" t="s">
        <v>568</v>
      </c>
      <c r="B9" s="267">
        <f ca="1">'Financial statement'!E88</f>
        <v>0</v>
      </c>
      <c r="C9" s="267">
        <f ca="1">'Financial statement'!F88</f>
        <v>0</v>
      </c>
      <c r="D9" s="267">
        <f ca="1">'Financial statement'!G88</f>
        <v>0</v>
      </c>
      <c r="E9" s="195">
        <f ca="1">'Financial statement'!H88</f>
        <v>0</v>
      </c>
      <c r="F9" s="51">
        <f ca="1">F5-F6-F7+F8</f>
        <v>0</v>
      </c>
      <c r="G9" s="51">
        <f ca="1">G5-G6-G7+G8</f>
        <v>0</v>
      </c>
      <c r="H9" s="51">
        <f ca="1">H5-H6-H7+H8</f>
        <v>0</v>
      </c>
      <c r="I9" s="51">
        <f ca="1">I5-I6-I7+I8</f>
        <v>0</v>
      </c>
      <c r="J9" s="244">
        <f ca="1">J5-J6-J7+J8</f>
        <v>0</v>
      </c>
    </row>
    <row r="10" spans="1:10" ht="15.95" customHeight="1">
      <c r="A10" s="43" t="s">
        <v>570</v>
      </c>
      <c r="B10" s="51">
        <f ca="1">B6+B7</f>
        <v>0</v>
      </c>
      <c r="C10" s="51">
        <f t="shared" ref="C10:J10" ca="1" si="1">C6+C7</f>
        <v>0</v>
      </c>
      <c r="D10" s="51">
        <f t="shared" ca="1" si="1"/>
        <v>0</v>
      </c>
      <c r="E10" s="51">
        <f t="shared" ca="1" si="1"/>
        <v>0</v>
      </c>
      <c r="F10" s="51">
        <f t="shared" ca="1" si="1"/>
        <v>0</v>
      </c>
      <c r="G10" s="51">
        <f t="shared" si="1"/>
        <v>0</v>
      </c>
      <c r="H10" s="51">
        <f t="shared" si="1"/>
        <v>0</v>
      </c>
      <c r="I10" s="51">
        <f t="shared" si="1"/>
        <v>0</v>
      </c>
      <c r="J10" s="244">
        <f t="shared" si="1"/>
        <v>0</v>
      </c>
    </row>
    <row r="11" spans="1:10" ht="15.95" customHeight="1">
      <c r="A11" s="66" t="s">
        <v>573</v>
      </c>
      <c r="B11" s="259">
        <v>0.14399999999999999</v>
      </c>
      <c r="C11" s="259">
        <v>0.14399999999999999</v>
      </c>
      <c r="D11" s="259">
        <v>0.104</v>
      </c>
      <c r="E11" s="259">
        <v>0.104</v>
      </c>
      <c r="F11" s="296"/>
      <c r="G11" s="296"/>
      <c r="H11" s="296"/>
      <c r="I11" s="296"/>
      <c r="J11" s="297"/>
    </row>
    <row r="12" spans="1:10" ht="3" customHeight="1"/>
    <row r="13" spans="1:10" ht="15.95" customHeight="1">
      <c r="A13" s="305" t="s">
        <v>574</v>
      </c>
      <c r="B13" s="306">
        <v>2009</v>
      </c>
      <c r="C13" s="306">
        <v>2010</v>
      </c>
      <c r="D13" s="306">
        <v>2011</v>
      </c>
      <c r="E13" s="306">
        <v>2012</v>
      </c>
      <c r="F13" s="306" t="s">
        <v>537</v>
      </c>
      <c r="G13" s="306" t="s">
        <v>538</v>
      </c>
      <c r="H13" s="306" t="s">
        <v>539</v>
      </c>
      <c r="I13" s="306" t="s">
        <v>770</v>
      </c>
      <c r="J13" s="307" t="s">
        <v>771</v>
      </c>
    </row>
    <row r="14" spans="1:10" ht="15" customHeight="1">
      <c r="A14" s="200"/>
      <c r="B14" s="298"/>
      <c r="C14" s="298"/>
      <c r="D14" s="298"/>
      <c r="E14" s="298"/>
      <c r="F14" s="298"/>
      <c r="G14" s="302">
        <v>1</v>
      </c>
      <c r="H14" s="302">
        <v>2</v>
      </c>
      <c r="I14" s="302">
        <v>3</v>
      </c>
      <c r="J14" s="308">
        <v>4</v>
      </c>
    </row>
    <row r="15" spans="1:10" ht="15.95" customHeight="1">
      <c r="A15" s="284">
        <f>CAPEX!A132</f>
        <v>0</v>
      </c>
      <c r="B15" s="39"/>
      <c r="C15" s="39"/>
      <c r="D15" s="39"/>
      <c r="E15" s="39"/>
      <c r="F15" s="39"/>
      <c r="G15" s="39"/>
      <c r="H15" s="39"/>
      <c r="I15" s="39"/>
      <c r="J15" s="57"/>
    </row>
    <row r="16" spans="1:10" ht="15.95" customHeight="1">
      <c r="A16" s="43" t="s">
        <v>541</v>
      </c>
      <c r="B16" s="195"/>
      <c r="C16" s="195"/>
      <c r="D16" s="195"/>
      <c r="E16" s="195">
        <f>CAPEX!D118</f>
        <v>0</v>
      </c>
      <c r="F16" s="195">
        <f>CAPEX!E118</f>
        <v>0</v>
      </c>
      <c r="G16" s="195">
        <f>CAPEX!F118</f>
        <v>0</v>
      </c>
      <c r="H16" s="195">
        <f>CAPEX!G118</f>
        <v>0</v>
      </c>
      <c r="I16" s="195">
        <f>CAPEX!H118</f>
        <v>0</v>
      </c>
      <c r="J16" s="44">
        <f>CAPEX!I118</f>
        <v>0</v>
      </c>
    </row>
    <row r="17" spans="1:10" ht="15.95" customHeight="1">
      <c r="A17" s="43" t="s">
        <v>576</v>
      </c>
      <c r="B17" s="39"/>
      <c r="C17" s="39"/>
      <c r="D17" s="39"/>
      <c r="E17" s="255">
        <v>0</v>
      </c>
      <c r="F17" s="255">
        <v>0</v>
      </c>
      <c r="G17" s="255">
        <v>0</v>
      </c>
      <c r="H17" s="39"/>
      <c r="I17" s="39"/>
      <c r="J17" s="57"/>
    </row>
    <row r="18" spans="1:10" ht="15.95" customHeight="1">
      <c r="A18" s="43" t="s">
        <v>577</v>
      </c>
      <c r="B18" s="39"/>
      <c r="C18" s="39"/>
      <c r="D18" s="39"/>
      <c r="E18" s="51">
        <f>E16*E17</f>
        <v>0</v>
      </c>
      <c r="F18" s="51">
        <f t="shared" ref="F18:G18" si="2">F16*F17</f>
        <v>0</v>
      </c>
      <c r="G18" s="51">
        <f t="shared" si="2"/>
        <v>0</v>
      </c>
      <c r="H18" s="51">
        <f>IF(G18&lt;G19+G20,0,G18-G19-G20)</f>
        <v>0</v>
      </c>
      <c r="I18" s="51">
        <f t="shared" ref="I18:J18" si="3">IF(H18&lt;H19+H20,0,H18-H19-H20)</f>
        <v>0</v>
      </c>
      <c r="J18" s="244">
        <f t="shared" si="3"/>
        <v>0</v>
      </c>
    </row>
    <row r="19" spans="1:10" ht="15.95" customHeight="1">
      <c r="A19" s="43" t="s">
        <v>569</v>
      </c>
      <c r="B19" s="39"/>
      <c r="C19" s="39"/>
      <c r="D19" s="39"/>
      <c r="E19" s="51">
        <f>E18*E23</f>
        <v>0</v>
      </c>
      <c r="F19" s="51">
        <f t="shared" ref="F19:G19" si="4">F18*F23</f>
        <v>0</v>
      </c>
      <c r="G19" s="51">
        <f t="shared" si="4"/>
        <v>0</v>
      </c>
      <c r="H19" s="51">
        <f t="shared" ref="H19" si="5">H18*H23</f>
        <v>0</v>
      </c>
      <c r="I19" s="51">
        <f t="shared" ref="I19" si="6">I18*I23</f>
        <v>0</v>
      </c>
      <c r="J19" s="244">
        <f t="shared" ref="J19" si="7">J18*J23</f>
        <v>0</v>
      </c>
    </row>
    <row r="20" spans="1:10" ht="15.95" customHeight="1">
      <c r="A20" s="43" t="s">
        <v>567</v>
      </c>
      <c r="B20" s="39"/>
      <c r="C20" s="39"/>
      <c r="D20" s="39"/>
      <c r="E20" s="195"/>
      <c r="F20" s="195"/>
      <c r="G20" s="195">
        <f>IF(G18=0,0,IF(G14&gt;$B$24,0,$B$22/$B$24))</f>
        <v>0</v>
      </c>
      <c r="H20" s="195">
        <f>IF(H18=0,0,IF(H14&gt;$B$24,0,$B$22/$B$24))</f>
        <v>0</v>
      </c>
      <c r="I20" s="195">
        <f>IF(I18=0,0,IF(I14&gt;$B$24,0,$B$22/$B$24))</f>
        <v>0</v>
      </c>
      <c r="J20" s="44">
        <f>IF(J18=0,0,IF(J14&gt;$B$24,0,$B$22/$B$24))</f>
        <v>0</v>
      </c>
    </row>
    <row r="21" spans="1:10" ht="15.95" customHeight="1">
      <c r="A21" s="43" t="s">
        <v>570</v>
      </c>
      <c r="B21" s="39"/>
      <c r="C21" s="39"/>
      <c r="D21" s="39"/>
      <c r="E21" s="51">
        <f t="shared" ref="E21:F21" si="8">E19+E20</f>
        <v>0</v>
      </c>
      <c r="F21" s="51">
        <f t="shared" si="8"/>
        <v>0</v>
      </c>
      <c r="G21" s="51">
        <f>G19+G20</f>
        <v>0</v>
      </c>
      <c r="H21" s="51">
        <f t="shared" ref="H21:J21" si="9">H19+H20</f>
        <v>0</v>
      </c>
      <c r="I21" s="51">
        <f t="shared" si="9"/>
        <v>0</v>
      </c>
      <c r="J21" s="244">
        <f t="shared" si="9"/>
        <v>0</v>
      </c>
    </row>
    <row r="22" spans="1:10" ht="15.95" customHeight="1">
      <c r="A22" s="43" t="s">
        <v>579</v>
      </c>
      <c r="B22" s="299">
        <f>G18</f>
        <v>0</v>
      </c>
      <c r="C22" s="39"/>
      <c r="D22" s="39"/>
      <c r="E22" s="39"/>
      <c r="F22" s="39"/>
      <c r="G22" s="39"/>
      <c r="H22" s="39"/>
      <c r="I22" s="39"/>
      <c r="J22" s="57"/>
    </row>
    <row r="23" spans="1:10" ht="15.95" customHeight="1">
      <c r="A23" s="43" t="s">
        <v>573</v>
      </c>
      <c r="B23" s="39"/>
      <c r="C23" s="39"/>
      <c r="D23" s="39"/>
      <c r="E23" s="255">
        <v>0.14399999999999999</v>
      </c>
      <c r="F23" s="255">
        <v>0.14399999999999999</v>
      </c>
      <c r="G23" s="255">
        <v>0.124</v>
      </c>
      <c r="H23" s="255">
        <v>0.124</v>
      </c>
      <c r="I23" s="255">
        <v>0.124</v>
      </c>
      <c r="J23" s="300">
        <v>0.124</v>
      </c>
    </row>
    <row r="24" spans="1:10" ht="15.95" customHeight="1">
      <c r="A24" s="43" t="s">
        <v>575</v>
      </c>
      <c r="B24" s="301">
        <v>4</v>
      </c>
      <c r="C24" s="302" t="s">
        <v>578</v>
      </c>
      <c r="D24" s="39"/>
      <c r="E24" s="39"/>
      <c r="F24" s="39"/>
      <c r="G24" s="39"/>
      <c r="H24" s="39"/>
      <c r="I24" s="39"/>
      <c r="J24" s="57"/>
    </row>
    <row r="25" spans="1:10" ht="5.25" customHeight="1">
      <c r="A25" s="43"/>
      <c r="B25" s="39"/>
      <c r="C25" s="39"/>
      <c r="D25" s="39"/>
      <c r="E25" s="39"/>
      <c r="F25" s="39"/>
      <c r="G25" s="39"/>
      <c r="H25" s="39"/>
      <c r="I25" s="39"/>
      <c r="J25" s="57"/>
    </row>
    <row r="26" spans="1:10" ht="15.95" customHeight="1">
      <c r="A26" s="284">
        <f>CAPEX!A142</f>
        <v>0</v>
      </c>
      <c r="B26" s="39"/>
      <c r="C26" s="39"/>
      <c r="D26" s="39"/>
      <c r="E26" s="39"/>
      <c r="F26" s="39"/>
      <c r="G26" s="39"/>
      <c r="H26" s="39"/>
      <c r="I26" s="39"/>
      <c r="J26" s="57"/>
    </row>
    <row r="27" spans="1:10" ht="15.95" customHeight="1">
      <c r="A27" s="43" t="s">
        <v>541</v>
      </c>
      <c r="B27" s="195"/>
      <c r="C27" s="195"/>
      <c r="D27" s="195"/>
      <c r="E27" s="195">
        <f>CAPEX!D120</f>
        <v>0</v>
      </c>
      <c r="F27" s="195">
        <f>CAPEX!E120</f>
        <v>0</v>
      </c>
      <c r="G27" s="195">
        <f>CAPEX!F120</f>
        <v>0</v>
      </c>
      <c r="H27" s="195">
        <f>CAPEX!G120</f>
        <v>0</v>
      </c>
      <c r="I27" s="195">
        <f>CAPEX!H120</f>
        <v>0</v>
      </c>
      <c r="J27" s="44">
        <f>CAPEX!I120</f>
        <v>0</v>
      </c>
    </row>
    <row r="28" spans="1:10" ht="15.95" customHeight="1">
      <c r="A28" s="43" t="s">
        <v>576</v>
      </c>
      <c r="B28" s="39"/>
      <c r="C28" s="39"/>
      <c r="D28" s="39"/>
      <c r="E28" s="255">
        <v>0</v>
      </c>
      <c r="F28" s="255">
        <v>0</v>
      </c>
      <c r="G28" s="255">
        <v>0</v>
      </c>
      <c r="H28" s="39"/>
      <c r="I28" s="39"/>
      <c r="J28" s="57"/>
    </row>
    <row r="29" spans="1:10" ht="15.95" customHeight="1">
      <c r="A29" s="43" t="s">
        <v>577</v>
      </c>
      <c r="B29" s="39"/>
      <c r="C29" s="39"/>
      <c r="D29" s="39"/>
      <c r="E29" s="51">
        <f>E27*E28</f>
        <v>0</v>
      </c>
      <c r="F29" s="51">
        <f t="shared" ref="F29" si="10">F27*F28</f>
        <v>0</v>
      </c>
      <c r="G29" s="51">
        <f t="shared" ref="G29" si="11">G27*G28</f>
        <v>0</v>
      </c>
      <c r="H29" s="51">
        <f>IF(G29&lt;G30+G31,0,G29-G30-G31)</f>
        <v>0</v>
      </c>
      <c r="I29" s="51">
        <f t="shared" ref="I29:J29" si="12">IF(H29&lt;H30+H31,0,H29-H30-H31)</f>
        <v>0</v>
      </c>
      <c r="J29" s="244">
        <f t="shared" si="12"/>
        <v>0</v>
      </c>
    </row>
    <row r="30" spans="1:10" ht="15.95" customHeight="1">
      <c r="A30" s="43" t="s">
        <v>569</v>
      </c>
      <c r="B30" s="39"/>
      <c r="C30" s="39"/>
      <c r="D30" s="39"/>
      <c r="E30" s="51">
        <f>E29*E34</f>
        <v>0</v>
      </c>
      <c r="F30" s="51">
        <f t="shared" ref="F30" si="13">F29*F34</f>
        <v>0</v>
      </c>
      <c r="G30" s="51">
        <f t="shared" ref="G30" si="14">G29*G34</f>
        <v>0</v>
      </c>
      <c r="H30" s="51">
        <f t="shared" ref="H30" si="15">H29*H34</f>
        <v>0</v>
      </c>
      <c r="I30" s="51">
        <f t="shared" ref="I30" si="16">I29*I34</f>
        <v>0</v>
      </c>
      <c r="J30" s="244">
        <f t="shared" ref="J30" si="17">J29*J34</f>
        <v>0</v>
      </c>
    </row>
    <row r="31" spans="1:10" ht="15.95" customHeight="1">
      <c r="A31" s="43" t="s">
        <v>567</v>
      </c>
      <c r="B31" s="39"/>
      <c r="C31" s="39"/>
      <c r="D31" s="39"/>
      <c r="E31" s="195"/>
      <c r="F31" s="195"/>
      <c r="G31" s="195">
        <f>IF(G29=0,0,IF(G14&gt;$B$35,0,$B$33/$B$35))</f>
        <v>0</v>
      </c>
      <c r="H31" s="195">
        <f t="shared" ref="H31:J31" si="18">IF(H29=0,0,IF(H14&gt;$B$35,0,$B$33/$B$35))</f>
        <v>0</v>
      </c>
      <c r="I31" s="195">
        <f>IF(I29=0,0,IF(I14&gt;$B$35,0,$B$33/$B$35))</f>
        <v>0</v>
      </c>
      <c r="J31" s="44">
        <f t="shared" si="18"/>
        <v>0</v>
      </c>
    </row>
    <row r="32" spans="1:10" ht="15.95" customHeight="1">
      <c r="A32" s="43" t="s">
        <v>570</v>
      </c>
      <c r="B32" s="39"/>
      <c r="C32" s="39"/>
      <c r="D32" s="39"/>
      <c r="E32" s="51">
        <f t="shared" ref="E32" si="19">E30+E31</f>
        <v>0</v>
      </c>
      <c r="F32" s="51">
        <f t="shared" ref="F32" si="20">F30+F31</f>
        <v>0</v>
      </c>
      <c r="G32" s="51">
        <f>G30+G31</f>
        <v>0</v>
      </c>
      <c r="H32" s="51">
        <f t="shared" ref="H32" si="21">H30+H31</f>
        <v>0</v>
      </c>
      <c r="I32" s="51">
        <f t="shared" ref="I32" si="22">I30+I31</f>
        <v>0</v>
      </c>
      <c r="J32" s="244">
        <f t="shared" ref="J32" si="23">J30+J31</f>
        <v>0</v>
      </c>
    </row>
    <row r="33" spans="1:10" ht="15.95" customHeight="1">
      <c r="A33" s="43" t="s">
        <v>579</v>
      </c>
      <c r="B33" s="299">
        <f>G29</f>
        <v>0</v>
      </c>
      <c r="C33" s="39"/>
      <c r="D33" s="39"/>
      <c r="E33" s="39"/>
      <c r="F33" s="39"/>
      <c r="G33" s="39"/>
      <c r="H33" s="39"/>
      <c r="I33" s="39"/>
      <c r="J33" s="57"/>
    </row>
    <row r="34" spans="1:10" ht="15.95" customHeight="1">
      <c r="A34" s="43" t="s">
        <v>573</v>
      </c>
      <c r="B34" s="39"/>
      <c r="C34" s="39"/>
      <c r="D34" s="39"/>
      <c r="E34" s="255">
        <v>0.14399999999999999</v>
      </c>
      <c r="F34" s="255">
        <v>0.14399999999999999</v>
      </c>
      <c r="G34" s="255">
        <v>0.124</v>
      </c>
      <c r="H34" s="255">
        <v>0.124</v>
      </c>
      <c r="I34" s="255">
        <v>0.124</v>
      </c>
      <c r="J34" s="300">
        <v>0.124</v>
      </c>
    </row>
    <row r="35" spans="1:10" ht="15.95" customHeight="1">
      <c r="A35" s="66" t="s">
        <v>575</v>
      </c>
      <c r="B35" s="303">
        <v>4</v>
      </c>
      <c r="C35" s="304" t="s">
        <v>578</v>
      </c>
      <c r="D35" s="62"/>
      <c r="E35" s="62"/>
      <c r="F35" s="62"/>
      <c r="G35" s="62"/>
      <c r="H35" s="62"/>
      <c r="I35" s="62"/>
      <c r="J35" s="63"/>
    </row>
    <row r="36" spans="1:10" ht="15.95" customHeight="1"/>
    <row r="37" spans="1:10" ht="15.95" customHeight="1"/>
    <row r="38" spans="1:10" ht="15.95" customHeight="1"/>
    <row r="39" spans="1:10" ht="15.95" customHeight="1"/>
    <row r="40" spans="1:10" ht="15.95" customHeight="1"/>
    <row r="41" spans="1:10" ht="15.95" customHeight="1"/>
    <row r="42" spans="1:10" ht="15.95" customHeight="1"/>
    <row r="43" spans="1:10" ht="15.95" customHeight="1"/>
    <row r="44" spans="1:10" ht="15.95" customHeight="1"/>
    <row r="45" spans="1:10" ht="15.95" customHeight="1"/>
    <row r="46" spans="1:10" ht="15.95" customHeight="1"/>
    <row r="47" spans="1:10" ht="15.95" customHeight="1"/>
    <row r="48" spans="1:10"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K44"/>
  <sheetViews>
    <sheetView showGridLines="0" workbookViewId="0">
      <pane xSplit="1" ySplit="4" topLeftCell="B14" activePane="bottomRight" state="frozen"/>
      <selection pane="topRight" activeCell="B1" sqref="B1"/>
      <selection pane="bottomLeft" activeCell="A5" sqref="A5"/>
      <selection pane="bottomRight" activeCell="F33" sqref="F33"/>
    </sheetView>
  </sheetViews>
  <sheetFormatPr defaultRowHeight="15.95" customHeight="1"/>
  <cols>
    <col min="1" max="1" width="48" style="59" bestFit="1" customWidth="1"/>
    <col min="2" max="3" width="10.5703125" style="59" bestFit="1" customWidth="1"/>
    <col min="4" max="4" width="10.7109375" style="59" customWidth="1"/>
    <col min="5" max="5" width="11.28515625" style="59" customWidth="1"/>
    <col min="6" max="6" width="10.42578125" style="59" customWidth="1"/>
    <col min="7" max="7" width="11.42578125" style="59" customWidth="1"/>
    <col min="8" max="8" width="12" style="59" customWidth="1"/>
    <col min="9" max="9" width="12.28515625" style="59" customWidth="1"/>
    <col min="10" max="11" width="11.42578125" style="59" customWidth="1"/>
    <col min="12" max="16384" width="9.140625" style="59"/>
  </cols>
  <sheetData>
    <row r="1" spans="1:11" ht="15.95" customHeight="1">
      <c r="A1" s="59">
        <f>Info!B6</f>
        <v>0</v>
      </c>
    </row>
    <row r="2" spans="1:11" ht="15.95" customHeight="1">
      <c r="A2" s="343" t="s">
        <v>708</v>
      </c>
    </row>
    <row r="3" spans="1:11" ht="15.95" customHeight="1">
      <c r="F3" s="647" t="s">
        <v>486</v>
      </c>
      <c r="G3" s="647"/>
      <c r="H3" s="647"/>
      <c r="I3" s="647"/>
      <c r="J3" s="647"/>
    </row>
    <row r="4" spans="1:11" ht="15.95" customHeight="1">
      <c r="A4" s="368"/>
      <c r="B4" s="369">
        <v>2011</v>
      </c>
      <c r="C4" s="369">
        <f t="shared" ref="C4:K4" si="0">B4+1</f>
        <v>2012</v>
      </c>
      <c r="D4" s="369">
        <f t="shared" si="0"/>
        <v>2013</v>
      </c>
      <c r="E4" s="369">
        <f t="shared" si="0"/>
        <v>2014</v>
      </c>
      <c r="F4" s="376">
        <f t="shared" si="0"/>
        <v>2015</v>
      </c>
      <c r="G4" s="375">
        <f t="shared" si="0"/>
        <v>2016</v>
      </c>
      <c r="H4" s="375">
        <f t="shared" si="0"/>
        <v>2017</v>
      </c>
      <c r="I4" s="375">
        <f t="shared" si="0"/>
        <v>2018</v>
      </c>
      <c r="J4" s="377">
        <f t="shared" si="0"/>
        <v>2019</v>
      </c>
      <c r="K4" s="377">
        <f t="shared" si="0"/>
        <v>2020</v>
      </c>
    </row>
    <row r="5" spans="1:11" ht="15.95" customHeight="1">
      <c r="A5" s="237" t="s">
        <v>687</v>
      </c>
    </row>
    <row r="6" spans="1:11" ht="15.95" customHeight="1">
      <c r="A6" s="59" t="s">
        <v>688</v>
      </c>
      <c r="B6" s="272">
        <f ca="1">'Financial statement'!G112</f>
        <v>47040.089518000001</v>
      </c>
      <c r="C6" s="272">
        <f ca="1">'Financial statement'!H112</f>
        <v>18842.470161000001</v>
      </c>
      <c r="D6" s="272">
        <f ca="1">'Financial statement'!I112</f>
        <v>10730.692444</v>
      </c>
      <c r="E6" s="272">
        <f ca="1">'Financial statement'!J112</f>
        <v>10730.692444</v>
      </c>
      <c r="F6" s="272">
        <f ca="1">'PL&amp;BS Projection'!G21</f>
        <v>41493.715340776238</v>
      </c>
      <c r="G6" s="272">
        <f ca="1">'PL&amp;BS Projection'!H21</f>
        <v>37854.02304565582</v>
      </c>
      <c r="H6" s="272">
        <f ca="1">'PL&amp;BS Projection'!I21</f>
        <v>52159.392994276364</v>
      </c>
      <c r="I6" s="272">
        <f ca="1">'PL&amp;BS Projection'!J21</f>
        <v>67232.661994246562</v>
      </c>
      <c r="J6" s="272">
        <f ca="1">'PL&amp;BS Projection'!K21</f>
        <v>81442.452974221014</v>
      </c>
      <c r="K6" s="272">
        <f ca="1">'PL&amp;BS Projection'!L21</f>
        <v>89102.53976319838</v>
      </c>
    </row>
    <row r="7" spans="1:11" ht="15.95" customHeight="1">
      <c r="A7" s="59" t="s">
        <v>706</v>
      </c>
      <c r="B7" s="272"/>
      <c r="C7" s="272"/>
      <c r="D7" s="272"/>
      <c r="E7" s="272"/>
      <c r="F7" s="272"/>
      <c r="G7" s="272"/>
      <c r="H7" s="272"/>
      <c r="I7" s="272"/>
      <c r="J7" s="272"/>
      <c r="K7" s="272"/>
    </row>
    <row r="8" spans="1:11" ht="15.95" customHeight="1">
      <c r="A8" s="59" t="s">
        <v>689</v>
      </c>
      <c r="B8" s="272">
        <f ca="1">'Financial statement'!G114</f>
        <v>7952.5981869999996</v>
      </c>
      <c r="C8" s="272">
        <f ca="1">'Financial statement'!H114</f>
        <v>16059.227774000001</v>
      </c>
      <c r="D8" s="272">
        <f ca="1">'Financial statement'!I114</f>
        <v>11980.664847</v>
      </c>
      <c r="E8" s="272">
        <f ca="1">'Financial statement'!J114</f>
        <v>11980.664847</v>
      </c>
      <c r="F8" s="272">
        <f ca="1">'PL&amp;BS Projection'!F38-'PL&amp;BS Projection'!G38+'PL&amp;BS Projection'!F41-'PL&amp;BS Projection'!G41+'PL&amp;BS Projection'!F44-'PL&amp;BS Projection'!G44</f>
        <v>9694</v>
      </c>
      <c r="G8" s="272">
        <f ca="1">'PL&amp;BS Projection'!G38-'PL&amp;BS Projection'!H38+'PL&amp;BS Projection'!G41-'PL&amp;BS Projection'!H41+'PL&amp;BS Projection'!G44-'PL&amp;BS Projection'!H44</f>
        <v>11093.999999999993</v>
      </c>
      <c r="H8" s="272">
        <f ca="1">'PL&amp;BS Projection'!H38-'PL&amp;BS Projection'!I38+'PL&amp;BS Projection'!H41-'PL&amp;BS Projection'!I41+'PL&amp;BS Projection'!H44-'PL&amp;BS Projection'!I44</f>
        <v>11094</v>
      </c>
      <c r="I8" s="272">
        <f ca="1">'PL&amp;BS Projection'!I38-'PL&amp;BS Projection'!J38+'PL&amp;BS Projection'!I41-'PL&amp;BS Projection'!J41+'PL&amp;BS Projection'!I44-'PL&amp;BS Projection'!J44</f>
        <v>11094</v>
      </c>
      <c r="J8" s="272">
        <f ca="1">'PL&amp;BS Projection'!J38-'PL&amp;BS Projection'!K38+'PL&amp;BS Projection'!J41-'PL&amp;BS Projection'!K41+'PL&amp;BS Projection'!J44-'PL&amp;BS Projection'!K44</f>
        <v>11094</v>
      </c>
      <c r="K8" s="272">
        <f ca="1">'PL&amp;BS Projection'!K38-'PL&amp;BS Projection'!L38+'PL&amp;BS Projection'!K41-'PL&amp;BS Projection'!L41+'PL&amp;BS Projection'!K44-'PL&amp;BS Projection'!L44</f>
        <v>11094</v>
      </c>
    </row>
    <row r="9" spans="1:11" ht="15.95" customHeight="1">
      <c r="A9" s="59" t="s">
        <v>707</v>
      </c>
      <c r="B9" s="272">
        <f ca="1">'Financial statement'!G120</f>
        <v>63059.856373000002</v>
      </c>
      <c r="C9" s="272">
        <f ca="1">'Financial statement'!H120</f>
        <v>37460.005341999997</v>
      </c>
      <c r="D9" s="272">
        <f ca="1">'Financial statement'!I120</f>
        <v>25967.955086999998</v>
      </c>
      <c r="E9" s="272">
        <f ca="1">'Financial statement'!J120</f>
        <v>25967.955086999998</v>
      </c>
      <c r="F9" s="272">
        <f t="shared" ref="F9:J9" ca="1" si="1">F6+F8</f>
        <v>51187.715340776238</v>
      </c>
      <c r="G9" s="272">
        <f t="shared" ca="1" si="1"/>
        <v>48948.023045655813</v>
      </c>
      <c r="H9" s="272">
        <f t="shared" ca="1" si="1"/>
        <v>63253.392994276364</v>
      </c>
      <c r="I9" s="272">
        <f t="shared" ca="1" si="1"/>
        <v>78326.661994246562</v>
      </c>
      <c r="J9" s="272">
        <f t="shared" ca="1" si="1"/>
        <v>92536.452974221014</v>
      </c>
      <c r="K9" s="272">
        <f t="shared" ref="K9" ca="1" si="2">K6+K8</f>
        <v>100196.53976319838</v>
      </c>
    </row>
    <row r="10" spans="1:11" ht="3.75" customHeight="1">
      <c r="B10" s="272"/>
      <c r="C10" s="272"/>
      <c r="D10" s="272"/>
      <c r="E10" s="272"/>
      <c r="F10" s="272"/>
      <c r="G10" s="272"/>
      <c r="H10" s="272"/>
      <c r="I10" s="272"/>
      <c r="J10" s="272"/>
      <c r="K10" s="272"/>
    </row>
    <row r="11" spans="1:11" ht="15.95" customHeight="1">
      <c r="A11" s="237" t="s">
        <v>690</v>
      </c>
      <c r="B11" s="272"/>
      <c r="C11" s="272"/>
      <c r="D11" s="272"/>
      <c r="E11" s="272"/>
      <c r="F11" s="272"/>
      <c r="G11" s="272"/>
      <c r="H11" s="272"/>
      <c r="I11" s="272"/>
      <c r="J11" s="272"/>
      <c r="K11" s="272"/>
    </row>
    <row r="12" spans="1:11" ht="15.95" customHeight="1">
      <c r="A12" s="59" t="s">
        <v>691</v>
      </c>
      <c r="B12" s="272">
        <f ca="1">'Financial statement'!G121</f>
        <v>-9405.5127869999997</v>
      </c>
      <c r="C12" s="272">
        <f ca="1">'Financial statement'!H121</f>
        <v>-1130.6606280000001</v>
      </c>
      <c r="D12" s="272">
        <f ca="1">'Financial statement'!I121</f>
        <v>-1277.457085</v>
      </c>
      <c r="E12" s="272">
        <f ca="1">'Financial statement'!J121</f>
        <v>-1277.457085</v>
      </c>
      <c r="F12" s="272">
        <f ca="1">'PL&amp;BS Projection'!F30-'PL&amp;BS Projection'!G30</f>
        <v>-4987.9386908520464</v>
      </c>
      <c r="G12" s="272">
        <f>'PL&amp;BS Projection'!G30-'PL&amp;BS Projection'!H30</f>
        <v>2489.4885912671816</v>
      </c>
      <c r="H12" s="272">
        <f>'PL&amp;BS Projection'!H30-'PL&amp;BS Projection'!I30</f>
        <v>-8502.8577185345057</v>
      </c>
      <c r="I12" s="272">
        <f>'PL&amp;BS Projection'!I30-'PL&amp;BS Projection'!J30</f>
        <v>-8969.5584932315251</v>
      </c>
      <c r="J12" s="272">
        <f>'PL&amp;BS Projection'!J30-'PL&amp;BS Projection'!K30</f>
        <v>-8777.8272466070339</v>
      </c>
      <c r="K12" s="272">
        <f>'PL&amp;BS Projection'!K30-'PL&amp;BS Projection'!L30</f>
        <v>-8044.0779106762639</v>
      </c>
    </row>
    <row r="13" spans="1:11" ht="15.95" customHeight="1">
      <c r="A13" s="59" t="s">
        <v>692</v>
      </c>
      <c r="B13" s="272">
        <f ca="1">'Financial statement'!G122</f>
        <v>6201.7251370000004</v>
      </c>
      <c r="C13" s="272">
        <f ca="1">'Financial statement'!H122</f>
        <v>19678.225516999999</v>
      </c>
      <c r="D13" s="272">
        <f ca="1">'Financial statement'!I122</f>
        <v>10280.392775</v>
      </c>
      <c r="E13" s="272">
        <f ca="1">'Financial statement'!J122</f>
        <v>10280.392775</v>
      </c>
      <c r="F13" s="272">
        <f ca="1">'PL&amp;BS Projection'!F31-'PL&amp;BS Projection'!G31</f>
        <v>-13044.083564698545</v>
      </c>
      <c r="G13" s="272">
        <f>'PL&amp;BS Projection'!G31-'PL&amp;BS Projection'!H31</f>
        <v>637.12058610061285</v>
      </c>
      <c r="H13" s="272">
        <f>'PL&amp;BS Projection'!H31-'PL&amp;BS Projection'!I31</f>
        <v>-2943.4197219331545</v>
      </c>
      <c r="I13" s="272">
        <f>'PL&amp;BS Projection'!I31-'PL&amp;BS Projection'!J31</f>
        <v>-3003.2115520241568</v>
      </c>
      <c r="J13" s="272">
        <f>'PL&amp;BS Projection'!J31-'PL&amp;BS Projection'!K31</f>
        <v>-3065.6595511269006</v>
      </c>
      <c r="K13" s="272">
        <f>'PL&amp;BS Projection'!K31-'PL&amp;BS Projection'!L31</f>
        <v>-3464.6308120636895</v>
      </c>
    </row>
    <row r="14" spans="1:11" ht="15.95" customHeight="1">
      <c r="A14" s="59" t="s">
        <v>693</v>
      </c>
      <c r="B14" s="272">
        <f ca="1">'Financial statement'!G123</f>
        <v>12550.151540999999</v>
      </c>
      <c r="C14" s="272">
        <f ca="1">'Financial statement'!H123</f>
        <v>-1323.6314890000001</v>
      </c>
      <c r="D14" s="272">
        <f ca="1">'Financial statement'!I123</f>
        <v>-6668.9655400000001</v>
      </c>
      <c r="E14" s="272">
        <f ca="1">'Financial statement'!J123</f>
        <v>-6668.9655400000001</v>
      </c>
      <c r="F14" s="272">
        <f ca="1">SUM('PL&amp;BS Projection'!G56:G64)-SUM('PL&amp;BS Projection'!F56:F64)+SUM('PL&amp;BS Projection'!G66:G68)-SUM('PL&amp;BS Projection'!F66:F68)+SUM('PL&amp;BS Projection'!G70:G72)-SUM('PL&amp;BS Projection'!F70:F72)</f>
        <v>6787.4340840400728</v>
      </c>
      <c r="G14" s="272">
        <f ca="1">SUM('PL&amp;BS Projection'!H56:H64)-SUM('PL&amp;BS Projection'!G56:G64)+SUM('PL&amp;BS Projection'!H66:H68)-SUM('PL&amp;BS Projection'!G66:G68)+SUM('PL&amp;BS Projection'!H70:H72)-SUM('PL&amp;BS Projection'!G70:G72)</f>
        <v>-1354.8916082624673</v>
      </c>
      <c r="H14" s="272">
        <f ca="1">SUM('PL&amp;BS Projection'!I56:I64)-SUM('PL&amp;BS Projection'!H56:H64)+SUM('PL&amp;BS Projection'!I66:I68)-SUM('PL&amp;BS Projection'!H66:H68)+SUM('PL&amp;BS Projection'!I70:I72)-SUM('PL&amp;BS Projection'!H70:H72)</f>
        <v>4964.5148624687608</v>
      </c>
      <c r="I14" s="272">
        <f ca="1">SUM('PL&amp;BS Projection'!J56:J64)-SUM('PL&amp;BS Projection'!I56:I64)+SUM('PL&amp;BS Projection'!J66:J68)-SUM('PL&amp;BS Projection'!I66:I68)+SUM('PL&amp;BS Projection'!J70:J72)-SUM('PL&amp;BS Projection'!I70:I72)</f>
        <v>5192.3273764144251</v>
      </c>
      <c r="J14" s="272">
        <f ca="1">SUM('PL&amp;BS Projection'!K56:K64)-SUM('PL&amp;BS Projection'!J56:J64)+SUM('PL&amp;BS Projection'!K66:K68)-SUM('PL&amp;BS Projection'!J66:J68)+SUM('PL&amp;BS Projection'!K70:K72)-SUM('PL&amp;BS Projection'!J70:J72)</f>
        <v>5136.9371555318066</v>
      </c>
      <c r="K14" s="272">
        <f ca="1">SUM('PL&amp;BS Projection'!L56:L64)-SUM('PL&amp;BS Projection'!K56:K64)+SUM('PL&amp;BS Projection'!L66:L68)-SUM('PL&amp;BS Projection'!K66:K68)+SUM('PL&amp;BS Projection'!L70:L72)-SUM('PL&amp;BS Projection'!K70:K72)</f>
        <v>4995.1977714562163</v>
      </c>
    </row>
    <row r="15" spans="1:11" ht="15.95" customHeight="1">
      <c r="A15" s="59" t="s">
        <v>709</v>
      </c>
      <c r="B15" s="272">
        <f ca="1">SUM('Financial statement'!G124:G128)</f>
        <v>-19547.592025999998</v>
      </c>
      <c r="C15" s="272">
        <f ca="1">SUM('Financial statement'!H124:H128)</f>
        <v>-28154.802664999999</v>
      </c>
      <c r="D15" s="272">
        <f ca="1">SUM('Financial statement'!I124:I128)</f>
        <v>-15081.852800999999</v>
      </c>
      <c r="E15" s="272">
        <f ca="1">SUM('Financial statement'!J124:J128)</f>
        <v>-15081.852800999999</v>
      </c>
      <c r="F15" s="272">
        <f ca="1">'PL&amp;BS Projection'!F32-'PL&amp;BS Projection'!G32</f>
        <v>-2009.2055758138158</v>
      </c>
      <c r="G15" s="272">
        <f ca="1">'PL&amp;BS Projection'!G32-'PL&amp;BS Projection'!H32</f>
        <v>734.37098112066633</v>
      </c>
      <c r="H15" s="272">
        <f ca="1">'PL&amp;BS Projection'!H32-'PL&amp;BS Projection'!I32</f>
        <v>-2508.2468692540533</v>
      </c>
      <c r="I15" s="272">
        <f ca="1">'PL&amp;BS Projection'!I32-'PL&amp;BS Projection'!J32</f>
        <v>-2645.9183199312247</v>
      </c>
      <c r="J15" s="272">
        <f ca="1">'PL&amp;BS Projection'!J32-'PL&amp;BS Projection'!K32</f>
        <v>-2589.359770440773</v>
      </c>
      <c r="K15" s="272">
        <f ca="1">'PL&amp;BS Projection'!K32-'PL&amp;BS Projection'!L32</f>
        <v>-2372.9120142171269</v>
      </c>
    </row>
    <row r="16" spans="1:11" ht="15.95" customHeight="1">
      <c r="A16" s="59" t="s">
        <v>710</v>
      </c>
      <c r="B16" s="272">
        <f ca="1">SUM(B12:B15)</f>
        <v>-10201.228134999998</v>
      </c>
      <c r="C16" s="272">
        <f ca="1">SUM(C12:C15)</f>
        <v>-10930.869265000001</v>
      </c>
      <c r="D16" s="272">
        <f t="shared" ref="D16:J16" ca="1" si="3">SUM(D12:D15)</f>
        <v>-12747.882651</v>
      </c>
      <c r="E16" s="272">
        <f t="shared" ca="1" si="3"/>
        <v>-12747.882651</v>
      </c>
      <c r="F16" s="272">
        <f ca="1">SUM(F12:F15)</f>
        <v>-13253.793747324333</v>
      </c>
      <c r="G16" s="272">
        <f ca="1">SUM(G12:G15)</f>
        <v>2506.0885502259935</v>
      </c>
      <c r="H16" s="272">
        <f t="shared" ca="1" si="3"/>
        <v>-8990.0094472529527</v>
      </c>
      <c r="I16" s="272">
        <f t="shared" ca="1" si="3"/>
        <v>-9426.3609887724815</v>
      </c>
      <c r="J16" s="272">
        <f t="shared" ca="1" si="3"/>
        <v>-9295.9094126429009</v>
      </c>
      <c r="K16" s="272">
        <f t="shared" ref="K16" ca="1" si="4">SUM(K12:K15)</f>
        <v>-8886.4229655008639</v>
      </c>
    </row>
    <row r="17" spans="1:11" s="237" customFormat="1" ht="15.95" customHeight="1">
      <c r="A17" s="237" t="s">
        <v>694</v>
      </c>
      <c r="B17" s="354">
        <f ca="1">'Financial statement'!G129</f>
        <v>52858.628237999998</v>
      </c>
      <c r="C17" s="354">
        <f ca="1">'Financial statement'!H129</f>
        <v>26529.136076999999</v>
      </c>
      <c r="D17" s="354">
        <f ca="1">'Financial statement'!I129</f>
        <v>13220.072436</v>
      </c>
      <c r="E17" s="354">
        <f ca="1">'Financial statement'!J129</f>
        <v>13220.072436</v>
      </c>
      <c r="F17" s="354">
        <f t="shared" ref="F17:J17" ca="1" si="5">F9+F16</f>
        <v>37933.921593451902</v>
      </c>
      <c r="G17" s="354">
        <f t="shared" ca="1" si="5"/>
        <v>51454.111595881805</v>
      </c>
      <c r="H17" s="354">
        <f t="shared" ca="1" si="5"/>
        <v>54263.383547023412</v>
      </c>
      <c r="I17" s="354">
        <f t="shared" ca="1" si="5"/>
        <v>68900.301005474088</v>
      </c>
      <c r="J17" s="354">
        <f t="shared" ca="1" si="5"/>
        <v>83240.543561578117</v>
      </c>
      <c r="K17" s="354">
        <f t="shared" ref="K17" ca="1" si="6">K9+K16</f>
        <v>91310.116797697512</v>
      </c>
    </row>
    <row r="18" spans="1:11" ht="3" customHeight="1">
      <c r="B18" s="272"/>
      <c r="C18" s="272"/>
      <c r="D18" s="272"/>
      <c r="E18" s="272"/>
      <c r="F18" s="272"/>
      <c r="G18" s="272"/>
      <c r="H18" s="272"/>
      <c r="I18" s="272"/>
      <c r="J18" s="272"/>
      <c r="K18" s="272"/>
    </row>
    <row r="19" spans="1:11" ht="15.95" customHeight="1">
      <c r="A19" s="59" t="s">
        <v>695</v>
      </c>
      <c r="B19" s="272"/>
      <c r="C19" s="272"/>
      <c r="D19" s="272"/>
      <c r="E19" s="272"/>
      <c r="F19" s="272"/>
      <c r="G19" s="272"/>
      <c r="H19" s="272"/>
      <c r="I19" s="272"/>
      <c r="J19" s="272"/>
      <c r="K19" s="272"/>
    </row>
    <row r="20" spans="1:11" ht="15.95" customHeight="1">
      <c r="A20" s="59" t="s">
        <v>696</v>
      </c>
      <c r="B20" s="272">
        <f ca="1">'Financial statement'!G131</f>
        <v>-22996.713102999998</v>
      </c>
      <c r="C20" s="272">
        <f ca="1">'Financial statement'!H131</f>
        <v>-9315.1896610000003</v>
      </c>
      <c r="D20" s="272">
        <f ca="1">'Financial statement'!I131</f>
        <v>-1399.3706999999999</v>
      </c>
      <c r="E20" s="272">
        <f ca="1">'Financial statement'!J131</f>
        <v>-1399.3706999999999</v>
      </c>
      <c r="F20" s="272">
        <f ca="1">('PL&amp;BS Projection'!F37-'PL&amp;BS Projection'!G37)+('PL&amp;BS Projection'!F40-'PL&amp;BS Projection'!G40)+('PL&amp;BS Projection'!F43-'PL&amp;BS Projection'!G43)+('PL&amp;BS Projection'!F45-'PL&amp;BS Projection'!G45)</f>
        <v>-11249.833333333328</v>
      </c>
      <c r="G20" s="272">
        <f ca="1">('PL&amp;BS Projection'!G37-'PL&amp;BS Projection'!H37)+('PL&amp;BS Projection'!G40-'PL&amp;BS Projection'!H40)+('PL&amp;BS Projection'!G43-'PL&amp;BS Projection'!H43)+('PL&amp;BS Projection'!G45-'PL&amp;BS Projection'!H45)</f>
        <v>-55656.933333333327</v>
      </c>
      <c r="H20" s="272">
        <f ca="1">('PL&amp;BS Projection'!H37-'PL&amp;BS Projection'!I37)+('PL&amp;BS Projection'!H40-'PL&amp;BS Projection'!I40)+('PL&amp;BS Projection'!H43-'PL&amp;BS Projection'!I43)+('PL&amp;BS Projection'!H45-'PL&amp;BS Projection'!I45)</f>
        <v>-58386.933333333334</v>
      </c>
      <c r="I20" s="272">
        <f ca="1">('PL&amp;BS Projection'!I37-'PL&amp;BS Projection'!J37)+('PL&amp;BS Projection'!I40-'PL&amp;BS Projection'!J40)+('PL&amp;BS Projection'!I43-'PL&amp;BS Projection'!J43)+('PL&amp;BS Projection'!I45-'PL&amp;BS Projection'!J45)</f>
        <v>-68386.933333333349</v>
      </c>
      <c r="J20" s="272">
        <f ca="1">('PL&amp;BS Projection'!J37-'PL&amp;BS Projection'!K37)+('PL&amp;BS Projection'!J40-'PL&amp;BS Projection'!K40)+('PL&amp;BS Projection'!J43-'PL&amp;BS Projection'!K43)+('PL&amp;BS Projection'!J45-'PL&amp;BS Projection'!K45)</f>
        <v>-65656.933333333349</v>
      </c>
      <c r="K20" s="272">
        <f ca="1">('PL&amp;BS Projection'!K37-'PL&amp;BS Projection'!L37)+('PL&amp;BS Projection'!K40-'PL&amp;BS Projection'!L40)+('PL&amp;BS Projection'!K43-'PL&amp;BS Projection'!L43)+('PL&amp;BS Projection'!K45-'PL&amp;BS Projection'!L45)</f>
        <v>-85656.933333333349</v>
      </c>
    </row>
    <row r="21" spans="1:11" ht="15.95" customHeight="1">
      <c r="A21" s="59" t="s">
        <v>711</v>
      </c>
      <c r="B21" s="272">
        <f ca="1">'Financial statement'!G132</f>
        <v>0</v>
      </c>
      <c r="C21" s="272">
        <f ca="1">'Financial statement'!H132</f>
        <v>0</v>
      </c>
      <c r="D21" s="272">
        <f ca="1">'Financial statement'!I132</f>
        <v>555.35454600000003</v>
      </c>
      <c r="E21" s="272">
        <f ca="1">'Financial statement'!J132</f>
        <v>555.35454600000003</v>
      </c>
      <c r="F21" s="272">
        <f ca="1">'PL&amp;BS Projection'!F29-'PL&amp;BS Projection'!G29</f>
        <v>-4683.2294660000007</v>
      </c>
      <c r="G21" s="272">
        <f ca="1">'PL&amp;BS Projection'!G29-'PL&amp;BS Projection'!H29</f>
        <v>0</v>
      </c>
      <c r="H21" s="272">
        <f ca="1">'PL&amp;BS Projection'!H29-'PL&amp;BS Projection'!I29</f>
        <v>0</v>
      </c>
      <c r="I21" s="272">
        <f ca="1">'PL&amp;BS Projection'!I29-'PL&amp;BS Projection'!J29</f>
        <v>0</v>
      </c>
      <c r="J21" s="272">
        <f ca="1">'PL&amp;BS Projection'!J29-'PL&amp;BS Projection'!K29</f>
        <v>0</v>
      </c>
      <c r="K21" s="272">
        <f ca="1">'PL&amp;BS Projection'!K29-'PL&amp;BS Projection'!L29</f>
        <v>0</v>
      </c>
    </row>
    <row r="22" spans="1:11" ht="15.95" customHeight="1">
      <c r="A22" s="59" t="s">
        <v>712</v>
      </c>
      <c r="B22" s="272">
        <f ca="1">'Financial statement'!G133</f>
        <v>-20849</v>
      </c>
      <c r="C22" s="272">
        <f ca="1">'Financial statement'!H133</f>
        <v>-1750</v>
      </c>
      <c r="D22" s="272">
        <f ca="1">'Financial statement'!I133</f>
        <v>0</v>
      </c>
      <c r="E22" s="272">
        <f ca="1">'Financial statement'!J133</f>
        <v>0</v>
      </c>
      <c r="F22" s="272">
        <f ca="1">'PL&amp;BS Projection'!F49-'PL&amp;BS Projection'!G49</f>
        <v>-7772.8026190000019</v>
      </c>
      <c r="G22" s="272">
        <f ca="1">'PL&amp;BS Projection'!G49-'PL&amp;BS Projection'!H49</f>
        <v>0</v>
      </c>
      <c r="H22" s="272">
        <f ca="1">'PL&amp;BS Projection'!H49-'PL&amp;BS Projection'!I49</f>
        <v>0</v>
      </c>
      <c r="I22" s="272">
        <f ca="1">'PL&amp;BS Projection'!I49-'PL&amp;BS Projection'!J49</f>
        <v>0</v>
      </c>
      <c r="J22" s="272">
        <f ca="1">'PL&amp;BS Projection'!J49-'PL&amp;BS Projection'!K49</f>
        <v>0</v>
      </c>
      <c r="K22" s="272">
        <f ca="1">'PL&amp;BS Projection'!K49-'PL&amp;BS Projection'!L49</f>
        <v>0</v>
      </c>
    </row>
    <row r="23" spans="1:11" ht="15.95" customHeight="1">
      <c r="A23" s="59" t="s">
        <v>713</v>
      </c>
      <c r="B23" s="272">
        <f ca="1">'Financial statement'!G134</f>
        <v>21400</v>
      </c>
      <c r="C23" s="272">
        <f ca="1">'Financial statement'!H134</f>
        <v>2122</v>
      </c>
      <c r="D23" s="272">
        <f ca="1">'Financial statement'!I134</f>
        <v>1652.4280000000001</v>
      </c>
      <c r="E23" s="272">
        <f ca="1">'Financial statement'!J134</f>
        <v>1652.4280000000001</v>
      </c>
      <c r="F23" s="272">
        <f ca="1">'PL&amp;BS Projection'!F46-'PL&amp;BS Projection'!G46</f>
        <v>0</v>
      </c>
      <c r="G23" s="272">
        <f>'PL&amp;BS Projection'!G46-'PL&amp;BS Projection'!H46</f>
        <v>0</v>
      </c>
      <c r="H23" s="272">
        <f>'PL&amp;BS Projection'!H46-'PL&amp;BS Projection'!I46</f>
        <v>0</v>
      </c>
      <c r="I23" s="272">
        <f>'PL&amp;BS Projection'!I46-'PL&amp;BS Projection'!J46</f>
        <v>0</v>
      </c>
      <c r="J23" s="272">
        <f>'PL&amp;BS Projection'!J46-'PL&amp;BS Projection'!K46</f>
        <v>0</v>
      </c>
      <c r="K23" s="272">
        <f>'PL&amp;BS Projection'!K46-'PL&amp;BS Projection'!L46</f>
        <v>0</v>
      </c>
    </row>
    <row r="24" spans="1:11" ht="15.95" customHeight="1">
      <c r="A24" s="59" t="s">
        <v>697</v>
      </c>
      <c r="B24" s="272">
        <f ca="1">'Financial statement'!G135</f>
        <v>-796</v>
      </c>
      <c r="C24" s="272">
        <f ca="1">'Financial statement'!H135</f>
        <v>0</v>
      </c>
      <c r="D24" s="272">
        <f ca="1">'Financial statement'!I135</f>
        <v>0</v>
      </c>
      <c r="E24" s="272">
        <f ca="1">'Financial statement'!J135</f>
        <v>0</v>
      </c>
      <c r="F24" s="272">
        <f ca="1">SUM('PL&amp;BS Projection'!F50:F51)-SUM('PL&amp;BS Projection'!G50:G51)</f>
        <v>24191.983409153654</v>
      </c>
      <c r="G24" s="272">
        <f ca="1">SUM('PL&amp;BS Projection'!G50:G51)-SUM('PL&amp;BS Projection'!H50:H51)</f>
        <v>-6099.155953153655</v>
      </c>
      <c r="H24" s="272">
        <f ca="1">SUM('PL&amp;BS Projection'!H50:H51)-SUM('PL&amp;BS Projection'!I50:I51)</f>
        <v>-793.79555555555635</v>
      </c>
      <c r="I24" s="272">
        <f ca="1">SUM('PL&amp;BS Projection'!I50:I51)-SUM('PL&amp;BS Projection'!J50:J51)</f>
        <v>-1137.644444444446</v>
      </c>
      <c r="J24" s="272">
        <f ca="1">SUM('PL&amp;BS Projection'!J50:J51)-SUM('PL&amp;BS Projection'!K50:K51)</f>
        <v>-802.79999999999745</v>
      </c>
      <c r="K24" s="272">
        <f ca="1">SUM('PL&amp;BS Projection'!K50:K51)-SUM('PL&amp;BS Projection'!L50:L51)</f>
        <v>-1861.6000000000004</v>
      </c>
    </row>
    <row r="25" spans="1:11" ht="15.95" customHeight="1">
      <c r="A25" s="59" t="s">
        <v>714</v>
      </c>
      <c r="B25" s="272">
        <f ca="1">'Financial statement'!G136</f>
        <v>3257.4305340000001</v>
      </c>
      <c r="C25" s="272">
        <f ca="1">'Financial statement'!H136</f>
        <v>1607.4859610000001</v>
      </c>
      <c r="D25" s="272">
        <f ca="1">'Financial statement'!I136</f>
        <v>4268.4419520000001</v>
      </c>
      <c r="E25" s="272">
        <f ca="1">'Financial statement'!J136</f>
        <v>4268.4419520000001</v>
      </c>
      <c r="F25" s="272">
        <f ca="1">'PL&amp;BS Projection'!F34-'PL&amp;BS Projection'!G34</f>
        <v>0</v>
      </c>
      <c r="G25" s="272">
        <f ca="1">'PL&amp;BS Projection'!G34-'PL&amp;BS Projection'!H34</f>
        <v>0</v>
      </c>
      <c r="H25" s="272">
        <f ca="1">'PL&amp;BS Projection'!H34-'PL&amp;BS Projection'!I34</f>
        <v>0</v>
      </c>
      <c r="I25" s="272">
        <f ca="1">'PL&amp;BS Projection'!I34-'PL&amp;BS Projection'!J34</f>
        <v>0</v>
      </c>
      <c r="J25" s="272">
        <f ca="1">'PL&amp;BS Projection'!J34-'PL&amp;BS Projection'!K34</f>
        <v>0</v>
      </c>
      <c r="K25" s="272">
        <f ca="1">'PL&amp;BS Projection'!K34-'PL&amp;BS Projection'!L34</f>
        <v>0</v>
      </c>
    </row>
    <row r="26" spans="1:11" s="237" customFormat="1" ht="15.95" customHeight="1">
      <c r="A26" s="237" t="s">
        <v>698</v>
      </c>
      <c r="B26" s="354">
        <f ca="1">'Financial statement'!G137</f>
        <v>-17154.377044000001</v>
      </c>
      <c r="C26" s="354">
        <f ca="1">'Financial statement'!H137</f>
        <v>-6939.0491149999998</v>
      </c>
      <c r="D26" s="354">
        <f ca="1">'Financial statement'!I137</f>
        <v>5937.2103319999997</v>
      </c>
      <c r="E26" s="354">
        <f ca="1">'Financial statement'!J137</f>
        <v>5937.2103319999997</v>
      </c>
      <c r="F26" s="354">
        <f t="shared" ref="F26:J26" ca="1" si="7">SUM(F20:F25)</f>
        <v>486.11799082032303</v>
      </c>
      <c r="G26" s="354">
        <f t="shared" ca="1" si="7"/>
        <v>-61756.089286486982</v>
      </c>
      <c r="H26" s="354">
        <f t="shared" ca="1" si="7"/>
        <v>-59180.728888888887</v>
      </c>
      <c r="I26" s="354">
        <f t="shared" ca="1" si="7"/>
        <v>-69524.577777777798</v>
      </c>
      <c r="J26" s="354">
        <f t="shared" ca="1" si="7"/>
        <v>-66459.733333333352</v>
      </c>
      <c r="K26" s="354">
        <f t="shared" ref="K26" ca="1" si="8">SUM(K20:K25)</f>
        <v>-87518.533333333355</v>
      </c>
    </row>
    <row r="27" spans="1:11" ht="3" customHeight="1">
      <c r="B27" s="272"/>
      <c r="C27" s="272"/>
      <c r="D27" s="272"/>
      <c r="E27" s="272"/>
      <c r="F27" s="272"/>
      <c r="G27" s="272"/>
      <c r="H27" s="272"/>
      <c r="I27" s="272"/>
      <c r="J27" s="272"/>
      <c r="K27" s="272"/>
    </row>
    <row r="28" spans="1:11" ht="15.95" customHeight="1">
      <c r="A28" s="237" t="s">
        <v>699</v>
      </c>
      <c r="B28" s="272"/>
      <c r="C28" s="272"/>
      <c r="D28" s="272"/>
      <c r="E28" s="272"/>
      <c r="F28" s="272"/>
      <c r="G28" s="272"/>
      <c r="H28" s="272"/>
      <c r="I28" s="272"/>
      <c r="J28" s="272"/>
      <c r="K28" s="272"/>
    </row>
    <row r="29" spans="1:11" ht="15.95" customHeight="1">
      <c r="A29" s="59" t="s">
        <v>700</v>
      </c>
      <c r="B29" s="272">
        <f ca="1">'Financial statement'!G139</f>
        <v>0</v>
      </c>
      <c r="C29" s="272">
        <f ca="1">'Financial statement'!H139</f>
        <v>0</v>
      </c>
      <c r="D29" s="272">
        <f ca="1">'Financial statement'!I139</f>
        <v>0</v>
      </c>
      <c r="E29" s="272">
        <f ca="1">'Financial statement'!J139</f>
        <v>0</v>
      </c>
      <c r="F29" s="272">
        <f ca="1">'PL&amp;BS Projection'!G75-'PL&amp;BS Projection'!F75</f>
        <v>0</v>
      </c>
      <c r="G29" s="272">
        <f ca="1">'PL&amp;BS Projection'!H75-'PL&amp;BS Projection'!G75</f>
        <v>0</v>
      </c>
      <c r="H29" s="272">
        <f ca="1">'PL&amp;BS Projection'!I75-'PL&amp;BS Projection'!H75</f>
        <v>0</v>
      </c>
      <c r="I29" s="272">
        <f ca="1">'PL&amp;BS Projection'!J75-'PL&amp;BS Projection'!I75</f>
        <v>0</v>
      </c>
      <c r="J29" s="272">
        <f ca="1">'PL&amp;BS Projection'!K75-'PL&amp;BS Projection'!J75</f>
        <v>0</v>
      </c>
      <c r="K29" s="272">
        <f ca="1">'PL&amp;BS Projection'!L75-'PL&amp;BS Projection'!K75</f>
        <v>0</v>
      </c>
    </row>
    <row r="30" spans="1:11" ht="15.95" customHeight="1">
      <c r="A30" s="59" t="s">
        <v>715</v>
      </c>
      <c r="B30" s="272">
        <f ca="1">'Financial statement'!G140</f>
        <v>0</v>
      </c>
      <c r="C30" s="272">
        <f ca="1">'Financial statement'!H140</f>
        <v>0</v>
      </c>
      <c r="D30" s="272">
        <f ca="1">'Financial statement'!I140</f>
        <v>0</v>
      </c>
      <c r="E30" s="272">
        <f ca="1">'Financial statement'!J140</f>
        <v>0</v>
      </c>
      <c r="F30" s="272">
        <f ca="1">'PL&amp;BS Projection'!G78-'PL&amp;BS Projection'!F78</f>
        <v>0</v>
      </c>
      <c r="G30" s="272">
        <f ca="1">'PL&amp;BS Projection'!H78-'PL&amp;BS Projection'!G78</f>
        <v>0</v>
      </c>
      <c r="H30" s="272">
        <f ca="1">'PL&amp;BS Projection'!I78-'PL&amp;BS Projection'!H78</f>
        <v>0</v>
      </c>
      <c r="I30" s="272">
        <f ca="1">'PL&amp;BS Projection'!J78-'PL&amp;BS Projection'!I78</f>
        <v>0</v>
      </c>
      <c r="J30" s="272">
        <f ca="1">'PL&amp;BS Projection'!K78-'PL&amp;BS Projection'!J78</f>
        <v>0</v>
      </c>
      <c r="K30" s="272">
        <f ca="1">'PL&amp;BS Projection'!L78-'PL&amp;BS Projection'!K78</f>
        <v>0</v>
      </c>
    </row>
    <row r="31" spans="1:11" ht="15.95" customHeight="1">
      <c r="A31" s="59" t="s">
        <v>716</v>
      </c>
      <c r="B31" s="272">
        <f ca="1">'Financial statement'!G143</f>
        <v>0</v>
      </c>
      <c r="C31" s="272">
        <f ca="1">'Financial statement'!H143</f>
        <v>0</v>
      </c>
      <c r="D31" s="272">
        <f ca="1">'Financial statement'!I143</f>
        <v>0</v>
      </c>
      <c r="E31" s="272">
        <f ca="1">'Financial statement'!J143</f>
        <v>0</v>
      </c>
      <c r="F31" s="272">
        <f ca="1">SUM('PL&amp;BS Projection'!G76:G77)-SUM('PL&amp;BS Projection'!F76:F77)+SUM('PL&amp;BS Projection'!G79:G80)-SUM('PL&amp;BS Projection'!F79:F80)</f>
        <v>0</v>
      </c>
      <c r="G31" s="272">
        <f ca="1">SUM('PL&amp;BS Projection'!H76:H77)-SUM('PL&amp;BS Projection'!G76:G77)+SUM('PL&amp;BS Projection'!H79:H80)-SUM('PL&amp;BS Projection'!G79:G80)</f>
        <v>0</v>
      </c>
      <c r="H31" s="272">
        <f ca="1">SUM('PL&amp;BS Projection'!I76:I77)-SUM('PL&amp;BS Projection'!H76:H77)+SUM('PL&amp;BS Projection'!I79:I80)-SUM('PL&amp;BS Projection'!H79:H80)</f>
        <v>0</v>
      </c>
      <c r="I31" s="272">
        <f ca="1">SUM('PL&amp;BS Projection'!J76:J77)-SUM('PL&amp;BS Projection'!I76:I77)+SUM('PL&amp;BS Projection'!J79:J80)-SUM('PL&amp;BS Projection'!I79:I80)</f>
        <v>0</v>
      </c>
      <c r="J31" s="272">
        <f ca="1">SUM('PL&amp;BS Projection'!K76:K77)-SUM('PL&amp;BS Projection'!J76:J77)+SUM('PL&amp;BS Projection'!K79:K80)-SUM('PL&amp;BS Projection'!J79:J80)</f>
        <v>0</v>
      </c>
      <c r="K31" s="272">
        <f ca="1">SUM('PL&amp;BS Projection'!L76:L77)-SUM('PL&amp;BS Projection'!K76:K77)+SUM('PL&amp;BS Projection'!L79:L80)-SUM('PL&amp;BS Projection'!K79:K80)</f>
        <v>0</v>
      </c>
    </row>
    <row r="32" spans="1:11" ht="15.95" customHeight="1">
      <c r="A32" s="59" t="s">
        <v>717</v>
      </c>
      <c r="B32" s="272">
        <f ca="1">'Financial statement'!G141</f>
        <v>83342.949550999998</v>
      </c>
      <c r="C32" s="272">
        <f ca="1">'Financial statement'!H141</f>
        <v>101240.611149</v>
      </c>
      <c r="D32" s="272">
        <f ca="1">'Financial statement'!I141</f>
        <v>77597.760108999995</v>
      </c>
      <c r="E32" s="272">
        <f ca="1">'Financial statement'!J141</f>
        <v>77597.760108999995</v>
      </c>
      <c r="F32" s="272">
        <f ca="1">-('PL&amp;BS Projection'!G55-'PL&amp;BS Projection'!F55)</f>
        <v>-3636.8896910449257</v>
      </c>
      <c r="G32" s="272">
        <f ca="1">-('PL&amp;BS Projection'!H55-'PL&amp;BS Projection'!G55)</f>
        <v>1329.2946639163565</v>
      </c>
      <c r="H32" s="272">
        <f ca="1">-('PL&amp;BS Projection'!I55-'PL&amp;BS Projection'!H55)</f>
        <v>-4540.2109625795165</v>
      </c>
      <c r="I32" s="272">
        <f ca="1">-('PL&amp;BS Projection'!J55-'PL&amp;BS Projection'!I55)</f>
        <v>-4789.4118834540313</v>
      </c>
      <c r="J32" s="272">
        <f ca="1">-('PL&amp;BS Projection'!K55-'PL&amp;BS Projection'!J55)</f>
        <v>-4687.0345020360255</v>
      </c>
      <c r="K32" s="272">
        <f ca="1">-('PL&amp;BS Projection'!L55-'PL&amp;BS Projection'!K55)</f>
        <v>-4295.2395444987706</v>
      </c>
    </row>
    <row r="33" spans="1:11" ht="15.95" customHeight="1">
      <c r="A33" s="59" t="s">
        <v>718</v>
      </c>
      <c r="B33" s="272">
        <f ca="1">'Financial statement'!G142</f>
        <v>-79105</v>
      </c>
      <c r="C33" s="272">
        <f ca="1">'Financial statement'!H142</f>
        <v>-104551.62717199999</v>
      </c>
      <c r="D33" s="272">
        <f ca="1">'Financial statement'!I142</f>
        <v>-91004.258222000004</v>
      </c>
      <c r="E33" s="272">
        <f ca="1">'Financial statement'!J142</f>
        <v>-91004.258222000004</v>
      </c>
      <c r="F33" s="272">
        <f ca="1">'PL&amp;BS Projection'!G69-'PL&amp;BS Projection'!F69</f>
        <v>0</v>
      </c>
      <c r="G33" s="272">
        <f ca="1">'PL&amp;BS Projection'!H69-'PL&amp;BS Projection'!G69</f>
        <v>0</v>
      </c>
      <c r="H33" s="272">
        <f ca="1">'PL&amp;BS Projection'!I69-'PL&amp;BS Projection'!H69</f>
        <v>0</v>
      </c>
      <c r="I33" s="272">
        <f ca="1">'PL&amp;BS Projection'!J69-'PL&amp;BS Projection'!I69</f>
        <v>0</v>
      </c>
      <c r="J33" s="272">
        <f ca="1">'PL&amp;BS Projection'!K69-'PL&amp;BS Projection'!J69</f>
        <v>0</v>
      </c>
      <c r="K33" s="272">
        <f ca="1">'PL&amp;BS Projection'!L69-'PL&amp;BS Projection'!K69</f>
        <v>0</v>
      </c>
    </row>
    <row r="34" spans="1:11" ht="15.95" customHeight="1">
      <c r="A34" s="59" t="s">
        <v>701</v>
      </c>
      <c r="B34" s="272">
        <f ca="1">'Financial statement'!G144</f>
        <v>-30131.239399999999</v>
      </c>
      <c r="C34" s="272">
        <f ca="1">'Financial statement'!H144</f>
        <v>-15061.213</v>
      </c>
      <c r="D34" s="272">
        <f ca="1">'Financial statement'!I144</f>
        <v>-10539.6865</v>
      </c>
      <c r="E34" s="272">
        <f ca="1">'Financial statement'!J144</f>
        <v>-10539.6865</v>
      </c>
      <c r="F34" s="272">
        <f ca="1">-('PL&amp;BS Projection'!G21-(SUM('PL&amp;BS Projection'!G81:G85)-SUM('PL&amp;BS Projection'!F81:F85)))</f>
        <v>-15119.945999999996</v>
      </c>
      <c r="G34" s="272">
        <f ca="1">-('PL&amp;BS Projection'!H21-(SUM('PL&amp;BS Projection'!H81:H85)-SUM('PL&amp;BS Projection'!G81:G85)))</f>
        <v>-18143.935199999993</v>
      </c>
      <c r="H34" s="272">
        <f ca="1">-('PL&amp;BS Projection'!I21-(SUM('PL&amp;BS Projection'!I81:I85)-SUM('PL&amp;BS Projection'!H81:H85)))</f>
        <v>-22679.919000000024</v>
      </c>
      <c r="I34" s="272">
        <f ca="1">-('PL&amp;BS Projection'!J21-(SUM('PL&amp;BS Projection'!J81:J85)-SUM('PL&amp;BS Projection'!I81:I85)))</f>
        <v>-22679.918999999965</v>
      </c>
      <c r="J34" s="272">
        <f ca="1">-('PL&amp;BS Projection'!K21-(SUM('PL&amp;BS Projection'!K81:K85)-SUM('PL&amp;BS Projection'!J81:J85)))</f>
        <v>-30239.892000000007</v>
      </c>
      <c r="K34" s="272">
        <f ca="1">-('PL&amp;BS Projection'!L21-(SUM('PL&amp;BS Projection'!L81:L85)-SUM('PL&amp;BS Projection'!K81:K85)))</f>
        <v>-30239.891999999963</v>
      </c>
    </row>
    <row r="35" spans="1:11" ht="15.95" customHeight="1">
      <c r="A35" s="59" t="s">
        <v>719</v>
      </c>
      <c r="B35" s="272"/>
      <c r="C35" s="272"/>
      <c r="D35" s="272"/>
      <c r="E35" s="272"/>
      <c r="F35" s="272">
        <f ca="1">'PL&amp;BS Projection'!G86-'PL&amp;BS Projection'!F86</f>
        <v>0</v>
      </c>
      <c r="G35" s="272">
        <f ca="1">'PL&amp;BS Projection'!H86-'PL&amp;BS Projection'!G86</f>
        <v>0</v>
      </c>
      <c r="H35" s="272">
        <f ca="1">'PL&amp;BS Projection'!I86-'PL&amp;BS Projection'!H86</f>
        <v>0</v>
      </c>
      <c r="I35" s="272">
        <f ca="1">'PL&amp;BS Projection'!J86-'PL&amp;BS Projection'!I86</f>
        <v>0</v>
      </c>
      <c r="J35" s="272">
        <f ca="1">'PL&amp;BS Projection'!K86-'PL&amp;BS Projection'!J86</f>
        <v>0</v>
      </c>
      <c r="K35" s="272">
        <f ca="1">'PL&amp;BS Projection'!L86-'PL&amp;BS Projection'!K86</f>
        <v>0</v>
      </c>
    </row>
    <row r="36" spans="1:11" s="237" customFormat="1" ht="15.95" customHeight="1">
      <c r="A36" s="237" t="s">
        <v>702</v>
      </c>
      <c r="B36" s="354">
        <f ca="1">'Financial statement'!G145</f>
        <v>-25893.289849000001</v>
      </c>
      <c r="C36" s="354">
        <f ca="1">'Financial statement'!H145</f>
        <v>-18372.229023</v>
      </c>
      <c r="D36" s="354">
        <f ca="1">'Financial statement'!I145</f>
        <v>-23946.184613000001</v>
      </c>
      <c r="E36" s="354">
        <f ca="1">'Financial statement'!J145</f>
        <v>-23946.184613000001</v>
      </c>
      <c r="F36" s="354">
        <f t="shared" ref="F36:J36" ca="1" si="9">SUM(F29:F35)</f>
        <v>-18756.835691044922</v>
      </c>
      <c r="G36" s="354">
        <f t="shared" ca="1" si="9"/>
        <v>-16814.640536083636</v>
      </c>
      <c r="H36" s="354">
        <f t="shared" ca="1" si="9"/>
        <v>-27220.12996257954</v>
      </c>
      <c r="I36" s="354">
        <f t="shared" ca="1" si="9"/>
        <v>-27469.330883453997</v>
      </c>
      <c r="J36" s="354">
        <f t="shared" ca="1" si="9"/>
        <v>-34926.926502036033</v>
      </c>
      <c r="K36" s="354">
        <f t="shared" ref="K36" ca="1" si="10">SUM(K29:K35)</f>
        <v>-34535.131544498734</v>
      </c>
    </row>
    <row r="37" spans="1:11" ht="2.25" customHeight="1">
      <c r="B37" s="272"/>
      <c r="C37" s="272"/>
      <c r="D37" s="272"/>
      <c r="E37" s="272"/>
      <c r="F37" s="272"/>
      <c r="G37" s="272"/>
      <c r="H37" s="272"/>
      <c r="I37" s="272"/>
      <c r="J37" s="272"/>
      <c r="K37" s="272"/>
    </row>
    <row r="38" spans="1:11" ht="15.95" customHeight="1">
      <c r="A38" s="59" t="s">
        <v>336</v>
      </c>
      <c r="B38" s="272">
        <f ca="1">B17+B26+B36</f>
        <v>9810.9613449999961</v>
      </c>
      <c r="C38" s="272">
        <f t="shared" ref="C38:E38" ca="1" si="11">C17+C26+C36</f>
        <v>1217.8579390000014</v>
      </c>
      <c r="D38" s="272">
        <f t="shared" ca="1" si="11"/>
        <v>-4788.9018450000003</v>
      </c>
      <c r="E38" s="272">
        <f t="shared" ca="1" si="11"/>
        <v>-4788.9018450000003</v>
      </c>
      <c r="F38" s="272">
        <f t="shared" ref="F38:J38" ca="1" si="12">F17+F26+F36</f>
        <v>19663.203893227299</v>
      </c>
      <c r="G38" s="272">
        <f t="shared" ca="1" si="12"/>
        <v>-27116.618226688814</v>
      </c>
      <c r="H38" s="272">
        <f t="shared" ca="1" si="12"/>
        <v>-32137.475304445015</v>
      </c>
      <c r="I38" s="272">
        <f t="shared" ca="1" si="12"/>
        <v>-28093.607655757707</v>
      </c>
      <c r="J38" s="272">
        <f t="shared" ca="1" si="12"/>
        <v>-18146.116273791267</v>
      </c>
      <c r="K38" s="272">
        <f t="shared" ref="K38" ca="1" si="13">K17+K26+K36</f>
        <v>-30743.548080134577</v>
      </c>
    </row>
    <row r="39" spans="1:11" ht="15.95" customHeight="1">
      <c r="A39" s="59" t="s">
        <v>703</v>
      </c>
      <c r="B39" s="272">
        <f ca="1">'Financial statement'!G147</f>
        <v>7830.2630140000001</v>
      </c>
      <c r="C39" s="272">
        <f ca="1">'Financial statement'!H147</f>
        <v>17641.224359</v>
      </c>
      <c r="D39" s="272">
        <f ca="1">'Financial statement'!I147</f>
        <v>18859.082298000001</v>
      </c>
      <c r="E39" s="272">
        <f ca="1">'Financial statement'!J147</f>
        <v>18859.082298000001</v>
      </c>
      <c r="F39" s="272">
        <f ca="1">E41</f>
        <v>14070.180453000001</v>
      </c>
      <c r="G39" s="272">
        <f ca="1">'PL&amp;BS Projection'!G28</f>
        <v>41007.163728317042</v>
      </c>
      <c r="H39" s="272">
        <f ca="1">'PL&amp;BS Projection'!H28</f>
        <v>11231.956173795683</v>
      </c>
      <c r="I39" s="272">
        <f ca="1">'PL&amp;BS Projection'!I28</f>
        <v>-11825.097205490223</v>
      </c>
      <c r="J39" s="272">
        <f ca="1">'PL&amp;BS Projection'!J28</f>
        <v>-30339.881094340002</v>
      </c>
      <c r="K39" s="272">
        <f ca="1">'PL&amp;BS Projection'!K28</f>
        <v>-39111.928364059189</v>
      </c>
    </row>
    <row r="40" spans="1:11" ht="15.95" customHeight="1">
      <c r="A40" s="59" t="s">
        <v>775</v>
      </c>
      <c r="B40" s="272">
        <f ca="1">'Financial statement'!G148</f>
        <v>0</v>
      </c>
      <c r="C40" s="272">
        <f ca="1">'Financial statement'!H148</f>
        <v>0</v>
      </c>
      <c r="D40" s="272">
        <f ca="1">'Financial statement'!I148</f>
        <v>0</v>
      </c>
      <c r="E40" s="272">
        <f ca="1">'Financial statement'!J148</f>
        <v>0</v>
      </c>
      <c r="F40" s="272"/>
      <c r="G40" s="272"/>
      <c r="H40" s="272"/>
      <c r="I40" s="272"/>
      <c r="J40" s="272"/>
      <c r="K40" s="272"/>
    </row>
    <row r="41" spans="1:11" ht="15.95" customHeight="1" thickBot="1">
      <c r="A41" s="373" t="s">
        <v>704</v>
      </c>
      <c r="B41" s="423">
        <f ca="1">B38+B39+B40</f>
        <v>17641.224358999996</v>
      </c>
      <c r="C41" s="423">
        <f t="shared" ref="C41:E41" ca="1" si="14">C38+C39+C40</f>
        <v>18859.082298000001</v>
      </c>
      <c r="D41" s="423">
        <f t="shared" ca="1" si="14"/>
        <v>14070.180453000001</v>
      </c>
      <c r="E41" s="423">
        <f t="shared" ca="1" si="14"/>
        <v>14070.180453000001</v>
      </c>
      <c r="F41" s="423">
        <f ca="1">F42</f>
        <v>41007.163728317042</v>
      </c>
      <c r="G41" s="374">
        <f t="shared" ref="G41:J41" ca="1" si="15">G38+G39</f>
        <v>13890.545501628229</v>
      </c>
      <c r="H41" s="374">
        <f t="shared" ca="1" si="15"/>
        <v>-20905.519130649333</v>
      </c>
      <c r="I41" s="374">
        <f t="shared" ca="1" si="15"/>
        <v>-39918.704861247927</v>
      </c>
      <c r="J41" s="374">
        <f t="shared" ca="1" si="15"/>
        <v>-48485.997368131269</v>
      </c>
      <c r="K41" s="374">
        <f t="shared" ref="K41" ca="1" si="16">K38+K39</f>
        <v>-69855.476444193773</v>
      </c>
    </row>
    <row r="42" spans="1:11" ht="15.95" customHeight="1">
      <c r="B42" s="194">
        <f ca="1">'PL&amp;BS Projection'!C28</f>
        <v>17641.224359</v>
      </c>
      <c r="C42" s="194">
        <f ca="1">'PL&amp;BS Projection'!D28</f>
        <v>18859.082298000001</v>
      </c>
      <c r="D42" s="194">
        <f ca="1">'PL&amp;BS Projection'!E28</f>
        <v>14070.180453000001</v>
      </c>
      <c r="E42" s="194">
        <f ca="1">'PL&amp;BS Projection'!F28</f>
        <v>14070.180453000001</v>
      </c>
      <c r="F42" s="353">
        <f ca="1">'PL&amp;BS Projection'!G28</f>
        <v>41007.163728317042</v>
      </c>
      <c r="G42" s="194">
        <f ca="1">'PL&amp;BS Projection'!H28</f>
        <v>11231.956173795683</v>
      </c>
      <c r="H42" s="194">
        <f ca="1">'PL&amp;BS Projection'!I28</f>
        <v>-11825.097205490223</v>
      </c>
      <c r="I42" s="194">
        <f ca="1">'PL&amp;BS Projection'!J28</f>
        <v>-30339.881094340002</v>
      </c>
      <c r="J42" s="194">
        <f ca="1">'PL&amp;BS Projection'!K28</f>
        <v>-39111.928364059189</v>
      </c>
      <c r="K42" s="194">
        <f ca="1">'PL&amp;BS Projection'!L28</f>
        <v>-61264.997355196218</v>
      </c>
    </row>
    <row r="43" spans="1:11" ht="15.95" customHeight="1">
      <c r="B43" s="194">
        <f ca="1">B41-B42</f>
        <v>0</v>
      </c>
      <c r="C43" s="194">
        <f t="shared" ref="C43:F43" ca="1" si="17">C41-C42</f>
        <v>0</v>
      </c>
      <c r="D43" s="194">
        <f t="shared" ca="1" si="17"/>
        <v>0</v>
      </c>
      <c r="E43" s="194">
        <f t="shared" ca="1" si="17"/>
        <v>0</v>
      </c>
      <c r="F43" s="194">
        <f t="shared" ca="1" si="17"/>
        <v>0</v>
      </c>
    </row>
    <row r="44" spans="1:11" ht="15.95" customHeight="1">
      <c r="C44" s="194"/>
    </row>
  </sheetData>
  <mergeCells count="1">
    <mergeCell ref="F3:J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138"/>
  <sheetViews>
    <sheetView showGridLines="0" tabSelected="1" zoomScale="96" zoomScaleNormal="96" workbookViewId="0">
      <pane xSplit="1" ySplit="4" topLeftCell="B55" activePane="bottomRight" state="frozen"/>
      <selection pane="topRight" activeCell="B1" sqref="B1"/>
      <selection pane="bottomLeft" activeCell="A5" sqref="A5"/>
      <selection pane="bottomRight" activeCell="H75" sqref="H75"/>
    </sheetView>
  </sheetViews>
  <sheetFormatPr defaultRowHeight="15.95" customHeight="1"/>
  <cols>
    <col min="1" max="1" width="25.7109375" style="59" bestFit="1" customWidth="1"/>
    <col min="2" max="2" width="13.42578125" style="59" customWidth="1"/>
    <col min="3" max="6" width="12" style="59" customWidth="1"/>
    <col min="7" max="7" width="13.28515625" style="59" customWidth="1"/>
    <col min="8" max="12" width="12" style="59" customWidth="1"/>
    <col min="13" max="16384" width="9.140625" style="59"/>
  </cols>
  <sheetData>
    <row r="1" spans="1:14" ht="15.95" customHeight="1">
      <c r="A1" s="59">
        <f>Info!B6</f>
        <v>0</v>
      </c>
      <c r="C1" s="242"/>
      <c r="D1" s="242"/>
      <c r="E1" s="242">
        <f ca="1">G5/F5-1</f>
        <v>0.20744786129583104</v>
      </c>
      <c r="F1" s="242">
        <f ca="1">G21/F21-1</f>
        <v>1.7947479090592151</v>
      </c>
      <c r="G1" s="242">
        <f ca="1">H21/G21-1</f>
        <v>-8.7716712404002584E-2</v>
      </c>
      <c r="H1" s="242">
        <f t="shared" ref="H1:K1" ca="1" si="0">I21/H21-1</f>
        <v>0.37790884026690663</v>
      </c>
      <c r="I1" s="242">
        <f t="shared" ca="1" si="0"/>
        <v>0.28898474722710521</v>
      </c>
      <c r="J1" s="242">
        <f t="shared" ca="1" si="0"/>
        <v>0.21135249681457591</v>
      </c>
      <c r="K1" s="242">
        <f t="shared" ca="1" si="0"/>
        <v>9.4055207195220536E-2</v>
      </c>
      <c r="L1" s="242">
        <f>H5/G5-1</f>
        <v>-6.2829051274376879E-2</v>
      </c>
    </row>
    <row r="2" spans="1:14" ht="15.95" customHeight="1">
      <c r="A2" s="343" t="s">
        <v>705</v>
      </c>
      <c r="B2" s="343"/>
      <c r="C2" s="426"/>
      <c r="D2" s="426"/>
      <c r="E2" s="426"/>
      <c r="F2" s="426">
        <f ca="1">F6/F5</f>
        <v>-0.82208595612075586</v>
      </c>
      <c r="G2" s="426">
        <f t="shared" ref="G2:L2" si="1">G6/G5</f>
        <v>-0.72953211993633915</v>
      </c>
      <c r="H2" s="426">
        <f t="shared" si="1"/>
        <v>-0.74914758101256018</v>
      </c>
      <c r="I2" s="426">
        <f t="shared" si="1"/>
        <v>-0.71968558758386536</v>
      </c>
      <c r="J2" s="426">
        <f>J6/J5</f>
        <v>-0.69536913315968407</v>
      </c>
      <c r="K2" s="426">
        <f t="shared" si="1"/>
        <v>-0.6816467783761363</v>
      </c>
      <c r="L2" s="426">
        <f t="shared" si="1"/>
        <v>-0.6876948729034239</v>
      </c>
    </row>
    <row r="3" spans="1:14" ht="15.95" customHeight="1">
      <c r="A3" s="39"/>
      <c r="B3" s="39"/>
      <c r="G3" s="647" t="s">
        <v>486</v>
      </c>
      <c r="H3" s="647"/>
      <c r="I3" s="647"/>
      <c r="J3" s="647"/>
      <c r="K3" s="647"/>
    </row>
    <row r="4" spans="1:14" ht="15.95" customHeight="1">
      <c r="A4" s="370" t="s">
        <v>729</v>
      </c>
      <c r="B4" s="281">
        <v>2010</v>
      </c>
      <c r="C4" s="281">
        <f t="shared" ref="C4:L4" si="2">B4+1</f>
        <v>2011</v>
      </c>
      <c r="D4" s="281">
        <f t="shared" si="2"/>
        <v>2012</v>
      </c>
      <c r="E4" s="281">
        <f t="shared" si="2"/>
        <v>2013</v>
      </c>
      <c r="F4" s="281">
        <f t="shared" si="2"/>
        <v>2014</v>
      </c>
      <c r="G4" s="376">
        <f t="shared" si="2"/>
        <v>2015</v>
      </c>
      <c r="H4" s="375">
        <f t="shared" si="2"/>
        <v>2016</v>
      </c>
      <c r="I4" s="375">
        <f t="shared" si="2"/>
        <v>2017</v>
      </c>
      <c r="J4" s="375">
        <f t="shared" si="2"/>
        <v>2018</v>
      </c>
      <c r="K4" s="377">
        <f t="shared" si="2"/>
        <v>2019</v>
      </c>
      <c r="L4" s="377">
        <f t="shared" si="2"/>
        <v>2020</v>
      </c>
    </row>
    <row r="5" spans="1:14" ht="15.95" customHeight="1">
      <c r="A5" s="39" t="s">
        <v>490</v>
      </c>
      <c r="B5" s="195">
        <f ca="1">'Financial statement'!F7</f>
        <v>236308.29508800001</v>
      </c>
      <c r="C5" s="195">
        <f ca="1">'Financial statement'!G7</f>
        <v>219475.614375</v>
      </c>
      <c r="D5" s="195">
        <f ca="1">'Financial statement'!H7</f>
        <v>215999.39709700001</v>
      </c>
      <c r="E5" s="195">
        <f ca="1">'Financial statement'!I7</f>
        <v>148128.420377</v>
      </c>
      <c r="F5" s="195">
        <f ca="1">'Financial statement'!J7</f>
        <v>171110.26989900001</v>
      </c>
      <c r="G5" s="627">
        <f>'Assump-F '!C6</f>
        <v>206606.72943529999</v>
      </c>
      <c r="H5" s="195">
        <f>'Assump-F '!D6</f>
        <v>193625.82463797822</v>
      </c>
      <c r="I5" s="195">
        <f>'Assump-F '!E6</f>
        <v>237962.15417033673</v>
      </c>
      <c r="J5" s="195">
        <f>'Assump-F '!F6</f>
        <v>284731.99488504394</v>
      </c>
      <c r="K5" s="195">
        <f>'Assump-F '!G6</f>
        <v>330502.09409949498</v>
      </c>
      <c r="L5" s="195">
        <f>'Assump-F '!H6</f>
        <v>372446.21463373542</v>
      </c>
    </row>
    <row r="6" spans="1:14" ht="15.95" customHeight="1">
      <c r="A6" s="39" t="s">
        <v>617</v>
      </c>
      <c r="B6" s="195">
        <f ca="1">-'Financial statement'!F8</f>
        <v>-146492.52196700001</v>
      </c>
      <c r="C6" s="195">
        <f ca="1">-'Financial statement'!G8</f>
        <v>-137914.110698</v>
      </c>
      <c r="D6" s="195">
        <f ca="1">-'Financial statement'!H8</f>
        <v>-174783.657565</v>
      </c>
      <c r="E6" s="195">
        <f ca="1">'Financial statement'!I8</f>
        <v>-128199.049285</v>
      </c>
      <c r="F6" s="195">
        <f ca="1">'Financial statement'!J8</f>
        <v>-140667.34983200001</v>
      </c>
      <c r="G6" s="195">
        <f>-COGS!H21</f>
        <v>-150726.24531804805</v>
      </c>
      <c r="H6" s="195">
        <f>-COGS!I21</f>
        <v>-145054.31814910355</v>
      </c>
      <c r="I6" s="195">
        <f>-COGS!J21</f>
        <v>-171257.93274680115</v>
      </c>
      <c r="J6" s="195">
        <f>-COGS!K21</f>
        <v>-197993.84046604059</v>
      </c>
      <c r="K6" s="195">
        <f>-COGS!L21</f>
        <v>-225285.68768948739</v>
      </c>
      <c r="L6" s="195">
        <f>-COGS!M21</f>
        <v>-256129.35223590804</v>
      </c>
      <c r="M6" s="59">
        <f>G6/G5</f>
        <v>-0.72953211993633915</v>
      </c>
      <c r="N6" s="59">
        <f>H6/H5</f>
        <v>-0.74914758101256018</v>
      </c>
    </row>
    <row r="7" spans="1:14" ht="15.95" customHeight="1">
      <c r="A7" s="39" t="s">
        <v>491</v>
      </c>
      <c r="B7" s="195">
        <f ca="1">'Financial statement'!F9</f>
        <v>89815.773121000006</v>
      </c>
      <c r="C7" s="195">
        <f ca="1">'Financial statement'!G9</f>
        <v>81561.503677000001</v>
      </c>
      <c r="D7" s="195">
        <f ca="1">'Financial statement'!H9</f>
        <v>41215.739532</v>
      </c>
      <c r="E7" s="195">
        <f ca="1">'Financial statement'!I9</f>
        <v>19929.371092000001</v>
      </c>
      <c r="F7" s="195">
        <f ca="1">'Financial statement'!J9</f>
        <v>30442.920066999999</v>
      </c>
      <c r="G7" s="195">
        <f>G5+G6</f>
        <v>55880.484117251937</v>
      </c>
      <c r="H7" s="195">
        <f t="shared" ref="H7:L7" si="3">H5+H6</f>
        <v>48571.506488874671</v>
      </c>
      <c r="I7" s="195">
        <f t="shared" si="3"/>
        <v>66704.221423535579</v>
      </c>
      <c r="J7" s="195">
        <f t="shared" si="3"/>
        <v>86738.154419003346</v>
      </c>
      <c r="K7" s="195">
        <f t="shared" si="3"/>
        <v>105216.40641000759</v>
      </c>
      <c r="L7" s="195">
        <f t="shared" si="3"/>
        <v>116316.86239782738</v>
      </c>
    </row>
    <row r="8" spans="1:14" ht="15.95" customHeight="1">
      <c r="A8" s="39" t="s">
        <v>532</v>
      </c>
      <c r="B8" s="195">
        <f ca="1">-'Financial statement'!F13</f>
        <v>-8542.2622790000005</v>
      </c>
      <c r="C8" s="195">
        <f ca="1">-'Financial statement'!G13</f>
        <v>-6528.2653300000002</v>
      </c>
      <c r="D8" s="195">
        <f ca="1">-'Financial statement'!H13</f>
        <v>-3817.5390520000001</v>
      </c>
      <c r="E8" s="195">
        <f ca="1">'Financial statement'!I13</f>
        <v>-1221.3484289999999</v>
      </c>
      <c r="F8" s="195">
        <f ca="1">'Financial statement'!J13</f>
        <v>-321.48605800000001</v>
      </c>
      <c r="G8" s="195">
        <f ca="1">-G5*'Assump-F '!C34</f>
        <v>-367.5169802249975</v>
      </c>
      <c r="H8" s="195">
        <f ca="1">-H5*'Assump-F '!D34</f>
        <v>-344.42623703023702</v>
      </c>
      <c r="I8" s="195">
        <f ca="1">-I5*'Assump-F '!E34</f>
        <v>-423.29275792492763</v>
      </c>
      <c r="J8" s="195">
        <f ca="1">-J5*'Assump-F '!F34</f>
        <v>-506.48806657752436</v>
      </c>
      <c r="K8" s="195">
        <f ca="1">-K5*'Assump-F '!G34</f>
        <v>-587.90501119433202</v>
      </c>
      <c r="L8" s="195">
        <f ca="1">-L5*'Assump-F '!H34</f>
        <v>-662.51621364194978</v>
      </c>
    </row>
    <row r="9" spans="1:14" ht="15.95" customHeight="1">
      <c r="A9" s="39" t="s">
        <v>621</v>
      </c>
      <c r="B9" s="367">
        <f ca="1">-'Financial statement'!F14</f>
        <v>-18302.965</v>
      </c>
      <c r="C9" s="367">
        <f ca="1">-'Financial statement'!G14</f>
        <v>-20905.802082999999</v>
      </c>
      <c r="D9" s="367">
        <f ca="1">-'Financial statement'!H14</f>
        <v>-16871.68778</v>
      </c>
      <c r="E9" s="367">
        <f ca="1">'Financial statement'!I14</f>
        <v>-7321.2759269999997</v>
      </c>
      <c r="F9" s="367">
        <f ca="1">'Financial statement'!J14</f>
        <v>-10559.548016000001</v>
      </c>
      <c r="G9" s="367">
        <f ca="1">-G5*'Assump-F '!C35</f>
        <v>-12956.710397605138</v>
      </c>
      <c r="H9" s="367">
        <f ca="1">-H5*'Assump-F '!D35</f>
        <v>-12142.652575686754</v>
      </c>
      <c r="I9" s="367">
        <f ca="1">-I5*'Assump-F '!E35</f>
        <v>-14923.070151695332</v>
      </c>
      <c r="J9" s="367">
        <f ca="1">-J5*'Assump-F '!F35</f>
        <v>-17856.097953543143</v>
      </c>
      <c r="K9" s="367">
        <f ca="1">-K5*'Assump-F '!G35</f>
        <v>-20726.430018777286</v>
      </c>
      <c r="L9" s="367">
        <f ca="1">-L5*'Assump-F '!H35</f>
        <v>-23356.827509361363</v>
      </c>
    </row>
    <row r="10" spans="1:14" ht="15.95" customHeight="1" thickBot="1">
      <c r="A10" s="39" t="s">
        <v>628</v>
      </c>
      <c r="B10" s="195">
        <f t="shared" ref="B10:F10" ca="1" si="4">B7-B8-B9</f>
        <v>116661.0004</v>
      </c>
      <c r="C10" s="195">
        <f t="shared" ca="1" si="4"/>
        <v>108995.57109</v>
      </c>
      <c r="D10" s="195">
        <f t="shared" ca="1" si="4"/>
        <v>61904.966364</v>
      </c>
      <c r="E10" s="195">
        <f t="shared" ref="E10" ca="1" si="5">E7-E8-E9</f>
        <v>28471.995448000001</v>
      </c>
      <c r="F10" s="195">
        <f t="shared" ca="1" si="4"/>
        <v>41323.954140999995</v>
      </c>
      <c r="G10" s="627">
        <f t="shared" ref="G10" ca="1" si="6">G7+G8+G9</f>
        <v>42556.256739421806</v>
      </c>
      <c r="H10" s="195">
        <f t="shared" ref="H10:L10" ca="1" si="7">H7+H8+H9</f>
        <v>36084.427676157677</v>
      </c>
      <c r="I10" s="195">
        <f t="shared" ca="1" si="7"/>
        <v>51357.858513915322</v>
      </c>
      <c r="J10" s="195">
        <f t="shared" ca="1" si="7"/>
        <v>68375.568398882679</v>
      </c>
      <c r="K10" s="195">
        <f t="shared" ca="1" si="7"/>
        <v>83902.071380035966</v>
      </c>
      <c r="L10" s="195">
        <f t="shared" ca="1" si="7"/>
        <v>92297.518674824067</v>
      </c>
    </row>
    <row r="11" spans="1:14" ht="15.95" customHeight="1" thickBot="1">
      <c r="A11" s="39" t="s">
        <v>629</v>
      </c>
      <c r="B11" s="195">
        <f ca="1">'Financial statement'!F114</f>
        <v>3493.4532760000002</v>
      </c>
      <c r="C11" s="195">
        <f ca="1">'Financial statement'!G114</f>
        <v>7952.5981869999996</v>
      </c>
      <c r="D11" s="195">
        <f ca="1">'Financial statement'!H114</f>
        <v>16059.227774000001</v>
      </c>
      <c r="E11" s="195">
        <f ca="1">'Financial statement'!I114</f>
        <v>11980.664847</v>
      </c>
      <c r="F11" s="195">
        <f ca="1">'Financial statement'!J114</f>
        <v>11980.664847</v>
      </c>
      <c r="G11" s="630">
        <f ca="1">-CAPEX!C16</f>
        <v>9694</v>
      </c>
      <c r="H11" s="618">
        <f ca="1">-CAPEX!D16</f>
        <v>10694</v>
      </c>
      <c r="I11" s="618">
        <f ca="1">-CAPEX!E16</f>
        <v>10694</v>
      </c>
      <c r="J11" s="618">
        <f ca="1">-CAPEX!F16</f>
        <v>10694</v>
      </c>
      <c r="K11" s="619">
        <f ca="1">-CAPEX!G16</f>
        <v>10694</v>
      </c>
      <c r="L11" s="195">
        <f ca="1">-CAPEX!H16</f>
        <v>10694</v>
      </c>
    </row>
    <row r="12" spans="1:14" ht="15.95" customHeight="1">
      <c r="A12" s="39" t="s">
        <v>492</v>
      </c>
      <c r="B12" s="195">
        <f t="shared" ref="B12:K12" ca="1" si="8">B10-B11</f>
        <v>113167.547124</v>
      </c>
      <c r="C12" s="195">
        <f t="shared" ca="1" si="8"/>
        <v>101042.972903</v>
      </c>
      <c r="D12" s="195">
        <f t="shared" ca="1" si="8"/>
        <v>45845.738590000001</v>
      </c>
      <c r="E12" s="195">
        <f t="shared" ref="E12" ca="1" si="9">E10-E11</f>
        <v>16491.330601000001</v>
      </c>
      <c r="F12" s="195">
        <f t="shared" ca="1" si="8"/>
        <v>29343.289293999995</v>
      </c>
      <c r="G12" s="195">
        <f ca="1">G10-G11</f>
        <v>32862.256739421806</v>
      </c>
      <c r="H12" s="195">
        <f t="shared" ca="1" si="8"/>
        <v>25390.427676157677</v>
      </c>
      <c r="I12" s="195">
        <f t="shared" ca="1" si="8"/>
        <v>40663.858513915322</v>
      </c>
      <c r="J12" s="195">
        <f t="shared" ca="1" si="8"/>
        <v>57681.568398882679</v>
      </c>
      <c r="K12" s="195">
        <f t="shared" ca="1" si="8"/>
        <v>73208.071380035966</v>
      </c>
      <c r="L12" s="195">
        <f t="shared" ref="L12" ca="1" si="10">L10-L11</f>
        <v>81603.518674824067</v>
      </c>
    </row>
    <row r="13" spans="1:14" ht="15.95" customHeight="1">
      <c r="A13" s="39" t="s">
        <v>622</v>
      </c>
      <c r="B13" s="195">
        <f ca="1">'Financial statement'!F10</f>
        <v>10601.267393</v>
      </c>
      <c r="C13" s="195">
        <f ca="1">'Financial statement'!G10</f>
        <v>9037.655471</v>
      </c>
      <c r="D13" s="195">
        <f ca="1">'Financial statement'!H10</f>
        <v>3124.9562510000001</v>
      </c>
      <c r="E13" s="195">
        <f ca="1">'Financial statement'!I10</f>
        <v>4974.7517879999996</v>
      </c>
      <c r="F13" s="195">
        <f ca="1">'Financial statement'!J10</f>
        <v>1437.58177</v>
      </c>
      <c r="G13" s="195">
        <f ca="1">SUM(G14:G15)</f>
        <v>11003.473445032083</v>
      </c>
      <c r="H13" s="195">
        <f t="shared" ref="H13:L13" ca="1" si="11">SUM(H14:H15)</f>
        <v>12819.343566282383</v>
      </c>
      <c r="I13" s="195">
        <f t="shared" ca="1" si="11"/>
        <v>14200.616645139817</v>
      </c>
      <c r="J13" s="195">
        <f t="shared" ca="1" si="11"/>
        <v>15948.095076666101</v>
      </c>
      <c r="K13" s="195">
        <f t="shared" ca="1" si="11"/>
        <v>18125.568245888444</v>
      </c>
      <c r="L13" s="195">
        <f t="shared" ca="1" si="11"/>
        <v>19415.309369510698</v>
      </c>
    </row>
    <row r="14" spans="1:14" ht="15.95" customHeight="1">
      <c r="A14" s="39" t="s">
        <v>633</v>
      </c>
      <c r="B14" s="195"/>
      <c r="C14" s="195"/>
      <c r="D14" s="195"/>
      <c r="E14" s="195">
        <v>299</v>
      </c>
      <c r="F14" s="195">
        <v>299</v>
      </c>
      <c r="G14" s="195">
        <f ca="1">'Assump-F '!$K$8*('PL&amp;BS Projection'!G28+'PL&amp;BS Projection'!G29)</f>
        <v>3241.0581864158521</v>
      </c>
      <c r="H14" s="195">
        <f ca="1">'Assump-F '!$K$8*('PL&amp;BS Projection'!H28+'PL&amp;BS Projection'!H29)</f>
        <v>1752.2978086897842</v>
      </c>
      <c r="I14" s="195">
        <f ca="1">'Assump-F '!$K$8*('PL&amp;BS Projection'!I28+'PL&amp;BS Projection'!I29)</f>
        <v>599.44513972548884</v>
      </c>
      <c r="J14" s="195">
        <f ca="1">'Assump-F '!$K$8*('PL&amp;BS Projection'!J28+'PL&amp;BS Projection'!J29)</f>
        <v>-326.29405471700011</v>
      </c>
      <c r="K14" s="195">
        <f ca="1">'Assump-F '!$K$8*('PL&amp;BS Projection'!K28+'PL&amp;BS Projection'!K29)</f>
        <v>-764.89641820295947</v>
      </c>
      <c r="L14" s="195">
        <f ca="1">'Assump-F '!$K$8*('PL&amp;BS Projection'!L28+'PL&amp;BS Projection'!L29)</f>
        <v>-1872.5498677598109</v>
      </c>
    </row>
    <row r="15" spans="1:14" ht="15.95" customHeight="1">
      <c r="A15" s="39" t="s">
        <v>634</v>
      </c>
      <c r="B15" s="195"/>
      <c r="C15" s="195"/>
      <c r="D15" s="195"/>
      <c r="E15" s="195">
        <f ca="1">E13-E14</f>
        <v>4675.7517879999996</v>
      </c>
      <c r="F15" s="195">
        <f ca="1">F13-F14</f>
        <v>1138.58177</v>
      </c>
      <c r="G15" s="195">
        <v>7762.4152586162299</v>
      </c>
      <c r="H15" s="195">
        <f ca="1">F15*(1+'Assump-F '!D49)+10000</f>
        <v>11067.045757592599</v>
      </c>
      <c r="I15" s="195">
        <f ca="1">H15*(1+'Assump-F '!E49)</f>
        <v>13601.171505414328</v>
      </c>
      <c r="J15" s="195">
        <f ca="1">I15*(1+'Assump-F '!F49)</f>
        <v>16274.389131383101</v>
      </c>
      <c r="K15" s="195">
        <f ca="1">J15*(1+'Assump-F '!G49)</f>
        <v>18890.464664091403</v>
      </c>
      <c r="L15" s="195">
        <f ca="1">K15*(1+'Assump-F '!H49)</f>
        <v>21287.85923727051</v>
      </c>
    </row>
    <row r="16" spans="1:14" ht="15.95" customHeight="1">
      <c r="A16" s="39" t="s">
        <v>623</v>
      </c>
      <c r="B16" s="195">
        <f ca="1">-'Financial statement'!F11</f>
        <v>-3079.331126</v>
      </c>
      <c r="C16" s="195">
        <f ca="1">-'Financial statement'!G11</f>
        <v>-13572.220249</v>
      </c>
      <c r="D16" s="195">
        <f ca="1">-'Financial statement'!H11</f>
        <v>-6684.653405</v>
      </c>
      <c r="E16" s="195">
        <f ca="1">'Financial statement'!I11</f>
        <v>-6835.4874289999998</v>
      </c>
      <c r="F16" s="195">
        <f ca="1">'Financial statement'!J11</f>
        <v>-2319.3397249999998</v>
      </c>
      <c r="G16" s="195">
        <f t="shared" ref="G16" ca="1" si="12">SUM(G17:G18)</f>
        <v>-1692.586008483594</v>
      </c>
      <c r="H16" s="195">
        <f t="shared" ref="H16:L16" ca="1" si="13">SUM(H17:H18)</f>
        <v>-1586.2424353702856</v>
      </c>
      <c r="I16" s="195">
        <f t="shared" ca="1" si="13"/>
        <v>-1949.4593123766469</v>
      </c>
      <c r="J16" s="195">
        <f t="shared" ca="1" si="13"/>
        <v>-2332.6122630529694</v>
      </c>
      <c r="K16" s="195">
        <f t="shared" ca="1" si="13"/>
        <v>-2707.5750232158516</v>
      </c>
      <c r="L16" s="195">
        <f t="shared" ca="1" si="13"/>
        <v>-3051.1941867757532</v>
      </c>
    </row>
    <row r="17" spans="1:14" ht="15.95" customHeight="1">
      <c r="A17" s="39" t="s">
        <v>624</v>
      </c>
      <c r="B17" s="195">
        <f ca="1">-'Financial statement'!F12</f>
        <v>-1283.5399990000001</v>
      </c>
      <c r="C17" s="195">
        <f ca="1">-'Financial statement'!G12</f>
        <v>-8090.7236329999996</v>
      </c>
      <c r="D17" s="195">
        <f ca="1">-'Financial statement'!H12</f>
        <v>-4019.591238</v>
      </c>
      <c r="E17" s="195">
        <f ca="1">'Financial statement'!I12</f>
        <v>-2645.4536149999999</v>
      </c>
      <c r="F17" s="195">
        <f ca="1">'Financial statement'!J12</f>
        <v>-774.53977799999996</v>
      </c>
      <c r="G17" s="195">
        <f ca="1">-(G55+G69)*'Assump-F '!$K$6</f>
        <v>-1692.586008483594</v>
      </c>
      <c r="H17" s="195">
        <f ca="1">-(H55+H69)*'Assump-F '!$K$6</f>
        <v>-1586.2424353702856</v>
      </c>
      <c r="I17" s="195">
        <f ca="1">-(I55+I69)*'Assump-F '!$K$6</f>
        <v>-1949.4593123766469</v>
      </c>
      <c r="J17" s="195">
        <f ca="1">-(J55+J69)*'Assump-F '!$K$6</f>
        <v>-2332.6122630529694</v>
      </c>
      <c r="K17" s="195">
        <f ca="1">-(K55+K69)*'Assump-F '!$K$6</f>
        <v>-2707.5750232158516</v>
      </c>
      <c r="L17" s="195">
        <f ca="1">-(L55+L69)*'Assump-F '!$K$6</f>
        <v>-3051.1941867757532</v>
      </c>
    </row>
    <row r="18" spans="1:14" ht="15.95" customHeight="1">
      <c r="A18" s="39" t="s">
        <v>634</v>
      </c>
      <c r="B18" s="195">
        <f ca="1">B16-B17</f>
        <v>-1795.791127</v>
      </c>
      <c r="C18" s="195">
        <f ca="1">C16-C17</f>
        <v>-5481.4966160000004</v>
      </c>
      <c r="D18" s="195">
        <f ca="1">D16-D17</f>
        <v>-2665.062167</v>
      </c>
      <c r="E18" s="195">
        <f ca="1">E16-E17</f>
        <v>-4190.0338140000003</v>
      </c>
      <c r="F18" s="195">
        <f ca="1">F16-F17</f>
        <v>-1544.799947</v>
      </c>
      <c r="G18" s="195">
        <v>0</v>
      </c>
      <c r="H18" s="195">
        <f>-'Assump-F '!D91</f>
        <v>0</v>
      </c>
      <c r="I18" s="195">
        <f>-'Assump-F '!E91</f>
        <v>0</v>
      </c>
      <c r="J18" s="195">
        <f>-'Assump-F '!F91</f>
        <v>0</v>
      </c>
      <c r="K18" s="195">
        <f>-'Assump-F '!G91</f>
        <v>0</v>
      </c>
      <c r="L18" s="195">
        <f>-'Assump-F '!H91</f>
        <v>0</v>
      </c>
    </row>
    <row r="19" spans="1:14" ht="15.95" customHeight="1">
      <c r="A19" s="39" t="s">
        <v>625</v>
      </c>
      <c r="B19" s="195">
        <f ca="1">'Financial statement'!F20</f>
        <v>70492.482109000004</v>
      </c>
      <c r="C19" s="195">
        <f ca="1">'Financial statement'!G20</f>
        <v>47040.089518000001</v>
      </c>
      <c r="D19" s="195">
        <f ca="1">'Financial statement'!H20</f>
        <v>18842.470161000001</v>
      </c>
      <c r="E19" s="195">
        <f ca="1">'Financial statement'!I20</f>
        <v>10730.692444</v>
      </c>
      <c r="F19" s="195">
        <f ca="1">'Financial statement'!J20</f>
        <v>18922.743263</v>
      </c>
      <c r="G19" s="195">
        <f ca="1">G7+G8+G9+G13+G16</f>
        <v>51867.144175970294</v>
      </c>
      <c r="H19" s="195">
        <f ca="1">H7+H8+H9+H13+H16</f>
        <v>47317.528807069772</v>
      </c>
      <c r="I19" s="195">
        <f t="shared" ref="I19:L19" ca="1" si="14">I7+I8+I9+I13+I16</f>
        <v>63609.0158466785</v>
      </c>
      <c r="J19" s="195">
        <f t="shared" ca="1" si="14"/>
        <v>81991.051212495804</v>
      </c>
      <c r="K19" s="195">
        <f t="shared" ca="1" si="14"/>
        <v>99320.06460270856</v>
      </c>
      <c r="L19" s="195">
        <f t="shared" ca="1" si="14"/>
        <v>108661.63385755901</v>
      </c>
    </row>
    <row r="20" spans="1:14" ht="15.95" customHeight="1">
      <c r="A20" s="39" t="s">
        <v>626</v>
      </c>
      <c r="B20" s="195">
        <f ca="1">-'Financial statement'!F21</f>
        <v>-16522.659511000002</v>
      </c>
      <c r="C20" s="195">
        <f ca="1">-'Financial statement'!G21</f>
        <v>-8481.0443579999992</v>
      </c>
      <c r="D20" s="195">
        <f ca="1">-'Financial statement'!H21</f>
        <v>-3140.4625209999999</v>
      </c>
      <c r="E20" s="195">
        <f ca="1">-'Financial statement'!I21</f>
        <v>2294.122797</v>
      </c>
      <c r="F20" s="195">
        <f ca="1">-'Financial statement'!J21</f>
        <v>4075.709938</v>
      </c>
      <c r="G20" s="195">
        <f ca="1">-G19*'Assump-F '!$K$18</f>
        <v>-10373.42883519406</v>
      </c>
      <c r="H20" s="195">
        <f ca="1">-H19*'Assump-F '!$K$18</f>
        <v>-9463.505761413955</v>
      </c>
      <c r="I20" s="195">
        <f ca="1">-I19*('Assump-F '!$K$18-2%)</f>
        <v>-11449.622852402132</v>
      </c>
      <c r="J20" s="195">
        <f ca="1">-J19*('Assump-F '!$K$18-2%)</f>
        <v>-14758.389218249247</v>
      </c>
      <c r="K20" s="195">
        <f ca="1">-K19*('Assump-F '!$K$18-2%)</f>
        <v>-17877.611628487542</v>
      </c>
      <c r="L20" s="195">
        <f ca="1">-L19*('Assump-F '!$K$18-2%)</f>
        <v>-19559.094094360622</v>
      </c>
    </row>
    <row r="21" spans="1:14" ht="15.95" customHeight="1">
      <c r="A21" s="39" t="s">
        <v>627</v>
      </c>
      <c r="B21" s="195">
        <f ca="1">'Financial statement'!F23</f>
        <v>53969.822597999999</v>
      </c>
      <c r="C21" s="195">
        <f ca="1">'Financial statement'!G23</f>
        <v>38559.045160000001</v>
      </c>
      <c r="D21" s="195">
        <f ca="1">'Financial statement'!H23</f>
        <v>15702.00764</v>
      </c>
      <c r="E21" s="195">
        <f ca="1">'Financial statement'!I23</f>
        <v>8436.5696470000003</v>
      </c>
      <c r="F21" s="195">
        <f ca="1">'Financial statement'!J23</f>
        <v>14847.033325</v>
      </c>
      <c r="G21" s="625">
        <f ca="1">G19+G20</f>
        <v>41493.715340776238</v>
      </c>
      <c r="H21" s="195">
        <f ca="1">H19+H20</f>
        <v>37854.02304565582</v>
      </c>
      <c r="I21" s="195">
        <f t="shared" ref="I21:L21" ca="1" si="15">I19+I20</f>
        <v>52159.392994276364</v>
      </c>
      <c r="J21" s="195">
        <f t="shared" ca="1" si="15"/>
        <v>67232.661994246562</v>
      </c>
      <c r="K21" s="195">
        <f t="shared" ca="1" si="15"/>
        <v>81442.452974221014</v>
      </c>
      <c r="L21" s="195">
        <f t="shared" ca="1" si="15"/>
        <v>89102.53976319838</v>
      </c>
      <c r="M21" s="59">
        <f>H5/G5-1</f>
        <v>-6.2829051274376879E-2</v>
      </c>
      <c r="N21" s="59">
        <f ca="1">H21/G21-1</f>
        <v>-8.7716712404002584E-2</v>
      </c>
    </row>
    <row r="22" spans="1:14" ht="15.95" customHeight="1" thickBot="1">
      <c r="A22" s="371" t="s">
        <v>496</v>
      </c>
      <c r="B22" s="372">
        <f ca="1">'Financial statement'!F28</f>
        <v>3569.4454595274351</v>
      </c>
      <c r="C22" s="372">
        <f ca="1">'Financial statement'!G28</f>
        <v>2550.2105073655689</v>
      </c>
      <c r="D22" s="372">
        <f ca="1">'Financial statement'!H28</f>
        <v>1038.4962776983464</v>
      </c>
      <c r="E22" s="372">
        <f ca="1">'Financial statement'!I28</f>
        <v>557.97617577470191</v>
      </c>
      <c r="F22" s="372">
        <f ca="1">'Financial statement'!J28</f>
        <v>981.95015544367686</v>
      </c>
      <c r="G22" s="372">
        <f ca="1">G21/'Assump-F '!C80*1000000</f>
        <v>2744.3031437265872</v>
      </c>
      <c r="H22" s="372">
        <f ca="1">H21/'Assump-F '!D80*1000000</f>
        <v>2503.5818941189223</v>
      </c>
      <c r="I22" s="372">
        <f ca="1">I21/'Assump-F '!E80*1000000</f>
        <v>3449.7076242386293</v>
      </c>
      <c r="J22" s="372">
        <f ca="1">J21/'Assump-F '!F80*1000000</f>
        <v>4446.6205100366469</v>
      </c>
      <c r="K22" s="372">
        <f ca="1">K21/'Assump-F '!G80*1000000</f>
        <v>5386.4248572197948</v>
      </c>
      <c r="L22" s="372">
        <f ca="1">L21/'Assump-F '!H80*1000000</f>
        <v>5893.0461632070892</v>
      </c>
      <c r="M22" s="270">
        <f ca="1">21700/H22</f>
        <v>8.6675814563824414</v>
      </c>
    </row>
    <row r="23" spans="1:14" ht="5.25" customHeight="1">
      <c r="C23" s="340"/>
      <c r="D23" s="340"/>
      <c r="E23" s="340"/>
      <c r="F23" s="340"/>
      <c r="G23" s="340"/>
      <c r="H23" s="340"/>
      <c r="I23" s="340"/>
      <c r="J23" s="340"/>
      <c r="K23" s="340"/>
      <c r="L23" s="340"/>
    </row>
    <row r="24" spans="1:14" ht="15.95" customHeight="1">
      <c r="D24" s="425"/>
      <c r="E24" s="425"/>
      <c r="F24" s="425"/>
      <c r="G24" s="647" t="s">
        <v>486</v>
      </c>
      <c r="H24" s="647"/>
      <c r="I24" s="647"/>
      <c r="J24" s="647"/>
      <c r="K24" s="647"/>
    </row>
    <row r="25" spans="1:14" ht="15.95" customHeight="1">
      <c r="A25" s="368" t="s">
        <v>630</v>
      </c>
      <c r="B25" s="369">
        <f>B4</f>
        <v>2010</v>
      </c>
      <c r="C25" s="369">
        <f t="shared" ref="C25:F25" si="16">C4</f>
        <v>2011</v>
      </c>
      <c r="D25" s="369">
        <f t="shared" si="16"/>
        <v>2012</v>
      </c>
      <c r="E25" s="369">
        <f t="shared" si="16"/>
        <v>2013</v>
      </c>
      <c r="F25" s="369">
        <f t="shared" si="16"/>
        <v>2014</v>
      </c>
      <c r="G25" s="376">
        <f t="shared" ref="G25:L25" si="17">F25+1</f>
        <v>2015</v>
      </c>
      <c r="H25" s="375">
        <f t="shared" si="17"/>
        <v>2016</v>
      </c>
      <c r="I25" s="375">
        <f t="shared" si="17"/>
        <v>2017</v>
      </c>
      <c r="J25" s="375">
        <f t="shared" si="17"/>
        <v>2018</v>
      </c>
      <c r="K25" s="377">
        <f t="shared" si="17"/>
        <v>2019</v>
      </c>
      <c r="L25" s="377">
        <f t="shared" si="17"/>
        <v>2020</v>
      </c>
    </row>
    <row r="26" spans="1:14" ht="15.95" customHeight="1">
      <c r="A26" s="59" t="s">
        <v>232</v>
      </c>
      <c r="B26" s="272">
        <f ca="1">'Financial statement'!F31</f>
        <v>377072.19397099997</v>
      </c>
      <c r="C26" s="272">
        <f ca="1">'Financial statement'!G31</f>
        <v>381644.06778300001</v>
      </c>
      <c r="D26" s="272">
        <f ca="1">'Financial statement'!H31</f>
        <v>366192.39994099998</v>
      </c>
      <c r="E26" s="272">
        <f ca="1">'Financial statement'!I31</f>
        <v>340810.38156200002</v>
      </c>
      <c r="F26" s="272">
        <f ca="1">'Financial statement'!J31</f>
        <v>340810.38156200002</v>
      </c>
      <c r="G26" s="272">
        <f ca="1">G52</f>
        <v>377608.47467786074</v>
      </c>
      <c r="H26" s="272">
        <f t="shared" ref="H26:L26" ca="1" si="18">H52</f>
        <v>394634.37625133398</v>
      </c>
      <c r="I26" s="272">
        <f t="shared" ca="1" si="18"/>
        <v>433618.57607063733</v>
      </c>
      <c r="J26" s="272">
        <f t="shared" ca="1" si="18"/>
        <v>488153.05832467193</v>
      </c>
      <c r="K26" s="272">
        <f t="shared" ca="1" si="18"/>
        <v>549179.59095621482</v>
      </c>
      <c r="L26" s="272">
        <f t="shared" ca="1" si="18"/>
        <v>617332.6760347205</v>
      </c>
    </row>
    <row r="27" spans="1:14" ht="15.95" customHeight="1">
      <c r="A27" s="59" t="s">
        <v>233</v>
      </c>
      <c r="B27" s="272">
        <f ca="1">'Financial statement'!F32</f>
        <v>119261.974548</v>
      </c>
      <c r="C27" s="272">
        <f ca="1">'Financial statement'!G32</f>
        <v>126479.19818399999</v>
      </c>
      <c r="D27" s="272">
        <f ca="1">'Financial statement'!H32</f>
        <v>111971.96210400001</v>
      </c>
      <c r="E27" s="272">
        <f ca="1">'Financial statement'!I32</f>
        <v>94402.223230000003</v>
      </c>
      <c r="F27" s="272">
        <f ca="1">'Financial statement'!J32</f>
        <v>94402.223230000003</v>
      </c>
      <c r="G27" s="272">
        <f ca="1">SUM(G28:G32)</f>
        <v>146063.66380268146</v>
      </c>
      <c r="H27" s="272">
        <f t="shared" ref="H27:L27" ca="1" si="19">SUM(H28:H32)</f>
        <v>112427.47608967163</v>
      </c>
      <c r="I27" s="272">
        <f t="shared" ca="1" si="19"/>
        <v>103324.94702010743</v>
      </c>
      <c r="J27" s="272">
        <f t="shared" ca="1" si="19"/>
        <v>99428.851496444564</v>
      </c>
      <c r="K27" s="272">
        <f t="shared" ca="1" si="19"/>
        <v>105089.65079490008</v>
      </c>
      <c r="L27" s="272">
        <f t="shared" ca="1" si="19"/>
        <v>96818.202540720144</v>
      </c>
    </row>
    <row r="28" spans="1:14" ht="15.95" customHeight="1" thickBot="1">
      <c r="A28" s="59" t="s">
        <v>631</v>
      </c>
      <c r="B28" s="272">
        <f ca="1">'Financial statement'!F33</f>
        <v>7830.2630140000001</v>
      </c>
      <c r="C28" s="272">
        <f ca="1">'Financial statement'!G33</f>
        <v>17641.224359</v>
      </c>
      <c r="D28" s="272">
        <f ca="1">'Financial statement'!H33</f>
        <v>18859.082298000001</v>
      </c>
      <c r="E28" s="272">
        <f ca="1">'Financial statement'!I33</f>
        <v>14070.180453000001</v>
      </c>
      <c r="F28" s="272">
        <f ca="1">'Financial statement'!J33</f>
        <v>14070.180453000001</v>
      </c>
      <c r="G28" s="272">
        <f ca="1">G26-SUM(G29:G32)-G33</f>
        <v>41007.163728316635</v>
      </c>
      <c r="H28" s="272">
        <f t="shared" ref="H28:L28" ca="1" si="20">H26-SUM(H29:H32)-H33</f>
        <v>11231.956173791375</v>
      </c>
      <c r="I28" s="272">
        <f t="shared" ca="1" si="20"/>
        <v>-11825.097205515835</v>
      </c>
      <c r="J28" s="272">
        <f t="shared" ca="1" si="20"/>
        <v>-30339.88109444594</v>
      </c>
      <c r="K28" s="272">
        <f t="shared" ca="1" si="20"/>
        <v>-39111.928364411113</v>
      </c>
      <c r="L28" s="272">
        <f t="shared" ca="1" si="20"/>
        <v>-61264.997356195876</v>
      </c>
      <c r="M28" s="272"/>
    </row>
    <row r="29" spans="1:14" ht="15.95" customHeight="1">
      <c r="A29" s="59" t="s">
        <v>235</v>
      </c>
      <c r="B29" s="272">
        <f ca="1">'Financial statement'!F34</f>
        <v>33734.559433000002</v>
      </c>
      <c r="C29" s="272">
        <f ca="1">'Financial statement'!G34</f>
        <v>26298.748533999998</v>
      </c>
      <c r="D29" s="272">
        <f ca="1">'Financial statement'!H34</f>
        <v>27503.288784</v>
      </c>
      <c r="E29" s="272">
        <f ca="1">'Financial statement'!I34</f>
        <v>19130.770533999999</v>
      </c>
      <c r="F29" s="272">
        <f ca="1">'Financial statement'!J34</f>
        <v>19130.770533999999</v>
      </c>
      <c r="G29" s="631">
        <f ca="1">'Assump-F '!C63</f>
        <v>23814</v>
      </c>
      <c r="H29" s="272">
        <f ca="1">'Assump-F '!D63</f>
        <v>23814</v>
      </c>
      <c r="I29" s="272">
        <f ca="1">'Assump-F '!E63</f>
        <v>23814</v>
      </c>
      <c r="J29" s="272">
        <f ca="1">'Assump-F '!F63</f>
        <v>23814</v>
      </c>
      <c r="K29" s="272">
        <f ca="1">'Assump-F '!G63</f>
        <v>23814</v>
      </c>
      <c r="L29" s="272">
        <f ca="1">'Assump-F '!H63</f>
        <v>23814</v>
      </c>
    </row>
    <row r="30" spans="1:14" ht="15.95" customHeight="1">
      <c r="A30" s="59" t="s">
        <v>237</v>
      </c>
      <c r="B30" s="272">
        <f ca="1">'Financial statement'!F37</f>
        <v>29743.365677000002</v>
      </c>
      <c r="C30" s="272">
        <f ca="1">'Financial statement'!G37</f>
        <v>36962.891757999998</v>
      </c>
      <c r="D30" s="272">
        <f ca="1">'Financial statement'!H37</f>
        <v>41603.863453999998</v>
      </c>
      <c r="E30" s="272">
        <f ca="1">'Financial statement'!I37</f>
        <v>47635.269694000002</v>
      </c>
      <c r="F30" s="272">
        <f ca="1">'Financial statement'!J37</f>
        <v>47635.269694000002</v>
      </c>
      <c r="G30" s="632">
        <f>G5*'Assump-F '!$K$23/365+13000</f>
        <v>52623.208384852049</v>
      </c>
      <c r="H30" s="272">
        <f>H5*'Assump-F '!$K$23/365+13000</f>
        <v>50133.719793584867</v>
      </c>
      <c r="I30" s="272">
        <f>I5*'Assump-F '!$K$23/365+13000</f>
        <v>58636.577512119373</v>
      </c>
      <c r="J30" s="272">
        <f>J5*'Assump-F '!$K$23/365+13000</f>
        <v>67606.136005350898</v>
      </c>
      <c r="K30" s="272">
        <f>K5*'Assump-F '!$K$23/365+13000</f>
        <v>76383.963251957932</v>
      </c>
      <c r="L30" s="272">
        <f>L5*'Assump-F '!$K$23/365+13000</f>
        <v>84428.041162634196</v>
      </c>
    </row>
    <row r="31" spans="1:14" ht="15.95" customHeight="1">
      <c r="A31" s="59" t="s">
        <v>632</v>
      </c>
      <c r="B31" s="272">
        <f ca="1">'Financial statement'!F44</f>
        <v>40645.311867999997</v>
      </c>
      <c r="C31" s="272">
        <f ca="1">'Financial statement'!G44</f>
        <v>34582.212185999997</v>
      </c>
      <c r="D31" s="272">
        <f ca="1">'Financial statement'!H44</f>
        <v>14167.202520000001</v>
      </c>
      <c r="E31" s="272">
        <f ca="1">'Financial statement'!I44</f>
        <v>3886.809745</v>
      </c>
      <c r="F31" s="272">
        <f ca="1">'Financial statement'!J44</f>
        <v>3886.809745</v>
      </c>
      <c r="G31" s="632">
        <f>-G6*'Assump-F '!$K$22/365</f>
        <v>16930.893309698546</v>
      </c>
      <c r="H31" s="272">
        <f>-H6*'Assump-F '!$K$22/365</f>
        <v>16293.772723597933</v>
      </c>
      <c r="I31" s="272">
        <f>-I6*'Assump-F '!$K$22/365</f>
        <v>19237.192445531087</v>
      </c>
      <c r="J31" s="272">
        <f>-J6*'Assump-F '!$K$22/365</f>
        <v>22240.403997555244</v>
      </c>
      <c r="K31" s="272">
        <f>-K6*'Assump-F '!$K$22/365</f>
        <v>25306.063548682145</v>
      </c>
      <c r="L31" s="272">
        <f>-L6*'Assump-F '!$K$22/365</f>
        <v>28770.694360745834</v>
      </c>
    </row>
    <row r="32" spans="1:14" ht="15.95" customHeight="1" thickBot="1">
      <c r="A32" s="59" t="s">
        <v>248</v>
      </c>
      <c r="B32" s="272">
        <f ca="1">'Financial statement'!F47</f>
        <v>7308.4745560000001</v>
      </c>
      <c r="C32" s="272">
        <f ca="1">'Financial statement'!G47</f>
        <v>10994.121347</v>
      </c>
      <c r="D32" s="272">
        <f ca="1">'Financial statement'!H47</f>
        <v>9838.5250479999995</v>
      </c>
      <c r="E32" s="272">
        <f ca="1">'Financial statement'!I47</f>
        <v>9679.1928040000003</v>
      </c>
      <c r="F32" s="272">
        <f ca="1">'Financial statement'!J47</f>
        <v>9679.1928040000003</v>
      </c>
      <c r="G32" s="633">
        <f ca="1">F32*(1+'Assump-F '!C49)</f>
        <v>11688.398379813816</v>
      </c>
      <c r="H32" s="272">
        <f ca="1">G32*(1+'Assump-F '!D49)</f>
        <v>10954.02739869315</v>
      </c>
      <c r="I32" s="272">
        <f ca="1">H32*(1+'Assump-F '!E49)</f>
        <v>13462.274267947203</v>
      </c>
      <c r="J32" s="272">
        <f ca="1">I32*(1+'Assump-F '!F49)</f>
        <v>16108.192587878428</v>
      </c>
      <c r="K32" s="272">
        <f ca="1">J32*(1+'Assump-F '!G49)</f>
        <v>18697.552358319201</v>
      </c>
      <c r="L32" s="272">
        <f ca="1">K32*(1+'Assump-F '!H49)</f>
        <v>21070.464372536328</v>
      </c>
    </row>
    <row r="33" spans="1:12" ht="15.95" customHeight="1">
      <c r="A33" s="59" t="s">
        <v>249</v>
      </c>
      <c r="B33" s="272">
        <f ca="1">'Financial statement'!F48</f>
        <v>257810.219423</v>
      </c>
      <c r="C33" s="272">
        <f ca="1">'Financial statement'!G48</f>
        <v>255164.869599</v>
      </c>
      <c r="D33" s="272">
        <f ca="1">'Financial statement'!H48</f>
        <v>254220.437837</v>
      </c>
      <c r="E33" s="272">
        <f ca="1">'Financial statement'!I48</f>
        <v>246408.15833199999</v>
      </c>
      <c r="F33" s="272">
        <f ca="1">'Financial statement'!J48</f>
        <v>246408.15833199999</v>
      </c>
      <c r="G33" s="272">
        <f ca="1">G34+G35+G46+G49+G50+G51</f>
        <v>231544.81087517968</v>
      </c>
      <c r="H33" s="272">
        <f t="shared" ref="H33:L33" ca="1" si="21">H34+H35+H46+H49+H50+H51</f>
        <v>282206.90016166662</v>
      </c>
      <c r="I33" s="272">
        <f t="shared" ca="1" si="21"/>
        <v>330293.62905055552</v>
      </c>
      <c r="J33" s="272">
        <f t="shared" ca="1" si="21"/>
        <v>388724.20682833332</v>
      </c>
      <c r="K33" s="272">
        <f t="shared" ca="1" si="21"/>
        <v>444089.94016166666</v>
      </c>
      <c r="L33" s="272">
        <f t="shared" ca="1" si="21"/>
        <v>520514.47349500004</v>
      </c>
    </row>
    <row r="34" spans="1:12" ht="15.95" customHeight="1">
      <c r="A34" s="59" t="s">
        <v>250</v>
      </c>
      <c r="B34" s="272">
        <f ca="1">'Financial statement'!F49</f>
        <v>0</v>
      </c>
      <c r="C34" s="272">
        <f ca="1">'Financial statement'!G49</f>
        <v>0</v>
      </c>
      <c r="D34" s="272">
        <f ca="1">'Financial statement'!H49</f>
        <v>0</v>
      </c>
      <c r="E34" s="272">
        <f ca="1">'Financial statement'!I49</f>
        <v>0</v>
      </c>
      <c r="F34" s="272">
        <f ca="1">'Financial statement'!J49</f>
        <v>0</v>
      </c>
      <c r="G34" s="272">
        <f ca="1">F34*(1+'Assump-F '!C53)</f>
        <v>0</v>
      </c>
      <c r="H34" s="272">
        <f ca="1">G34*(1+'Assump-F '!D53)</f>
        <v>0</v>
      </c>
      <c r="I34" s="272">
        <f ca="1">H34*(1+'Assump-F '!E53)</f>
        <v>0</v>
      </c>
      <c r="J34" s="272">
        <f ca="1">I34*(1+'Assump-F '!F53)</f>
        <v>0</v>
      </c>
      <c r="K34" s="272">
        <f ca="1">J34*(1+'Assump-F '!G53)</f>
        <v>0</v>
      </c>
      <c r="L34" s="272">
        <f ca="1">K34*(1+'Assump-F '!H53)</f>
        <v>0</v>
      </c>
    </row>
    <row r="35" spans="1:12" ht="15.95" customHeight="1">
      <c r="A35" s="59" t="s">
        <v>251</v>
      </c>
      <c r="B35" s="272">
        <f t="shared" ref="B35:F35" ca="1" si="22">B36+B39+B42+B45</f>
        <v>181247.65074099999</v>
      </c>
      <c r="C35" s="272">
        <f t="shared" ca="1" si="22"/>
        <v>185965.64020199998</v>
      </c>
      <c r="D35" s="272">
        <f t="shared" ca="1" si="22"/>
        <v>179213.60208899999</v>
      </c>
      <c r="E35" s="272">
        <f t="shared" ca="1" si="22"/>
        <v>171359.773495</v>
      </c>
      <c r="F35" s="272">
        <f t="shared" ca="1" si="22"/>
        <v>171359.773495</v>
      </c>
      <c r="G35" s="272">
        <f ca="1">G36+G39+G42+G45</f>
        <v>172915.60682833334</v>
      </c>
      <c r="H35" s="272">
        <f t="shared" ref="H35:K35" ca="1" si="23">H36+H39+H42+H45</f>
        <v>217478.54016166663</v>
      </c>
      <c r="I35" s="272">
        <f t="shared" ca="1" si="23"/>
        <v>264771.47349499998</v>
      </c>
      <c r="J35" s="272">
        <f t="shared" ca="1" si="23"/>
        <v>322064.40682833333</v>
      </c>
      <c r="K35" s="272">
        <f t="shared" ca="1" si="23"/>
        <v>376627.34016166668</v>
      </c>
      <c r="L35" s="272">
        <f t="shared" ref="L35" ca="1" si="24">L36+L39+L42+L45</f>
        <v>451190.27349500003</v>
      </c>
    </row>
    <row r="36" spans="1:12" ht="15.95" customHeight="1">
      <c r="A36" s="59" t="s">
        <v>252</v>
      </c>
      <c r="B36" s="272">
        <f t="shared" ref="B36:F36" ca="1" si="25">SUM(B37:B38)</f>
        <v>16109.282551999997</v>
      </c>
      <c r="C36" s="272">
        <f t="shared" ca="1" si="25"/>
        <v>43613.854566000009</v>
      </c>
      <c r="D36" s="272">
        <f t="shared" ca="1" si="25"/>
        <v>43643.296271000007</v>
      </c>
      <c r="E36" s="272">
        <f t="shared" ca="1" si="25"/>
        <v>38613.949870000004</v>
      </c>
      <c r="F36" s="272">
        <f t="shared" ca="1" si="25"/>
        <v>38613.949870000004</v>
      </c>
      <c r="G36" s="272">
        <f ca="1">SUM(G37:G38)</f>
        <v>33186.783203333332</v>
      </c>
      <c r="H36" s="272">
        <f t="shared" ref="H36:K36" ca="1" si="26">SUM(H37:H38)</f>
        <v>50321.24987</v>
      </c>
      <c r="I36" s="272">
        <f t="shared" ca="1" si="26"/>
        <v>68820.716536666674</v>
      </c>
      <c r="J36" s="272">
        <f t="shared" ca="1" si="26"/>
        <v>92320.183203333349</v>
      </c>
      <c r="K36" s="272">
        <f t="shared" ca="1" si="26"/>
        <v>114454.64987000002</v>
      </c>
      <c r="L36" s="272">
        <f t="shared" ref="L36" ca="1" si="27">SUM(L37:L38)</f>
        <v>146589.1165366667</v>
      </c>
    </row>
    <row r="37" spans="1:12" ht="15.95" customHeight="1">
      <c r="A37" s="59" t="s">
        <v>253</v>
      </c>
      <c r="B37" s="272">
        <f ca="1">'Financial statement'!F52</f>
        <v>47184.164519999998</v>
      </c>
      <c r="C37" s="272">
        <f ca="1">'Financial statement'!G52</f>
        <v>79116.171465000007</v>
      </c>
      <c r="D37" s="272">
        <f ca="1">'Financial statement'!H52</f>
        <v>85610.372325000004</v>
      </c>
      <c r="E37" s="272">
        <f ca="1">'Financial statement'!I52</f>
        <v>83962.125773000007</v>
      </c>
      <c r="F37" s="272">
        <f ca="1">'Financial statement'!J52</f>
        <v>83962.125773000007</v>
      </c>
      <c r="G37" s="272">
        <f ca="1">CAPEX!C14</f>
        <v>88228.959106333336</v>
      </c>
      <c r="H37" s="272">
        <f ca="1">CAPEX!D14</f>
        <v>116057.425773</v>
      </c>
      <c r="I37" s="272">
        <f ca="1">CAPEX!E14</f>
        <v>145250.89243966667</v>
      </c>
      <c r="J37" s="272">
        <f ca="1">CAPEX!F14</f>
        <v>179444.35910633334</v>
      </c>
      <c r="K37" s="272">
        <f ca="1">CAPEX!G14</f>
        <v>212272.82577300002</v>
      </c>
      <c r="L37" s="272">
        <f ca="1">CAPEX!H14</f>
        <v>255101.29243966669</v>
      </c>
    </row>
    <row r="38" spans="1:12" ht="15.95" customHeight="1">
      <c r="A38" s="59" t="s">
        <v>254</v>
      </c>
      <c r="B38" s="272">
        <f ca="1">'Financial statement'!F53</f>
        <v>-31074.881968000002</v>
      </c>
      <c r="C38" s="272">
        <f ca="1">'Financial statement'!G53</f>
        <v>-35502.316898999998</v>
      </c>
      <c r="D38" s="272">
        <f ca="1">'Financial statement'!H53</f>
        <v>-41967.076053999997</v>
      </c>
      <c r="E38" s="272">
        <f ca="1">'Financial statement'!I53</f>
        <v>-45348.175903000003</v>
      </c>
      <c r="F38" s="272">
        <f ca="1">'Financial statement'!J53</f>
        <v>-45348.175903000003</v>
      </c>
      <c r="G38" s="272">
        <f ca="1">CAPEX!C15</f>
        <v>-55042.175903000003</v>
      </c>
      <c r="H38" s="272">
        <f ca="1">CAPEX!D15</f>
        <v>-65736.175902999996</v>
      </c>
      <c r="I38" s="272">
        <f ca="1">CAPEX!E15</f>
        <v>-76430.175902999996</v>
      </c>
      <c r="J38" s="272">
        <f ca="1">CAPEX!F15</f>
        <v>-87124.175902999996</v>
      </c>
      <c r="K38" s="272">
        <f ca="1">CAPEX!G15</f>
        <v>-97818.175902999996</v>
      </c>
      <c r="L38" s="272">
        <f ca="1">CAPEX!H15</f>
        <v>-108512.175903</v>
      </c>
    </row>
    <row r="39" spans="1:12" ht="15.95" customHeight="1">
      <c r="A39" s="59" t="s">
        <v>255</v>
      </c>
      <c r="B39" s="272">
        <f t="shared" ref="B39:F39" ca="1" si="28">SUM(B40:B41)</f>
        <v>0</v>
      </c>
      <c r="C39" s="272">
        <f t="shared" ca="1" si="28"/>
        <v>0</v>
      </c>
      <c r="D39" s="272">
        <f t="shared" ca="1" si="28"/>
        <v>0</v>
      </c>
      <c r="E39" s="272">
        <f t="shared" ca="1" si="28"/>
        <v>0</v>
      </c>
      <c r="F39" s="272">
        <f t="shared" ca="1" si="28"/>
        <v>0</v>
      </c>
      <c r="G39" s="272">
        <f t="shared" ref="G39:K39" ca="1" si="29">SUM(G40:G41)</f>
        <v>0</v>
      </c>
      <c r="H39" s="272">
        <f t="shared" ca="1" si="29"/>
        <v>0</v>
      </c>
      <c r="I39" s="272">
        <f t="shared" ca="1" si="29"/>
        <v>0</v>
      </c>
      <c r="J39" s="272">
        <f t="shared" ca="1" si="29"/>
        <v>0</v>
      </c>
      <c r="K39" s="272">
        <f t="shared" ca="1" si="29"/>
        <v>0</v>
      </c>
      <c r="L39" s="272">
        <f t="shared" ref="L39" ca="1" si="30">SUM(L40:L41)</f>
        <v>0</v>
      </c>
    </row>
    <row r="40" spans="1:12" ht="15.95" customHeight="1">
      <c r="A40" s="59" t="s">
        <v>253</v>
      </c>
      <c r="B40" s="272">
        <f ca="1">'Financial statement'!F55</f>
        <v>0</v>
      </c>
      <c r="C40" s="272">
        <f ca="1">'Financial statement'!G55</f>
        <v>0</v>
      </c>
      <c r="D40" s="272">
        <f ca="1">'Financial statement'!H55</f>
        <v>0</v>
      </c>
      <c r="E40" s="272">
        <f ca="1">'Financial statement'!I55</f>
        <v>0</v>
      </c>
      <c r="F40" s="272">
        <f ca="1">'Financial statement'!J55</f>
        <v>0</v>
      </c>
      <c r="G40" s="272">
        <f ca="1">CAPEX!C18</f>
        <v>0</v>
      </c>
      <c r="H40" s="272">
        <f ca="1">CAPEX!D18</f>
        <v>0</v>
      </c>
      <c r="I40" s="272">
        <f ca="1">CAPEX!E18</f>
        <v>0</v>
      </c>
      <c r="J40" s="272">
        <f ca="1">CAPEX!F18</f>
        <v>0</v>
      </c>
      <c r="K40" s="272">
        <f ca="1">CAPEX!G18</f>
        <v>0</v>
      </c>
      <c r="L40" s="272">
        <f ca="1">CAPEX!H18</f>
        <v>0</v>
      </c>
    </row>
    <row r="41" spans="1:12" ht="15.95" customHeight="1">
      <c r="A41" s="59" t="s">
        <v>254</v>
      </c>
      <c r="B41" s="272">
        <f ca="1">'Financial statement'!F56</f>
        <v>0</v>
      </c>
      <c r="C41" s="272">
        <f ca="1">'Financial statement'!G56</f>
        <v>0</v>
      </c>
      <c r="D41" s="272">
        <f ca="1">'Financial statement'!H56</f>
        <v>0</v>
      </c>
      <c r="E41" s="272">
        <f ca="1">'Financial statement'!I56</f>
        <v>0</v>
      </c>
      <c r="F41" s="272">
        <f ca="1">'Financial statement'!J56</f>
        <v>0</v>
      </c>
      <c r="G41" s="272">
        <f ca="1">CAPEX!C19</f>
        <v>0</v>
      </c>
      <c r="H41" s="272">
        <f ca="1">CAPEX!D19</f>
        <v>0</v>
      </c>
      <c r="I41" s="272">
        <f ca="1">CAPEX!E19</f>
        <v>0</v>
      </c>
      <c r="J41" s="272">
        <f ca="1">CAPEX!F19</f>
        <v>0</v>
      </c>
      <c r="K41" s="272">
        <f ca="1">CAPEX!G19</f>
        <v>0</v>
      </c>
      <c r="L41" s="272">
        <f ca="1">CAPEX!H19</f>
        <v>0</v>
      </c>
    </row>
    <row r="42" spans="1:12" ht="15.95" customHeight="1">
      <c r="A42" s="59" t="s">
        <v>256</v>
      </c>
      <c r="B42" s="272">
        <f t="shared" ref="B42:F42" ca="1" si="31">SUM(B43:B44)</f>
        <v>12798.097049</v>
      </c>
      <c r="C42" s="272">
        <f t="shared" ca="1" si="31"/>
        <v>101447.37432399999</v>
      </c>
      <c r="D42" s="272">
        <f t="shared" ca="1" si="31"/>
        <v>93600.767705000006</v>
      </c>
      <c r="E42" s="272">
        <f t="shared" ca="1" si="31"/>
        <v>94850.188613999999</v>
      </c>
      <c r="F42" s="272">
        <f t="shared" ca="1" si="31"/>
        <v>94850.188613999999</v>
      </c>
      <c r="G42" s="272">
        <f t="shared" ref="G42:K42" ca="1" si="32">SUM(G43:G44)</f>
        <v>101833.188614</v>
      </c>
      <c r="H42" s="272">
        <f t="shared" ca="1" si="32"/>
        <v>101433.188614</v>
      </c>
      <c r="I42" s="272">
        <f t="shared" ca="1" si="32"/>
        <v>101033.188614</v>
      </c>
      <c r="J42" s="272">
        <f t="shared" ca="1" si="32"/>
        <v>100633.188614</v>
      </c>
      <c r="K42" s="272">
        <f t="shared" ca="1" si="32"/>
        <v>100233.188614</v>
      </c>
      <c r="L42" s="272">
        <f t="shared" ref="L42" ca="1" si="33">SUM(L43:L44)</f>
        <v>99833.188613999999</v>
      </c>
    </row>
    <row r="43" spans="1:12" ht="15.95" customHeight="1">
      <c r="A43" s="59" t="s">
        <v>253</v>
      </c>
      <c r="B43" s="272">
        <f ca="1">'Financial statement'!F58</f>
        <v>17452.939542</v>
      </c>
      <c r="C43" s="272">
        <f ca="1">'Financial statement'!G58</f>
        <v>109627.38007299999</v>
      </c>
      <c r="D43" s="272">
        <f ca="1">'Financial statement'!H58</f>
        <v>111375.242073</v>
      </c>
      <c r="E43" s="272">
        <f ca="1">'Financial statement'!I58</f>
        <v>118358.892073</v>
      </c>
      <c r="F43" s="272">
        <f ca="1">'Financial statement'!J58</f>
        <v>118358.892073</v>
      </c>
      <c r="G43" s="272">
        <f ca="1">CAPEX!C21</f>
        <v>125341.892073</v>
      </c>
      <c r="H43" s="272">
        <f ca="1">CAPEX!D21</f>
        <v>125341.892073</v>
      </c>
      <c r="I43" s="272">
        <f ca="1">CAPEX!E21</f>
        <v>125341.892073</v>
      </c>
      <c r="J43" s="272">
        <f ca="1">CAPEX!F21</f>
        <v>125341.892073</v>
      </c>
      <c r="K43" s="272">
        <f ca="1">CAPEX!G21</f>
        <v>125341.892073</v>
      </c>
      <c r="L43" s="272">
        <f ca="1">CAPEX!H21</f>
        <v>125341.892073</v>
      </c>
    </row>
    <row r="44" spans="1:12" ht="15.95" customHeight="1">
      <c r="A44" s="59" t="s">
        <v>254</v>
      </c>
      <c r="B44" s="272">
        <f ca="1">'Financial statement'!F59</f>
        <v>-4654.8424930000001</v>
      </c>
      <c r="C44" s="272">
        <f ca="1">'Financial statement'!G59</f>
        <v>-8180.0057489999999</v>
      </c>
      <c r="D44" s="272">
        <f ca="1">'Financial statement'!H59</f>
        <v>-17774.474367999999</v>
      </c>
      <c r="E44" s="272">
        <f ca="1">'Financial statement'!I59</f>
        <v>-23508.703459</v>
      </c>
      <c r="F44" s="272">
        <f ca="1">'Financial statement'!J59</f>
        <v>-23508.703459</v>
      </c>
      <c r="G44" s="272">
        <f ca="1">CAPEX!C22</f>
        <v>-23508.703459</v>
      </c>
      <c r="H44" s="272">
        <f ca="1">CAPEX!D22</f>
        <v>-23908.703459</v>
      </c>
      <c r="I44" s="272">
        <f ca="1">CAPEX!E22</f>
        <v>-24308.703459</v>
      </c>
      <c r="J44" s="272">
        <f ca="1">CAPEX!F22</f>
        <v>-24708.703459</v>
      </c>
      <c r="K44" s="272">
        <f ca="1">CAPEX!G22</f>
        <v>-25108.703459</v>
      </c>
      <c r="L44" s="272">
        <f ca="1">CAPEX!H22</f>
        <v>-25508.703459</v>
      </c>
    </row>
    <row r="45" spans="1:12" ht="15.95" customHeight="1">
      <c r="A45" s="59" t="s">
        <v>257</v>
      </c>
      <c r="B45" s="272">
        <f ca="1">'Financial statement'!F60</f>
        <v>152340.27114</v>
      </c>
      <c r="C45" s="272">
        <f ca="1">'Financial statement'!G60</f>
        <v>40904.411311999997</v>
      </c>
      <c r="D45" s="272">
        <f ca="1">'Financial statement'!H60</f>
        <v>41969.538113000002</v>
      </c>
      <c r="E45" s="272">
        <f ca="1">'Financial statement'!I60</f>
        <v>37895.635010999998</v>
      </c>
      <c r="F45" s="272">
        <f ca="1">'Financial statement'!J60</f>
        <v>37895.635010999998</v>
      </c>
      <c r="G45" s="272">
        <f ca="1">CAPEX!C24</f>
        <v>37895.635010999998</v>
      </c>
      <c r="H45" s="272">
        <f ca="1">CAPEX!D24</f>
        <v>65724.101677666666</v>
      </c>
      <c r="I45" s="272">
        <f ca="1">CAPEX!E24</f>
        <v>94917.568344333326</v>
      </c>
      <c r="J45" s="272">
        <f ca="1">CAPEX!F24</f>
        <v>129111.035011</v>
      </c>
      <c r="K45" s="272">
        <f ca="1">CAPEX!G24</f>
        <v>161939.50167766667</v>
      </c>
      <c r="L45" s="272">
        <f ca="1">CAPEX!H24</f>
        <v>204767.96834433335</v>
      </c>
    </row>
    <row r="46" spans="1:12" ht="15.95" customHeight="1">
      <c r="A46" s="59" t="s">
        <v>258</v>
      </c>
      <c r="B46" s="272">
        <f t="shared" ref="B46:F46" ca="1" si="34">B47+B48</f>
        <v>0</v>
      </c>
      <c r="C46" s="272">
        <f t="shared" ca="1" si="34"/>
        <v>0</v>
      </c>
      <c r="D46" s="272">
        <f t="shared" ca="1" si="34"/>
        <v>0</v>
      </c>
      <c r="E46" s="272">
        <f t="shared" ca="1" si="34"/>
        <v>0</v>
      </c>
      <c r="F46" s="272">
        <f t="shared" ca="1" si="34"/>
        <v>0</v>
      </c>
      <c r="G46" s="272">
        <f t="shared" ref="G46:K46" si="35">G47+G48</f>
        <v>0</v>
      </c>
      <c r="H46" s="272">
        <f t="shared" si="35"/>
        <v>0</v>
      </c>
      <c r="I46" s="272">
        <f t="shared" si="35"/>
        <v>0</v>
      </c>
      <c r="J46" s="272">
        <f t="shared" si="35"/>
        <v>0</v>
      </c>
      <c r="K46" s="272">
        <f t="shared" si="35"/>
        <v>0</v>
      </c>
      <c r="L46" s="272">
        <f t="shared" ref="L46" si="36">L47+L48</f>
        <v>0</v>
      </c>
    </row>
    <row r="47" spans="1:12" ht="15.95" customHeight="1">
      <c r="A47" s="59" t="s">
        <v>253</v>
      </c>
      <c r="B47" s="272">
        <f ca="1">'Financial statement'!F62</f>
        <v>0</v>
      </c>
      <c r="C47" s="272">
        <f ca="1">'Financial statement'!G62</f>
        <v>0</v>
      </c>
      <c r="D47" s="272">
        <f ca="1">'Financial statement'!H62</f>
        <v>0</v>
      </c>
      <c r="E47" s="272">
        <f ca="1">'Financial statement'!I62</f>
        <v>0</v>
      </c>
      <c r="F47" s="272">
        <f ca="1">'Financial statement'!J62</f>
        <v>0</v>
      </c>
      <c r="G47" s="272">
        <f>CAPEX!E218</f>
        <v>0</v>
      </c>
      <c r="H47" s="272">
        <f>CAPEX!F218</f>
        <v>0</v>
      </c>
      <c r="I47" s="272">
        <f>CAPEX!G218</f>
        <v>0</v>
      </c>
      <c r="J47" s="272">
        <f>CAPEX!H218</f>
        <v>0</v>
      </c>
      <c r="K47" s="272">
        <f>CAPEX!I218</f>
        <v>0</v>
      </c>
      <c r="L47" s="272">
        <f>CAPEX!J218</f>
        <v>0</v>
      </c>
    </row>
    <row r="48" spans="1:12" ht="15.95" customHeight="1">
      <c r="A48" s="59" t="s">
        <v>254</v>
      </c>
      <c r="B48" s="272">
        <f ca="1">'Financial statement'!F63</f>
        <v>0</v>
      </c>
      <c r="C48" s="272">
        <f ca="1">'Financial statement'!G63</f>
        <v>0</v>
      </c>
      <c r="D48" s="272">
        <f ca="1">'Financial statement'!H63</f>
        <v>0</v>
      </c>
      <c r="E48" s="272">
        <f ca="1">'Financial statement'!I63</f>
        <v>0</v>
      </c>
      <c r="F48" s="272">
        <f ca="1">'Financial statement'!J63</f>
        <v>0</v>
      </c>
      <c r="G48" s="272">
        <f>CAPEX!E221</f>
        <v>0</v>
      </c>
      <c r="H48" s="272">
        <f>CAPEX!F221</f>
        <v>0</v>
      </c>
      <c r="I48" s="272">
        <f>CAPEX!G221</f>
        <v>0</v>
      </c>
      <c r="J48" s="272">
        <f>CAPEX!H221</f>
        <v>0</v>
      </c>
      <c r="K48" s="272">
        <f>CAPEX!I221</f>
        <v>0</v>
      </c>
      <c r="L48" s="272">
        <f>CAPEX!J221</f>
        <v>0</v>
      </c>
    </row>
    <row r="49" spans="1:12" ht="15.95" customHeight="1">
      <c r="A49" s="59" t="s">
        <v>259</v>
      </c>
      <c r="B49" s="272">
        <f ca="1">'Financial statement'!F64</f>
        <v>61063.923433000004</v>
      </c>
      <c r="C49" s="272">
        <f ca="1">'Financial statement'!G64</f>
        <v>54957.524367999999</v>
      </c>
      <c r="D49" s="272">
        <f ca="1">'Financial statement'!H64</f>
        <v>50330.949782999996</v>
      </c>
      <c r="E49" s="272">
        <f ca="1">'Financial statement'!I64</f>
        <v>45832.197380999998</v>
      </c>
      <c r="F49" s="272">
        <f ca="1">'Financial statement'!J64</f>
        <v>45832.197380999998</v>
      </c>
      <c r="G49" s="272">
        <f ca="1">'Assump-F '!C72</f>
        <v>53605</v>
      </c>
      <c r="H49" s="272">
        <f ca="1">'Assump-F '!D72</f>
        <v>53605</v>
      </c>
      <c r="I49" s="272">
        <f ca="1">'Assump-F '!E72</f>
        <v>53605</v>
      </c>
      <c r="J49" s="272">
        <f ca="1">'Assump-F '!F72</f>
        <v>53605</v>
      </c>
      <c r="K49" s="272">
        <f ca="1">'Assump-F '!G72</f>
        <v>53605</v>
      </c>
      <c r="L49" s="272">
        <f ca="1">'Assump-F '!H72</f>
        <v>53605</v>
      </c>
    </row>
    <row r="50" spans="1:12" ht="15.95" customHeight="1">
      <c r="A50" s="59" t="s">
        <v>264</v>
      </c>
      <c r="B50" s="272">
        <f ca="1">'Financial statement'!F69</f>
        <v>15498.645248999999</v>
      </c>
      <c r="C50" s="272">
        <f ca="1">'Financial statement'!G69</f>
        <v>14241.705029000001</v>
      </c>
      <c r="D50" s="272">
        <f ca="1">'Financial statement'!H69</f>
        <v>24675.885965000001</v>
      </c>
      <c r="E50" s="272">
        <f ca="1">'Financial statement'!I69</f>
        <v>29216.187456</v>
      </c>
      <c r="F50" s="272">
        <f ca="1">'Financial statement'!J69</f>
        <v>29216.187456</v>
      </c>
      <c r="G50" s="502">
        <f>COGS!H18</f>
        <v>5024.2040468463438</v>
      </c>
      <c r="H50" s="502">
        <f>COGS!I18</f>
        <v>11123.359999999999</v>
      </c>
      <c r="I50" s="502">
        <f>COGS!J18</f>
        <v>11917.155555555555</v>
      </c>
      <c r="J50" s="502">
        <f>COGS!K18</f>
        <v>13054.800000000001</v>
      </c>
      <c r="K50" s="502">
        <f>COGS!L18</f>
        <v>13857.599999999999</v>
      </c>
      <c r="L50" s="502">
        <f>COGS!M18</f>
        <v>15719.199999999999</v>
      </c>
    </row>
    <row r="51" spans="1:12" ht="15.95" customHeight="1">
      <c r="A51" s="59" t="s">
        <v>265</v>
      </c>
      <c r="B51" s="272">
        <f ca="1">'Financial statement'!F70</f>
        <v>0</v>
      </c>
      <c r="C51" s="272">
        <f ca="1">'Financial statement'!G70</f>
        <v>0</v>
      </c>
      <c r="D51" s="272">
        <f ca="1">'Financial statement'!H70</f>
        <v>0</v>
      </c>
      <c r="E51" s="272">
        <f ca="1">'Financial statement'!I70</f>
        <v>0</v>
      </c>
      <c r="F51" s="272">
        <f ca="1">'Financial statement'!J70</f>
        <v>0</v>
      </c>
      <c r="G51" s="272">
        <f t="shared" ref="G51:L51" ca="1" si="37">F51</f>
        <v>0</v>
      </c>
      <c r="H51" s="272">
        <f t="shared" ca="1" si="37"/>
        <v>0</v>
      </c>
      <c r="I51" s="272">
        <f t="shared" ca="1" si="37"/>
        <v>0</v>
      </c>
      <c r="J51" s="272">
        <f t="shared" ca="1" si="37"/>
        <v>0</v>
      </c>
      <c r="K51" s="272">
        <f t="shared" ca="1" si="37"/>
        <v>0</v>
      </c>
      <c r="L51" s="272">
        <f t="shared" ca="1" si="37"/>
        <v>0</v>
      </c>
    </row>
    <row r="52" spans="1:12" ht="15.95" customHeight="1">
      <c r="A52" s="59" t="s">
        <v>266</v>
      </c>
      <c r="B52" s="272">
        <f ca="1">'Financial statement'!F71</f>
        <v>377072.19397099997</v>
      </c>
      <c r="C52" s="272">
        <f ca="1">'Financial statement'!G71</f>
        <v>381644.06778300001</v>
      </c>
      <c r="D52" s="272">
        <f ca="1">'Financial statement'!H71</f>
        <v>366192.39994099998</v>
      </c>
      <c r="E52" s="272">
        <f ca="1">'Financial statement'!I71</f>
        <v>340810.38156200002</v>
      </c>
      <c r="F52" s="272">
        <f ca="1">'Financial statement'!J71</f>
        <v>340810.38156200002</v>
      </c>
      <c r="G52" s="272">
        <f ca="1">G53+G73</f>
        <v>377608.47467786114</v>
      </c>
      <c r="H52" s="272">
        <f t="shared" ref="H52:L52" ca="1" si="38">H53+H73</f>
        <v>394634.37625133822</v>
      </c>
      <c r="I52" s="272">
        <f t="shared" ca="1" si="38"/>
        <v>433618.57607066294</v>
      </c>
      <c r="J52" s="272">
        <f t="shared" ca="1" si="38"/>
        <v>488153.05832477787</v>
      </c>
      <c r="K52" s="272">
        <f t="shared" ca="1" si="38"/>
        <v>549179.59095656674</v>
      </c>
      <c r="L52" s="272">
        <f t="shared" ca="1" si="38"/>
        <v>617332.67603572016</v>
      </c>
    </row>
    <row r="53" spans="1:12" ht="15.95" customHeight="1">
      <c r="A53" s="59" t="s">
        <v>267</v>
      </c>
      <c r="B53" s="272">
        <f ca="1">'Financial statement'!F72</f>
        <v>58424.906600000002</v>
      </c>
      <c r="C53" s="272">
        <f ca="1">'Financial statement'!G72</f>
        <v>64224.692251</v>
      </c>
      <c r="D53" s="272">
        <f ca="1">'Financial statement'!H72</f>
        <v>54043.410671999998</v>
      </c>
      <c r="E53" s="272">
        <f ca="1">'Financial statement'!I72</f>
        <v>35278.862799000002</v>
      </c>
      <c r="F53" s="272">
        <f ca="1">'Financial statement'!J72</f>
        <v>35278.862799000002</v>
      </c>
      <c r="G53" s="272">
        <f ca="1">G54+G65</f>
        <v>45703.186574084997</v>
      </c>
      <c r="H53" s="272">
        <f t="shared" ref="H53:L53" ca="1" si="39">H54+H65</f>
        <v>43019.000301906184</v>
      </c>
      <c r="I53" s="272">
        <f t="shared" ca="1" si="39"/>
        <v>52523.726126954454</v>
      </c>
      <c r="J53" s="272">
        <f t="shared" ca="1" si="39"/>
        <v>62505.4653868229</v>
      </c>
      <c r="K53" s="272">
        <f t="shared" ca="1" si="39"/>
        <v>72329.437044390754</v>
      </c>
      <c r="L53" s="272">
        <f t="shared" ca="1" si="39"/>
        <v>81619.874360345726</v>
      </c>
    </row>
    <row r="54" spans="1:12" ht="15.95" customHeight="1">
      <c r="A54" s="59" t="s">
        <v>268</v>
      </c>
      <c r="B54" s="272">
        <f ca="1">'Financial statement'!F73</f>
        <v>56568.216474000001</v>
      </c>
      <c r="C54" s="272">
        <f ca="1">'Financial statement'!G73</f>
        <v>62217.847475000002</v>
      </c>
      <c r="D54" s="272">
        <f ca="1">'Financial statement'!H73</f>
        <v>54043.410671999998</v>
      </c>
      <c r="E54" s="272">
        <f ca="1">'Financial statement'!I73</f>
        <v>35278.862799000002</v>
      </c>
      <c r="F54" s="272">
        <f ca="1">'Financial statement'!J73</f>
        <v>35278.862799000002</v>
      </c>
      <c r="G54" s="272">
        <f ca="1">SUM(G55:G64)</f>
        <v>45703.186574084997</v>
      </c>
      <c r="H54" s="272">
        <f t="shared" ref="H54:L54" ca="1" si="40">SUM(H55:H64)</f>
        <v>43019.000301906184</v>
      </c>
      <c r="I54" s="272">
        <f t="shared" ca="1" si="40"/>
        <v>52523.726126954454</v>
      </c>
      <c r="J54" s="272">
        <f t="shared" ca="1" si="40"/>
        <v>62505.4653868229</v>
      </c>
      <c r="K54" s="272">
        <f t="shared" ca="1" si="40"/>
        <v>72329.437044390754</v>
      </c>
      <c r="L54" s="272">
        <f t="shared" ca="1" si="40"/>
        <v>81619.874360345726</v>
      </c>
    </row>
    <row r="55" spans="1:12" ht="15.95" customHeight="1">
      <c r="A55" s="59" t="s">
        <v>269</v>
      </c>
      <c r="B55" s="272">
        <f ca="1">'Financial statement'!F74</f>
        <v>30000</v>
      </c>
      <c r="C55" s="272">
        <f ca="1">'Financial statement'!G74</f>
        <v>34237.949550999998</v>
      </c>
      <c r="D55" s="272">
        <f ca="1">'Financial statement'!H74</f>
        <v>30926.933528000001</v>
      </c>
      <c r="E55" s="272">
        <f ca="1">'Financial statement'!I74</f>
        <v>17520.435415</v>
      </c>
      <c r="F55" s="272">
        <f ca="1">'Financial statement'!J74</f>
        <v>17520.435415</v>
      </c>
      <c r="G55" s="272">
        <f ca="1">F55*(1+'Assump-F '!C49)</f>
        <v>21157.325106044926</v>
      </c>
      <c r="H55" s="272">
        <f ca="1">G55*(1+'Assump-F '!D49)</f>
        <v>19828.030442128569</v>
      </c>
      <c r="I55" s="272">
        <f ca="1">H55*(1+'Assump-F '!E49)</f>
        <v>24368.241404708086</v>
      </c>
      <c r="J55" s="272">
        <f ca="1">I55*(1+'Assump-F '!F49)</f>
        <v>29157.653288162117</v>
      </c>
      <c r="K55" s="272">
        <f ca="1">J55*(1+'Assump-F '!G49)</f>
        <v>33844.687790198142</v>
      </c>
      <c r="L55" s="272">
        <f ca="1">K55*(1+'Assump-F '!H49)</f>
        <v>38139.927334696913</v>
      </c>
    </row>
    <row r="56" spans="1:12" ht="15.95" customHeight="1">
      <c r="A56" s="59" t="s">
        <v>270</v>
      </c>
      <c r="B56" s="272">
        <f ca="1">'Financial statement'!F75</f>
        <v>11400.573995000001</v>
      </c>
      <c r="C56" s="272">
        <f ca="1">'Financial statement'!G75</f>
        <v>6530.416502</v>
      </c>
      <c r="D56" s="272">
        <f ca="1">'Financial statement'!H75</f>
        <v>5836.7489189999997</v>
      </c>
      <c r="E56" s="272">
        <f ca="1">'Financial statement'!I75</f>
        <v>3587.2849249999999</v>
      </c>
      <c r="F56" s="272">
        <f ca="1">'Financial statement'!J75</f>
        <v>3587.2849249999999</v>
      </c>
      <c r="G56" s="272">
        <f>-'Assump-F '!$K$24*'PL&amp;BS Projection'!G6/365</f>
        <v>7433.0751115749727</v>
      </c>
      <c r="H56" s="272">
        <f>-'Assump-F '!$K$24*'PL&amp;BS Projection'!H6/365</f>
        <v>7153.3636347503125</v>
      </c>
      <c r="I56" s="272">
        <f>-'Assump-F '!$K$24*'PL&amp;BS Projection'!I6/365</f>
        <v>8445.5966834038918</v>
      </c>
      <c r="J56" s="272">
        <f>-'Assump-F '!$K$24*'PL&amp;BS Projection'!J6/365</f>
        <v>9764.0798038047415</v>
      </c>
      <c r="K56" s="272">
        <f>-'Assump-F '!$K$24*'PL&amp;BS Projection'!K6/365</f>
        <v>11109.979118933625</v>
      </c>
      <c r="L56" s="272">
        <f>-'Assump-F '!$K$24*'PL&amp;BS Projection'!L6/365</f>
        <v>12631.036548620123</v>
      </c>
    </row>
    <row r="57" spans="1:12" ht="15.95" customHeight="1">
      <c r="A57" s="59" t="s">
        <v>271</v>
      </c>
      <c r="B57" s="272">
        <f ca="1">'Financial statement'!F76</f>
        <v>700.39152799999999</v>
      </c>
      <c r="C57" s="272">
        <f ca="1">'Financial statement'!G76</f>
        <v>521.04659700000002</v>
      </c>
      <c r="D57" s="272">
        <f ca="1">'Financial statement'!H76</f>
        <v>182.69495499999999</v>
      </c>
      <c r="E57" s="272">
        <f ca="1">'Financial statement'!I76</f>
        <v>1140.084302</v>
      </c>
      <c r="F57" s="272">
        <f ca="1">'Financial statement'!J76</f>
        <v>1140.084302</v>
      </c>
      <c r="G57" s="272">
        <f ca="1">F57*(1+'Assump-F '!C49)</f>
        <v>1376.7428522387727</v>
      </c>
      <c r="H57" s="272">
        <f ca="1">G57*(1+'Assump-F '!D49)</f>
        <v>1290.2434049838309</v>
      </c>
      <c r="I57" s="272">
        <f ca="1">H57*(1+'Assump-F '!E49)</f>
        <v>1585.682594912503</v>
      </c>
      <c r="J57" s="272">
        <f ca="1">I57*(1+'Assump-F '!F49)</f>
        <v>1897.3377093432416</v>
      </c>
      <c r="K57" s="272">
        <f ca="1">J57*(1+'Assump-F '!G49)</f>
        <v>2202.3309547810095</v>
      </c>
      <c r="L57" s="272">
        <f ca="1">K57*(1+'Assump-F '!H49)</f>
        <v>2481.8294410926114</v>
      </c>
    </row>
    <row r="58" spans="1:12" ht="15.95" customHeight="1">
      <c r="A58" s="59" t="s">
        <v>272</v>
      </c>
      <c r="B58" s="272">
        <f ca="1">'Financial statement'!F77</f>
        <v>6722.3942800000004</v>
      </c>
      <c r="C58" s="272">
        <f ca="1">'Financial statement'!G77</f>
        <v>11954.227204999999</v>
      </c>
      <c r="D58" s="272">
        <f ca="1">'Financial statement'!H77</f>
        <v>4568.4991380000001</v>
      </c>
      <c r="E58" s="272">
        <f ca="1">'Financial statement'!I77</f>
        <v>1915.5625170000001</v>
      </c>
      <c r="F58" s="272">
        <f ca="1">'Financial statement'!J77</f>
        <v>1915.5625170000001</v>
      </c>
      <c r="G58" s="272">
        <f ca="1">F58*(1+'Assump-F '!C49)</f>
        <v>2313.1947336437079</v>
      </c>
      <c r="H58" s="272">
        <f ca="1">G58*(1+'Assump-F '!D49)</f>
        <v>2167.8589031159886</v>
      </c>
      <c r="I58" s="272">
        <f ca="1">H58*(1+'Assump-F '!E49)</f>
        <v>2664.2539831003528</v>
      </c>
      <c r="J58" s="272">
        <f ca="1">I58*(1+'Assump-F '!F49)</f>
        <v>3187.8949580594735</v>
      </c>
      <c r="K58" s="272">
        <f ca="1">J58*(1+'Assump-F '!G49)</f>
        <v>3700.3427023831819</v>
      </c>
      <c r="L58" s="272">
        <f ca="1">K58*(1+'Assump-F '!H49)</f>
        <v>4169.9543118032207</v>
      </c>
    </row>
    <row r="59" spans="1:12" ht="15.95" customHeight="1">
      <c r="A59" s="59" t="s">
        <v>661</v>
      </c>
      <c r="B59" s="272">
        <f ca="1">'Financial statement'!F78</f>
        <v>5252.5774250000004</v>
      </c>
      <c r="C59" s="272">
        <f ca="1">'Financial statement'!G78</f>
        <v>4311.96</v>
      </c>
      <c r="D59" s="272">
        <f ca="1">'Financial statement'!H78</f>
        <v>2784.3818390000001</v>
      </c>
      <c r="E59" s="272">
        <f ca="1">'Financial statement'!I78</f>
        <v>3532.8136279999999</v>
      </c>
      <c r="F59" s="272">
        <f ca="1">'Financial statement'!J78</f>
        <v>3532.8136279999999</v>
      </c>
      <c r="G59" s="272">
        <f ca="1">F59*(1+'Assump-F '!C49)</f>
        <v>4266.1546186614596</v>
      </c>
      <c r="H59" s="272">
        <f ca="1">G59*(1+'Assump-F '!D49)</f>
        <v>3998.1161713811589</v>
      </c>
      <c r="I59" s="272">
        <f ca="1">H59*(1+'Assump-F '!E49)</f>
        <v>4913.6025039219367</v>
      </c>
      <c r="J59" s="272">
        <f ca="1">I59*(1+'Assump-F '!F49)</f>
        <v>5879.3376110235286</v>
      </c>
      <c r="K59" s="272">
        <f ca="1">J59*(1+'Assump-F '!G49)</f>
        <v>6824.4293836585093</v>
      </c>
      <c r="L59" s="272">
        <f ca="1">K59*(1+'Assump-F '!H49)</f>
        <v>7690.5197768994458</v>
      </c>
    </row>
    <row r="60" spans="1:12" ht="15.95" customHeight="1">
      <c r="A60" s="59" t="s">
        <v>274</v>
      </c>
      <c r="B60" s="272">
        <f ca="1">'Financial statement'!F79</f>
        <v>1579.961055</v>
      </c>
      <c r="C60" s="272">
        <f ca="1">'Financial statement'!G79</f>
        <v>1336.419598</v>
      </c>
      <c r="D60" s="272">
        <f ca="1">'Financial statement'!H79</f>
        <v>8266.8636999999999</v>
      </c>
      <c r="E60" s="272">
        <f ca="1">'Financial statement'!I79</f>
        <v>6448.6776829999999</v>
      </c>
      <c r="F60" s="272">
        <f ca="1">'Financial statement'!J79</f>
        <v>6448.6776829999999</v>
      </c>
      <c r="G60" s="272">
        <f ca="1">F60*(1+'Assump-F '!C49)</f>
        <v>7787.2933526822126</v>
      </c>
      <c r="H60" s="272">
        <f ca="1">G60*(1+'Assump-F '!D49)</f>
        <v>7298.0250993379277</v>
      </c>
      <c r="I60" s="272">
        <f ca="1">H60*(1+'Assump-F '!E49)</f>
        <v>8969.1226729422924</v>
      </c>
      <c r="J60" s="272">
        <f ca="1">I60*(1+'Assump-F '!F49)</f>
        <v>10731.942648356984</v>
      </c>
      <c r="K60" s="272">
        <f ca="1">J60*(1+'Assump-F '!G49)</f>
        <v>12457.080984066019</v>
      </c>
      <c r="L60" s="272">
        <f ca="1">K60*(1+'Assump-F '!H49)</f>
        <v>14038.012892301263</v>
      </c>
    </row>
    <row r="61" spans="1:12" ht="15.95" customHeight="1">
      <c r="A61" s="59" t="s">
        <v>275</v>
      </c>
      <c r="B61" s="272">
        <f ca="1">'Financial statement'!F80</f>
        <v>0</v>
      </c>
      <c r="C61" s="272">
        <f ca="1">'Financial statement'!G80</f>
        <v>0</v>
      </c>
      <c r="D61" s="272">
        <f ca="1">'Financial statement'!H80</f>
        <v>0</v>
      </c>
      <c r="E61" s="272">
        <f ca="1">'Financial statement'!I80</f>
        <v>0</v>
      </c>
      <c r="F61" s="272">
        <f ca="1">'Financial statement'!J80</f>
        <v>0</v>
      </c>
      <c r="G61" s="272">
        <f t="shared" ref="G61:L62" ca="1" si="41">F61</f>
        <v>0</v>
      </c>
      <c r="H61" s="272">
        <f t="shared" ca="1" si="41"/>
        <v>0</v>
      </c>
      <c r="I61" s="272">
        <f t="shared" ca="1" si="41"/>
        <v>0</v>
      </c>
      <c r="J61" s="272">
        <f t="shared" ca="1" si="41"/>
        <v>0</v>
      </c>
      <c r="K61" s="272">
        <f t="shared" ca="1" si="41"/>
        <v>0</v>
      </c>
      <c r="L61" s="272">
        <f t="shared" ca="1" si="41"/>
        <v>0</v>
      </c>
    </row>
    <row r="62" spans="1:12" ht="15.95" customHeight="1">
      <c r="A62" s="59" t="s">
        <v>276</v>
      </c>
      <c r="B62" s="272">
        <f ca="1">'Financial statement'!F81</f>
        <v>0</v>
      </c>
      <c r="C62" s="272">
        <f ca="1">'Financial statement'!G81</f>
        <v>0</v>
      </c>
      <c r="D62" s="272">
        <f ca="1">'Financial statement'!H81</f>
        <v>0</v>
      </c>
      <c r="E62" s="272">
        <f ca="1">'Financial statement'!I81</f>
        <v>0</v>
      </c>
      <c r="F62" s="272">
        <f ca="1">'Financial statement'!J81</f>
        <v>0</v>
      </c>
      <c r="G62" s="272">
        <f t="shared" ca="1" si="41"/>
        <v>0</v>
      </c>
      <c r="H62" s="272">
        <f t="shared" ca="1" si="41"/>
        <v>0</v>
      </c>
      <c r="I62" s="272">
        <f t="shared" ca="1" si="41"/>
        <v>0</v>
      </c>
      <c r="J62" s="272">
        <f t="shared" ca="1" si="41"/>
        <v>0</v>
      </c>
      <c r="K62" s="272">
        <f t="shared" ca="1" si="41"/>
        <v>0</v>
      </c>
      <c r="L62" s="272">
        <f t="shared" ca="1" si="41"/>
        <v>0</v>
      </c>
    </row>
    <row r="63" spans="1:12" ht="15.95" customHeight="1">
      <c r="A63" s="59" t="s">
        <v>277</v>
      </c>
      <c r="B63" s="272">
        <f ca="1">'Financial statement'!F82</f>
        <v>912.31819099999996</v>
      </c>
      <c r="C63" s="272">
        <f ca="1">'Financial statement'!G82</f>
        <v>3325.8280220000001</v>
      </c>
      <c r="D63" s="272">
        <f ca="1">'Financial statement'!H82</f>
        <v>1477.288593</v>
      </c>
      <c r="E63" s="272">
        <f ca="1">'Financial statement'!I82</f>
        <v>1134.0043290000001</v>
      </c>
      <c r="F63" s="272">
        <f ca="1">'Financial statement'!J82</f>
        <v>1134.0043290000001</v>
      </c>
      <c r="G63" s="272">
        <f ca="1">F63*(1+'Assump-F '!C49)</f>
        <v>1369.4007992389459</v>
      </c>
      <c r="H63" s="272">
        <f ca="1">G63*(1+'Assump-F '!D49)</f>
        <v>1283.3626462083894</v>
      </c>
      <c r="I63" s="272">
        <f ca="1">H63*(1+'Assump-F '!E49)</f>
        <v>1577.2262839653868</v>
      </c>
      <c r="J63" s="272">
        <f ca="1">I63*(1+'Assump-F '!F49)</f>
        <v>1887.219368072818</v>
      </c>
      <c r="K63" s="272">
        <f ca="1">J63*(1+'Assump-F '!G49)</f>
        <v>2190.5861103702559</v>
      </c>
      <c r="L63" s="272">
        <f ca="1">K63*(1+'Assump-F '!H49)</f>
        <v>2468.5940549321517</v>
      </c>
    </row>
    <row r="64" spans="1:12" ht="15.95" customHeight="1">
      <c r="A64" s="59" t="s">
        <v>278</v>
      </c>
      <c r="B64" s="272">
        <f ca="1">'Financial statement'!F83</f>
        <v>0</v>
      </c>
      <c r="C64" s="272">
        <f ca="1">'Financial statement'!G83</f>
        <v>0</v>
      </c>
      <c r="D64" s="272">
        <f ca="1">'Financial statement'!H83</f>
        <v>0</v>
      </c>
      <c r="E64" s="272">
        <f ca="1">'Financial statement'!I83</f>
        <v>0</v>
      </c>
      <c r="F64" s="272">
        <f ca="1">'Financial statement'!J83</f>
        <v>0</v>
      </c>
      <c r="G64" s="272">
        <f t="shared" ref="G64:L64" ca="1" si="42">F64</f>
        <v>0</v>
      </c>
      <c r="H64" s="272">
        <f t="shared" ca="1" si="42"/>
        <v>0</v>
      </c>
      <c r="I64" s="272">
        <f t="shared" ca="1" si="42"/>
        <v>0</v>
      </c>
      <c r="J64" s="272">
        <f t="shared" ca="1" si="42"/>
        <v>0</v>
      </c>
      <c r="K64" s="272">
        <f t="shared" ca="1" si="42"/>
        <v>0</v>
      </c>
      <c r="L64" s="272">
        <f t="shared" ca="1" si="42"/>
        <v>0</v>
      </c>
    </row>
    <row r="65" spans="1:14" ht="15.95" customHeight="1">
      <c r="A65" s="59" t="s">
        <v>279</v>
      </c>
      <c r="B65" s="272">
        <f ca="1">'Financial statement'!F84</f>
        <v>1856.690126</v>
      </c>
      <c r="C65" s="272">
        <f ca="1">'Financial statement'!G84</f>
        <v>2006.8447759999999</v>
      </c>
      <c r="D65" s="272">
        <f ca="1">'Financial statement'!H84</f>
        <v>0</v>
      </c>
      <c r="E65" s="272">
        <f ca="1">'Financial statement'!I84</f>
        <v>0</v>
      </c>
      <c r="F65" s="272">
        <f ca="1">'Financial statement'!J84</f>
        <v>0</v>
      </c>
      <c r="G65" s="272">
        <f t="shared" ref="G65:L65" ca="1" si="43">SUM(G66:G72)</f>
        <v>0</v>
      </c>
      <c r="H65" s="272">
        <f t="shared" ca="1" si="43"/>
        <v>0</v>
      </c>
      <c r="I65" s="272">
        <f t="shared" ca="1" si="43"/>
        <v>0</v>
      </c>
      <c r="J65" s="272">
        <f t="shared" ca="1" si="43"/>
        <v>0</v>
      </c>
      <c r="K65" s="272">
        <f t="shared" ca="1" si="43"/>
        <v>0</v>
      </c>
      <c r="L65" s="272">
        <f t="shared" ca="1" si="43"/>
        <v>0</v>
      </c>
    </row>
    <row r="66" spans="1:14" ht="15.95" customHeight="1">
      <c r="A66" s="59" t="s">
        <v>280</v>
      </c>
      <c r="B66" s="272">
        <f ca="1">'Financial statement'!F85</f>
        <v>0</v>
      </c>
      <c r="C66" s="272">
        <f ca="1">'Financial statement'!G85</f>
        <v>0</v>
      </c>
      <c r="D66" s="272">
        <f ca="1">'Financial statement'!H85</f>
        <v>0</v>
      </c>
      <c r="E66" s="272">
        <f ca="1">'Financial statement'!I85</f>
        <v>0</v>
      </c>
      <c r="F66" s="272">
        <f ca="1">'Financial statement'!J85</f>
        <v>0</v>
      </c>
      <c r="G66" s="272">
        <f t="shared" ref="G66:L68" ca="1" si="44">F66</f>
        <v>0</v>
      </c>
      <c r="H66" s="272">
        <f t="shared" ca="1" si="44"/>
        <v>0</v>
      </c>
      <c r="I66" s="272">
        <f t="shared" ca="1" si="44"/>
        <v>0</v>
      </c>
      <c r="J66" s="272">
        <f t="shared" ca="1" si="44"/>
        <v>0</v>
      </c>
      <c r="K66" s="272">
        <f t="shared" ca="1" si="44"/>
        <v>0</v>
      </c>
      <c r="L66" s="272">
        <f t="shared" ca="1" si="44"/>
        <v>0</v>
      </c>
    </row>
    <row r="67" spans="1:14" ht="15.95" customHeight="1">
      <c r="A67" s="59" t="s">
        <v>281</v>
      </c>
      <c r="B67" s="272">
        <f ca="1">'Financial statement'!F86</f>
        <v>0</v>
      </c>
      <c r="C67" s="272">
        <f ca="1">'Financial statement'!G86</f>
        <v>0</v>
      </c>
      <c r="D67" s="272">
        <f ca="1">'Financial statement'!H86</f>
        <v>0</v>
      </c>
      <c r="E67" s="272">
        <f ca="1">'Financial statement'!I86</f>
        <v>0</v>
      </c>
      <c r="F67" s="272">
        <f ca="1">'Financial statement'!J86</f>
        <v>0</v>
      </c>
      <c r="G67" s="272">
        <f t="shared" ca="1" si="44"/>
        <v>0</v>
      </c>
      <c r="H67" s="272">
        <f t="shared" ca="1" si="44"/>
        <v>0</v>
      </c>
      <c r="I67" s="272">
        <f t="shared" ca="1" si="44"/>
        <v>0</v>
      </c>
      <c r="J67" s="272">
        <f t="shared" ca="1" si="44"/>
        <v>0</v>
      </c>
      <c r="K67" s="272">
        <f t="shared" ca="1" si="44"/>
        <v>0</v>
      </c>
      <c r="L67" s="272">
        <f t="shared" ca="1" si="44"/>
        <v>0</v>
      </c>
    </row>
    <row r="68" spans="1:14" ht="15.95" customHeight="1">
      <c r="A68" s="59" t="s">
        <v>282</v>
      </c>
      <c r="B68" s="272">
        <f ca="1">'Financial statement'!F87</f>
        <v>0</v>
      </c>
      <c r="C68" s="272">
        <f ca="1">'Financial statement'!G87</f>
        <v>0</v>
      </c>
      <c r="D68" s="272">
        <f ca="1">'Financial statement'!H87</f>
        <v>0</v>
      </c>
      <c r="E68" s="272">
        <f ca="1">'Financial statement'!I87</f>
        <v>0</v>
      </c>
      <c r="F68" s="272">
        <f ca="1">'Financial statement'!J87</f>
        <v>0</v>
      </c>
      <c r="G68" s="272">
        <f t="shared" ca="1" si="44"/>
        <v>0</v>
      </c>
      <c r="H68" s="272">
        <f t="shared" ca="1" si="44"/>
        <v>0</v>
      </c>
      <c r="I68" s="272">
        <f t="shared" ca="1" si="44"/>
        <v>0</v>
      </c>
      <c r="J68" s="272">
        <f t="shared" ca="1" si="44"/>
        <v>0</v>
      </c>
      <c r="K68" s="272">
        <f t="shared" ca="1" si="44"/>
        <v>0</v>
      </c>
      <c r="L68" s="272">
        <f t="shared" ca="1" si="44"/>
        <v>0</v>
      </c>
    </row>
    <row r="69" spans="1:14" ht="15.95" customHeight="1">
      <c r="A69" s="59" t="s">
        <v>283</v>
      </c>
      <c r="B69" s="272">
        <f ca="1">'Financial statement'!F88</f>
        <v>0</v>
      </c>
      <c r="C69" s="272">
        <f ca="1">'Financial statement'!G88</f>
        <v>0</v>
      </c>
      <c r="D69" s="272">
        <f ca="1">'Financial statement'!H88</f>
        <v>0</v>
      </c>
      <c r="E69" s="272">
        <f ca="1">'Financial statement'!I88</f>
        <v>0</v>
      </c>
      <c r="F69" s="272">
        <f ca="1">'Financial statement'!J88</f>
        <v>0</v>
      </c>
      <c r="G69" s="272">
        <f ca="1">Liabilities!F9</f>
        <v>0</v>
      </c>
      <c r="H69" s="272">
        <f ca="1">Liabilities!G9</f>
        <v>0</v>
      </c>
      <c r="I69" s="272">
        <f ca="1">Liabilities!H9</f>
        <v>0</v>
      </c>
      <c r="J69" s="272">
        <f ca="1">Liabilities!I9</f>
        <v>0</v>
      </c>
      <c r="K69" s="272">
        <f ca="1">Liabilities!J9</f>
        <v>0</v>
      </c>
      <c r="L69" s="272">
        <f>Liabilities!K9</f>
        <v>0</v>
      </c>
    </row>
    <row r="70" spans="1:14" ht="15.95" customHeight="1">
      <c r="A70" s="59" t="s">
        <v>284</v>
      </c>
      <c r="B70" s="272">
        <f ca="1">'Financial statement'!F89</f>
        <v>0</v>
      </c>
      <c r="C70" s="272">
        <f ca="1">'Financial statement'!G89</f>
        <v>0</v>
      </c>
      <c r="D70" s="272">
        <f ca="1">'Financial statement'!H89</f>
        <v>0</v>
      </c>
      <c r="E70" s="272">
        <f ca="1">'Financial statement'!I89</f>
        <v>0</v>
      </c>
      <c r="F70" s="272">
        <f ca="1">'Financial statement'!J89</f>
        <v>0</v>
      </c>
      <c r="G70" s="272">
        <f t="shared" ref="G70:L70" ca="1" si="45">F70</f>
        <v>0</v>
      </c>
      <c r="H70" s="272">
        <f t="shared" ca="1" si="45"/>
        <v>0</v>
      </c>
      <c r="I70" s="272">
        <f t="shared" ca="1" si="45"/>
        <v>0</v>
      </c>
      <c r="J70" s="272">
        <f t="shared" ca="1" si="45"/>
        <v>0</v>
      </c>
      <c r="K70" s="272">
        <f t="shared" ca="1" si="45"/>
        <v>0</v>
      </c>
      <c r="L70" s="272">
        <f t="shared" ca="1" si="45"/>
        <v>0</v>
      </c>
    </row>
    <row r="71" spans="1:14" ht="15.95" customHeight="1">
      <c r="A71" s="59" t="s">
        <v>285</v>
      </c>
      <c r="B71" s="272">
        <f ca="1">'Financial statement'!F90</f>
        <v>1856.690126</v>
      </c>
      <c r="C71" s="272">
        <f ca="1">'Financial statement'!G90</f>
        <v>2006.8447759999999</v>
      </c>
      <c r="D71" s="272">
        <f ca="1">'Financial statement'!H90</f>
        <v>0</v>
      </c>
      <c r="E71" s="272">
        <f ca="1">'Financial statement'!I90</f>
        <v>0</v>
      </c>
      <c r="F71" s="272">
        <f ca="1">'Financial statement'!J90</f>
        <v>0</v>
      </c>
      <c r="G71" s="272">
        <f ca="1">F71*(1+'Assump-F '!C53)</f>
        <v>0</v>
      </c>
      <c r="H71" s="272">
        <f ca="1">G71*(1+'Assump-F '!D53)</f>
        <v>0</v>
      </c>
      <c r="I71" s="272">
        <f ca="1">H71*(1+'Assump-F '!E53)</f>
        <v>0</v>
      </c>
      <c r="J71" s="272">
        <f ca="1">I71*(1+'Assump-F '!F53)</f>
        <v>0</v>
      </c>
      <c r="K71" s="272">
        <f ca="1">J71*(1+'Assump-F '!G53)</f>
        <v>0</v>
      </c>
      <c r="L71" s="272">
        <f ca="1">K71*(1+'Assump-F '!H53)</f>
        <v>0</v>
      </c>
    </row>
    <row r="72" spans="1:14" ht="15.95" customHeight="1">
      <c r="A72" s="59" t="s">
        <v>286</v>
      </c>
      <c r="B72" s="272">
        <f ca="1">'Financial statement'!F91</f>
        <v>0</v>
      </c>
      <c r="C72" s="272">
        <f ca="1">'Financial statement'!G91</f>
        <v>0</v>
      </c>
      <c r="D72" s="272">
        <f ca="1">'Financial statement'!H91</f>
        <v>0</v>
      </c>
      <c r="E72" s="272">
        <f ca="1">'Financial statement'!I91</f>
        <v>0</v>
      </c>
      <c r="F72" s="272">
        <f ca="1">'Financial statement'!J91</f>
        <v>0</v>
      </c>
      <c r="G72" s="272">
        <f t="shared" ref="G72:L72" ca="1" si="46">F72</f>
        <v>0</v>
      </c>
      <c r="H72" s="272">
        <f t="shared" ca="1" si="46"/>
        <v>0</v>
      </c>
      <c r="I72" s="272">
        <f t="shared" ca="1" si="46"/>
        <v>0</v>
      </c>
      <c r="J72" s="272">
        <f t="shared" ca="1" si="46"/>
        <v>0</v>
      </c>
      <c r="K72" s="272">
        <f t="shared" ca="1" si="46"/>
        <v>0</v>
      </c>
      <c r="L72" s="272">
        <f t="shared" ca="1" si="46"/>
        <v>0</v>
      </c>
      <c r="M72" s="59">
        <v>13.6</v>
      </c>
    </row>
    <row r="73" spans="1:14" ht="15.95" customHeight="1">
      <c r="A73" s="59" t="s">
        <v>287</v>
      </c>
      <c r="B73" s="272">
        <f ca="1">'Financial statement'!F92</f>
        <v>318647.28737099998</v>
      </c>
      <c r="C73" s="272">
        <f ca="1">'Financial statement'!G92</f>
        <v>317419.37553199998</v>
      </c>
      <c r="D73" s="272">
        <f ca="1">'Financial statement'!H92</f>
        <v>312148.98926900001</v>
      </c>
      <c r="E73" s="272">
        <f ca="1">'Financial statement'!I92</f>
        <v>305531.51876299997</v>
      </c>
      <c r="F73" s="272">
        <f ca="1">'Financial statement'!J92</f>
        <v>305531.51876299997</v>
      </c>
      <c r="G73" s="272">
        <f ca="1">G74+G85+G86</f>
        <v>331905.28810377617</v>
      </c>
      <c r="H73" s="272">
        <f t="shared" ref="H73:L73" ca="1" si="47">H74+H85+H86</f>
        <v>351615.37594943203</v>
      </c>
      <c r="I73" s="272">
        <f t="shared" ca="1" si="47"/>
        <v>381094.84994370845</v>
      </c>
      <c r="J73" s="272">
        <f t="shared" ca="1" si="47"/>
        <v>425647.59293795499</v>
      </c>
      <c r="K73" s="272">
        <f t="shared" ca="1" si="47"/>
        <v>476850.15391217603</v>
      </c>
      <c r="L73" s="272">
        <f t="shared" ca="1" si="47"/>
        <v>535712.80167537439</v>
      </c>
      <c r="M73" s="59">
        <f ca="1">G73/'Assump-F '!D42</f>
        <v>2.1951486341536945</v>
      </c>
      <c r="N73" s="59">
        <f ca="1">H73/'Assump-F '!E42</f>
        <v>2.3255068235655871</v>
      </c>
    </row>
    <row r="74" spans="1:14" ht="15.95" customHeight="1">
      <c r="A74" s="59" t="s">
        <v>288</v>
      </c>
      <c r="B74" s="272">
        <f ca="1">'Financial statement'!F93</f>
        <v>318647.28737099998</v>
      </c>
      <c r="C74" s="272">
        <f ca="1">'Financial statement'!G93</f>
        <v>317419.37553199998</v>
      </c>
      <c r="D74" s="272">
        <f ca="1">'Financial statement'!H93</f>
        <v>312148.98926900001</v>
      </c>
      <c r="E74" s="272">
        <f ca="1">'Financial statement'!I93</f>
        <v>305531.51876299997</v>
      </c>
      <c r="F74" s="272">
        <f ca="1">'Financial statement'!J93</f>
        <v>305531.51876299997</v>
      </c>
      <c r="G74" s="272">
        <f ca="1">SUM(G75:G84)</f>
        <v>331905.28810377617</v>
      </c>
      <c r="H74" s="272">
        <f t="shared" ref="H74:L74" ca="1" si="48">SUM(H75:H84)</f>
        <v>351615.37594943203</v>
      </c>
      <c r="I74" s="272">
        <f t="shared" ca="1" si="48"/>
        <v>381094.84994370845</v>
      </c>
      <c r="J74" s="272">
        <f t="shared" ca="1" si="48"/>
        <v>425647.59293795499</v>
      </c>
      <c r="K74" s="272">
        <f t="shared" ca="1" si="48"/>
        <v>476850.15391217603</v>
      </c>
      <c r="L74" s="272">
        <f t="shared" ca="1" si="48"/>
        <v>535712.80167537439</v>
      </c>
      <c r="M74" s="59">
        <f ca="1">M72/M73</f>
        <v>6.1954802460304785</v>
      </c>
      <c r="N74" s="59">
        <f ca="1">M72/N73</f>
        <v>5.8481875272022545</v>
      </c>
    </row>
    <row r="75" spans="1:14" ht="15.95" customHeight="1">
      <c r="A75" s="59" t="s">
        <v>289</v>
      </c>
      <c r="B75" s="272">
        <f ca="1">'Financial statement'!F94</f>
        <v>151199.46</v>
      </c>
      <c r="C75" s="272">
        <f ca="1">'Financial statement'!G94</f>
        <v>151199.46</v>
      </c>
      <c r="D75" s="272">
        <f ca="1">'Financial statement'!H94</f>
        <v>151199.46</v>
      </c>
      <c r="E75" s="272">
        <f ca="1">'Financial statement'!I94</f>
        <v>151199.46</v>
      </c>
      <c r="F75" s="272">
        <f ca="1">'Financial statement'!J94</f>
        <v>151199.46</v>
      </c>
      <c r="G75" s="272">
        <f ca="1">'Assump-F '!C42</f>
        <v>151199.46</v>
      </c>
      <c r="H75" s="272">
        <f ca="1">'Assump-F '!D42</f>
        <v>151199.46</v>
      </c>
      <c r="I75" s="272">
        <f ca="1">'Assump-F '!E42</f>
        <v>151199.46</v>
      </c>
      <c r="J75" s="272">
        <f ca="1">'Assump-F '!F42</f>
        <v>151199.46</v>
      </c>
      <c r="K75" s="272">
        <f ca="1">'Assump-F '!G42</f>
        <v>151199.46</v>
      </c>
      <c r="L75" s="272">
        <f ca="1">'Assump-F '!H42</f>
        <v>151199.46</v>
      </c>
    </row>
    <row r="76" spans="1:14" ht="15.95" customHeight="1">
      <c r="A76" s="59" t="s">
        <v>290</v>
      </c>
      <c r="B76" s="272">
        <f ca="1">'Financial statement'!F95</f>
        <v>58398.415999999997</v>
      </c>
      <c r="C76" s="272">
        <f ca="1">'Financial statement'!G95</f>
        <v>58398.415999999997</v>
      </c>
      <c r="D76" s="272">
        <f ca="1">'Financial statement'!H95</f>
        <v>58398.415999999997</v>
      </c>
      <c r="E76" s="272">
        <f ca="1">'Financial statement'!I95</f>
        <v>58398.415999999997</v>
      </c>
      <c r="F76" s="272">
        <f ca="1">'Financial statement'!J95</f>
        <v>58398.415999999997</v>
      </c>
      <c r="G76" s="272">
        <f ca="1">'Assump-F '!C43</f>
        <v>58398.415999999997</v>
      </c>
      <c r="H76" s="272">
        <f ca="1">'Assump-F '!D43</f>
        <v>58398.415999999997</v>
      </c>
      <c r="I76" s="272">
        <f ca="1">'Assump-F '!E43</f>
        <v>58398.415999999997</v>
      </c>
      <c r="J76" s="272">
        <f ca="1">'Assump-F '!F43</f>
        <v>58398.415999999997</v>
      </c>
      <c r="K76" s="272">
        <f ca="1">'Assump-F '!G43</f>
        <v>58398.415999999997</v>
      </c>
      <c r="L76" s="272">
        <f ca="1">'Assump-F '!H43</f>
        <v>58398.415999999997</v>
      </c>
    </row>
    <row r="77" spans="1:14" ht="15.95" customHeight="1">
      <c r="A77" s="59" t="s">
        <v>291</v>
      </c>
      <c r="B77" s="272">
        <f ca="1">'Financial statement'!F96</f>
        <v>0</v>
      </c>
      <c r="C77" s="272">
        <f ca="1">'Financial statement'!G96</f>
        <v>0</v>
      </c>
      <c r="D77" s="272">
        <f ca="1">'Financial statement'!H96</f>
        <v>0</v>
      </c>
      <c r="E77" s="272">
        <f ca="1">'Financial statement'!I96</f>
        <v>0</v>
      </c>
      <c r="F77" s="272">
        <f ca="1">'Financial statement'!J96</f>
        <v>0</v>
      </c>
      <c r="G77" s="272">
        <f t="shared" ref="G77:L77" ca="1" si="49">F77</f>
        <v>0</v>
      </c>
      <c r="H77" s="272">
        <f t="shared" ca="1" si="49"/>
        <v>0</v>
      </c>
      <c r="I77" s="272">
        <f t="shared" ca="1" si="49"/>
        <v>0</v>
      </c>
      <c r="J77" s="272">
        <f t="shared" ca="1" si="49"/>
        <v>0</v>
      </c>
      <c r="K77" s="272">
        <f t="shared" ca="1" si="49"/>
        <v>0</v>
      </c>
      <c r="L77" s="272">
        <f t="shared" ca="1" si="49"/>
        <v>0</v>
      </c>
    </row>
    <row r="78" spans="1:14" ht="15.95" customHeight="1">
      <c r="A78" s="59" t="s">
        <v>292</v>
      </c>
      <c r="B78" s="272">
        <f ca="1">'Financial statement'!F97</f>
        <v>-1298.22</v>
      </c>
      <c r="C78" s="272">
        <f ca="1">'Financial statement'!G97</f>
        <v>-1298.22</v>
      </c>
      <c r="D78" s="272">
        <f ca="1">'Financial statement'!H97</f>
        <v>-1298.22</v>
      </c>
      <c r="E78" s="272">
        <f ca="1">'Financial statement'!I97</f>
        <v>-1298.22</v>
      </c>
      <c r="F78" s="272">
        <f ca="1">'Financial statement'!J97</f>
        <v>-1298.22</v>
      </c>
      <c r="G78" s="272">
        <f ca="1">'Assump-F '!C44</f>
        <v>-1298.22</v>
      </c>
      <c r="H78" s="272">
        <f ca="1">'Assump-F '!D44</f>
        <v>-1298.22</v>
      </c>
      <c r="I78" s="272">
        <f ca="1">'Assump-F '!E44</f>
        <v>-1298.22</v>
      </c>
      <c r="J78" s="434">
        <f ca="1">'Assump-F '!F44</f>
        <v>-1298.22</v>
      </c>
      <c r="K78" s="434">
        <f ca="1">'Assump-F '!G44</f>
        <v>-1298.22</v>
      </c>
      <c r="L78" s="434">
        <f ca="1">'Assump-F '!H44</f>
        <v>-1298.22</v>
      </c>
    </row>
    <row r="79" spans="1:14" ht="15.95" customHeight="1">
      <c r="A79" s="59" t="s">
        <v>293</v>
      </c>
      <c r="B79" s="272">
        <f ca="1">'Financial statement'!F98</f>
        <v>0</v>
      </c>
      <c r="C79" s="272">
        <f ca="1">'Financial statement'!G98</f>
        <v>0</v>
      </c>
      <c r="D79" s="272">
        <f ca="1">'Financial statement'!H98</f>
        <v>0</v>
      </c>
      <c r="E79" s="272">
        <f ca="1">'Financial statement'!I98</f>
        <v>0</v>
      </c>
      <c r="F79" s="272">
        <f ca="1">'Financial statement'!J98</f>
        <v>0</v>
      </c>
      <c r="G79" s="272">
        <f t="shared" ref="G79:L80" ca="1" si="50">F79</f>
        <v>0</v>
      </c>
      <c r="H79" s="272">
        <f t="shared" ca="1" si="50"/>
        <v>0</v>
      </c>
      <c r="I79" s="272">
        <f t="shared" ca="1" si="50"/>
        <v>0</v>
      </c>
      <c r="J79" s="272">
        <f t="shared" ca="1" si="50"/>
        <v>0</v>
      </c>
      <c r="K79" s="272">
        <f t="shared" ca="1" si="50"/>
        <v>0</v>
      </c>
      <c r="L79" s="272">
        <f t="shared" ca="1" si="50"/>
        <v>0</v>
      </c>
    </row>
    <row r="80" spans="1:14" ht="15.95" customHeight="1">
      <c r="A80" s="59" t="s">
        <v>294</v>
      </c>
      <c r="B80" s="272">
        <f ca="1">'Financial statement'!F99</f>
        <v>0</v>
      </c>
      <c r="C80" s="272">
        <f ca="1">'Financial statement'!G99</f>
        <v>0</v>
      </c>
      <c r="D80" s="272">
        <f ca="1">'Financial statement'!H99</f>
        <v>0</v>
      </c>
      <c r="E80" s="272">
        <f ca="1">'Financial statement'!I99</f>
        <v>0</v>
      </c>
      <c r="F80" s="272">
        <f ca="1">'Financial statement'!J99</f>
        <v>0</v>
      </c>
      <c r="G80" s="272">
        <f t="shared" ca="1" si="50"/>
        <v>0</v>
      </c>
      <c r="H80" s="272">
        <f t="shared" ca="1" si="50"/>
        <v>0</v>
      </c>
      <c r="I80" s="272">
        <f t="shared" ca="1" si="50"/>
        <v>0</v>
      </c>
      <c r="J80" s="272">
        <f t="shared" ca="1" si="50"/>
        <v>0</v>
      </c>
      <c r="K80" s="272">
        <f t="shared" ca="1" si="50"/>
        <v>0</v>
      </c>
      <c r="L80" s="272">
        <f t="shared" ca="1" si="50"/>
        <v>0</v>
      </c>
    </row>
    <row r="81" spans="1:12" ht="15.95" customHeight="1">
      <c r="A81" s="59" t="s">
        <v>295</v>
      </c>
      <c r="B81" s="272">
        <f ca="1">'Financial statement'!F100</f>
        <v>60288.836191000002</v>
      </c>
      <c r="C81" s="272">
        <f ca="1">'Financial statement'!G100</f>
        <v>71848.959317000001</v>
      </c>
      <c r="D81" s="272">
        <f ca="1">'Financial statement'!H100</f>
        <v>73047.325628999999</v>
      </c>
      <c r="E81" s="272">
        <f ca="1">'Financial statement'!I100</f>
        <v>73695.293116000001</v>
      </c>
      <c r="F81" s="272">
        <f ca="1">'Financial statement'!J100</f>
        <v>73695.293116000001</v>
      </c>
      <c r="G81" s="536">
        <f ca="1">F81+G21*'Assump-F '!$K$28</f>
        <v>77844.664650077626</v>
      </c>
      <c r="H81" s="272">
        <f ca="1">G81+H21*'Assump-F '!$K$28</f>
        <v>81630.066954643204</v>
      </c>
      <c r="I81" s="272">
        <f ca="1">H81+I21*'Assump-F '!$K$28</f>
        <v>86846.006254070846</v>
      </c>
      <c r="J81" s="272">
        <f ca="1">I81+J21*'Assump-F '!$K$28</f>
        <v>93569.272453495505</v>
      </c>
      <c r="K81" s="272">
        <f ca="1">J81+K21*'Assump-F '!$K$28</f>
        <v>101713.51775091761</v>
      </c>
      <c r="L81" s="272">
        <f ca="1">K81+L21*'Assump-F '!$K$28</f>
        <v>110623.77172723746</v>
      </c>
    </row>
    <row r="82" spans="1:12" ht="15.95" customHeight="1">
      <c r="A82" s="59" t="s">
        <v>296</v>
      </c>
      <c r="B82" s="272">
        <f ca="1">'Financial statement'!F101</f>
        <v>11085.963291</v>
      </c>
      <c r="C82" s="272">
        <f ca="1">'Financial statement'!G101</f>
        <v>13772.939055000001</v>
      </c>
      <c r="D82" s="272">
        <f ca="1">'Financial statement'!H101</f>
        <v>15100</v>
      </c>
      <c r="E82" s="272">
        <f ca="1">'Financial statement'!I101</f>
        <v>15100</v>
      </c>
      <c r="F82" s="272">
        <f ca="1">'Financial statement'!J101</f>
        <v>15100</v>
      </c>
      <c r="G82" s="272">
        <f ca="1">F82+G21*'Assump-F '!$K$29</f>
        <v>17174.685767038813</v>
      </c>
      <c r="H82" s="272">
        <f ca="1">G82+H21*'Assump-F '!$K$29</f>
        <v>19067.386919321605</v>
      </c>
      <c r="I82" s="272">
        <f ca="1">H82+I21*'Assump-F '!$K$29</f>
        <v>21675.356569035423</v>
      </c>
      <c r="J82" s="272">
        <f ca="1">I82+J21*'Assump-F '!$K$29</f>
        <v>25036.989668747752</v>
      </c>
      <c r="K82" s="272">
        <f ca="1">J82+K21*'Assump-F '!$K$29</f>
        <v>29109.112317458803</v>
      </c>
      <c r="L82" s="272">
        <f ca="1">K82+L21*'Assump-F '!$K$29</f>
        <v>33564.239305618721</v>
      </c>
    </row>
    <row r="83" spans="1:12" ht="15.95" customHeight="1">
      <c r="A83" s="59" t="s">
        <v>297</v>
      </c>
      <c r="B83" s="272">
        <f ca="1">'Financial statement'!F102</f>
        <v>0</v>
      </c>
      <c r="C83" s="272">
        <f ca="1">'Financial statement'!G102</f>
        <v>0</v>
      </c>
      <c r="D83" s="272">
        <f ca="1">'Financial statement'!H102</f>
        <v>0</v>
      </c>
      <c r="E83" s="272">
        <f ca="1">'Financial statement'!I102</f>
        <v>0</v>
      </c>
      <c r="F83" s="272">
        <f ca="1">'Financial statement'!J102</f>
        <v>0</v>
      </c>
      <c r="G83" s="272">
        <f t="shared" ref="G83:L83" ca="1" si="51">F83</f>
        <v>0</v>
      </c>
      <c r="H83" s="272">
        <f t="shared" ca="1" si="51"/>
        <v>0</v>
      </c>
      <c r="I83" s="272">
        <f t="shared" ca="1" si="51"/>
        <v>0</v>
      </c>
      <c r="J83" s="272">
        <f t="shared" ca="1" si="51"/>
        <v>0</v>
      </c>
      <c r="K83" s="272">
        <f t="shared" ca="1" si="51"/>
        <v>0</v>
      </c>
      <c r="L83" s="272">
        <f t="shared" ca="1" si="51"/>
        <v>0</v>
      </c>
    </row>
    <row r="84" spans="1:12" ht="15.95" customHeight="1">
      <c r="A84" s="59" t="s">
        <v>608</v>
      </c>
      <c r="B84" s="272">
        <f ca="1">'Financial statement'!F103</f>
        <v>38972.831889000001</v>
      </c>
      <c r="C84" s="272">
        <f ca="1">'Financial statement'!G103</f>
        <v>23497.82116</v>
      </c>
      <c r="D84" s="272">
        <f ca="1">'Financial statement'!H103</f>
        <v>15702.00764</v>
      </c>
      <c r="E84" s="272">
        <f ca="1">'Financial statement'!I103</f>
        <v>8436.5696470000003</v>
      </c>
      <c r="F84" s="272">
        <f ca="1">'Financial statement'!J103</f>
        <v>8436.5696470000003</v>
      </c>
      <c r="G84" s="272">
        <f ca="1">F84+G21*(1-('Assump-F '!$K$28+'Assump-F '!$K$29+'Assump-F '!$K$30))-'Assump-F '!C78</f>
        <v>28586.281686659797</v>
      </c>
      <c r="H84" s="272">
        <f ca="1">G84+H21*(1-('Assump-F '!$K$28+'Assump-F '!$K$29+'Assump-F '!$K$30))-'Assump-F '!D78</f>
        <v>42618.266075467247</v>
      </c>
      <c r="I84" s="272">
        <f ca="1">H84+I21*(1-('Assump-F '!$K$28+'Assump-F '!$K$29+'Assump-F '!$K$30))-'Assump-F '!E78</f>
        <v>64273.831120602154</v>
      </c>
      <c r="J84" s="272">
        <f ca="1">I84+J21*(1-('Assump-F '!$K$28+'Assump-F '!$K$29+'Assump-F '!$K$30))-'Assump-F '!F78-(J75-I75)</f>
        <v>98741.67481571174</v>
      </c>
      <c r="K84" s="272">
        <f ca="1">J84+K21*(1-('Assump-F '!$K$28+'Assump-F '!$K$29+'Assump-F '!$K$30))-'Assump-F '!G78</f>
        <v>137727.86784379961</v>
      </c>
      <c r="L84" s="272">
        <f ca="1">K84+L21*(1-('Assump-F '!$K$28+'Assump-F '!$K$29+'Assump-F '!$K$30))-'Assump-F '!H78</f>
        <v>183225.13464251824</v>
      </c>
    </row>
    <row r="85" spans="1:12" ht="15.95" customHeight="1">
      <c r="A85" s="59" t="s">
        <v>299</v>
      </c>
      <c r="B85" s="272">
        <f ca="1">'Financial statement'!F105</f>
        <v>0</v>
      </c>
      <c r="C85" s="272">
        <f ca="1">'Financial statement'!G105</f>
        <v>0</v>
      </c>
      <c r="D85" s="272">
        <f ca="1">'Financial statement'!H105</f>
        <v>0</v>
      </c>
      <c r="E85" s="272">
        <f ca="1">'Financial statement'!I105</f>
        <v>0</v>
      </c>
      <c r="F85" s="272">
        <f ca="1">'Financial statement'!J105</f>
        <v>0</v>
      </c>
      <c r="G85" s="272">
        <f ca="1">F85+G21*'Assump-F '!$K$30</f>
        <v>0</v>
      </c>
      <c r="H85" s="272">
        <f ca="1">G85+H21*'Assump-F '!$K$30</f>
        <v>0</v>
      </c>
      <c r="I85" s="272">
        <f ca="1">H85+I21*'Assump-F '!$K$30</f>
        <v>0</v>
      </c>
      <c r="J85" s="272">
        <f ca="1">I85+J21*'Assump-F '!$K$30</f>
        <v>0</v>
      </c>
      <c r="K85" s="272">
        <f ca="1">J85+K21*'Assump-F '!$K$30</f>
        <v>0</v>
      </c>
      <c r="L85" s="272">
        <f ca="1">K85+L21*'Assump-F '!$K$30</f>
        <v>0</v>
      </c>
    </row>
    <row r="86" spans="1:12" ht="15.95" customHeight="1" thickBot="1">
      <c r="A86" s="373" t="s">
        <v>300</v>
      </c>
      <c r="B86" s="374">
        <f ca="1">'Financial statement'!F106</f>
        <v>0</v>
      </c>
      <c r="C86" s="374">
        <f ca="1">'Financial statement'!G106</f>
        <v>0</v>
      </c>
      <c r="D86" s="374">
        <f ca="1">'Financial statement'!H106</f>
        <v>0</v>
      </c>
      <c r="E86" s="374">
        <f ca="1">'Financial statement'!I106</f>
        <v>0</v>
      </c>
      <c r="F86" s="374">
        <f ca="1">'Financial statement'!J106</f>
        <v>0</v>
      </c>
      <c r="G86" s="374">
        <f t="shared" ref="G86:L86" ca="1" si="52">F86</f>
        <v>0</v>
      </c>
      <c r="H86" s="374">
        <f t="shared" ca="1" si="52"/>
        <v>0</v>
      </c>
      <c r="I86" s="374">
        <f t="shared" ca="1" si="52"/>
        <v>0</v>
      </c>
      <c r="J86" s="374">
        <f t="shared" ca="1" si="52"/>
        <v>0</v>
      </c>
      <c r="K86" s="374">
        <f t="shared" ca="1" si="52"/>
        <v>0</v>
      </c>
      <c r="L86" s="374">
        <f t="shared" ca="1" si="52"/>
        <v>0</v>
      </c>
    </row>
    <row r="87" spans="1:12" ht="15.95" customHeight="1">
      <c r="A87" s="59" t="s">
        <v>210</v>
      </c>
      <c r="B87" s="347" t="str">
        <f ca="1">IF(B52=B26,"balance","Incorect")</f>
        <v>balance</v>
      </c>
      <c r="C87" s="347" t="str">
        <f ca="1">IF(C52=C26,"balance","Incorect")</f>
        <v>balance</v>
      </c>
      <c r="D87" s="347" t="str">
        <f t="shared" ref="D87:K87" ca="1" si="53">IF(D52=D26,"balance","Incorect")</f>
        <v>balance</v>
      </c>
      <c r="E87" s="347" t="str">
        <f t="shared" ca="1" si="53"/>
        <v>balance</v>
      </c>
      <c r="F87" s="347" t="str">
        <f t="shared" ca="1" si="53"/>
        <v>balance</v>
      </c>
      <c r="G87" s="347" t="str">
        <f t="shared" ca="1" si="53"/>
        <v>balance</v>
      </c>
      <c r="H87" s="347" t="str">
        <f t="shared" ca="1" si="53"/>
        <v>Incorect</v>
      </c>
      <c r="I87" s="347" t="str">
        <f t="shared" ca="1" si="53"/>
        <v>Incorect</v>
      </c>
      <c r="J87" s="347" t="str">
        <f t="shared" ca="1" si="53"/>
        <v>Incorect</v>
      </c>
      <c r="K87" s="347" t="str">
        <f t="shared" ca="1" si="53"/>
        <v>Incorect</v>
      </c>
      <c r="L87" s="347" t="str">
        <f t="shared" ref="L87" ca="1" si="54">IF(L52=L26,"balance","Incorect")</f>
        <v>Incorect</v>
      </c>
    </row>
    <row r="88" spans="1:12" ht="15.95" customHeight="1">
      <c r="E88" s="270">
        <f ca="1">E73/DCF!$B$24*1000000</f>
        <v>20207.183197810362</v>
      </c>
      <c r="F88" s="270">
        <f ca="1">F73/DCF!$B$24*1000000</f>
        <v>20207.183197810362</v>
      </c>
      <c r="G88" s="270">
        <f ca="1">G73/DCF!$B$24*1000000</f>
        <v>21951.486341536944</v>
      </c>
      <c r="H88" s="270">
        <f ca="1">H73/DCF!$B$24*1000000</f>
        <v>23255.068235655872</v>
      </c>
      <c r="I88" s="270">
        <f ca="1">I73/DCF!$B$24*1000000</f>
        <v>25204.7758598945</v>
      </c>
      <c r="J88" s="270">
        <f ca="1">J73/DCF!$B$24*1000000</f>
        <v>28151.39636993115</v>
      </c>
      <c r="K88" s="270">
        <f ca="1">K73/DCF!$B$24*1000000</f>
        <v>31537.821227150944</v>
      </c>
      <c r="L88" s="270">
        <f ca="1">L73/DCF!$B$24*1000000</f>
        <v>35430.867390358035</v>
      </c>
    </row>
    <row r="89" spans="1:12" ht="15.95" customHeight="1">
      <c r="E89" s="270">
        <f ca="1">15200/E88</f>
        <v>0.75220775954795438</v>
      </c>
      <c r="F89" s="270">
        <f ca="1">15200/F88</f>
        <v>0.75220775954795438</v>
      </c>
      <c r="G89" s="270">
        <f t="shared" ref="G89:L89" ca="1" si="55">15200/G88</f>
        <v>0.69243602749752409</v>
      </c>
      <c r="H89" s="270">
        <f t="shared" ca="1" si="55"/>
        <v>0.65362095892260486</v>
      </c>
      <c r="I89" s="270">
        <f t="shared" ca="1" si="55"/>
        <v>0.60306031223971468</v>
      </c>
      <c r="J89" s="270">
        <f t="shared" ca="1" si="55"/>
        <v>0.53993769261958546</v>
      </c>
      <c r="K89" s="270">
        <f t="shared" ca="1" si="55"/>
        <v>0.48196100455139568</v>
      </c>
      <c r="L89" s="270">
        <f t="shared" ca="1" si="55"/>
        <v>0.42900445627070494</v>
      </c>
    </row>
    <row r="90" spans="1:12" ht="15.95" customHeight="1">
      <c r="F90" s="272"/>
      <c r="G90" s="272"/>
    </row>
    <row r="91" spans="1:12" ht="15.95" customHeight="1">
      <c r="G91" s="270">
        <f ca="1">F84+0.85*G21</f>
        <v>43706.227686659797</v>
      </c>
    </row>
    <row r="92" spans="1:12" ht="15.95" customHeight="1">
      <c r="F92" s="272">
        <f ca="1">(F75-E75)/10000</f>
        <v>0</v>
      </c>
    </row>
    <row r="137" spans="3:12" ht="15.95" customHeight="1">
      <c r="C137" s="272"/>
      <c r="D137" s="272"/>
      <c r="E137" s="272"/>
      <c r="F137" s="272"/>
      <c r="G137" s="272"/>
      <c r="H137" s="272"/>
      <c r="I137" s="272"/>
      <c r="J137" s="272"/>
      <c r="K137" s="272"/>
      <c r="L137" s="272"/>
    </row>
    <row r="138" spans="3:12" ht="15.95" customHeight="1">
      <c r="C138" s="272"/>
      <c r="D138" s="272"/>
      <c r="E138" s="272"/>
      <c r="F138" s="272"/>
      <c r="G138" s="272"/>
      <c r="H138" s="272"/>
      <c r="I138" s="272"/>
      <c r="J138" s="272"/>
      <c r="K138" s="272"/>
      <c r="L138" s="272"/>
    </row>
  </sheetData>
  <mergeCells count="2">
    <mergeCell ref="G3:K3"/>
    <mergeCell ref="G24:K24"/>
  </mergeCells>
  <pageMargins left="0.7" right="0.7" top="0.75" bottom="0.75" header="0.3" footer="0.3"/>
  <pageSetup orientation="portrait" r:id="rId1"/>
  <ignoredErrors>
    <ignoredError sqref="H33:K33 G65:K65 G69:K69 G71:K71 G78:K78 H63:K63 G56:L56" formula="1"/>
  </ignoredErrors>
  <legacyDrawing r:id="rId2"/>
</worksheet>
</file>

<file path=xl/worksheets/sheet15.xml><?xml version="1.0" encoding="utf-8"?>
<worksheet xmlns="http://schemas.openxmlformats.org/spreadsheetml/2006/main" xmlns:r="http://schemas.openxmlformats.org/officeDocument/2006/relationships">
  <dimension ref="A1:AA50"/>
  <sheetViews>
    <sheetView showGridLines="0" workbookViewId="0">
      <selection activeCell="F34" sqref="F34"/>
    </sheetView>
  </sheetViews>
  <sheetFormatPr defaultRowHeight="12"/>
  <cols>
    <col min="1" max="1" width="19.28515625" style="59" customWidth="1"/>
    <col min="2" max="27" width="6.7109375" style="59" customWidth="1"/>
    <col min="28" max="16384" width="9.140625" style="59"/>
  </cols>
  <sheetData>
    <row r="1" spans="1:27" ht="15.95" customHeight="1">
      <c r="A1" s="36">
        <f>Info!B6</f>
        <v>0</v>
      </c>
    </row>
    <row r="2" spans="1:27" ht="15.95" customHeight="1">
      <c r="A2" s="37" t="s">
        <v>399</v>
      </c>
    </row>
    <row r="3" spans="1:27" ht="15.95" customHeight="1"/>
    <row r="4" spans="1:27" ht="15" customHeight="1">
      <c r="A4" s="209" t="s">
        <v>400</v>
      </c>
      <c r="B4" s="211"/>
      <c r="C4" s="211"/>
      <c r="D4" s="211"/>
      <c r="E4" s="211"/>
      <c r="F4" s="211"/>
      <c r="G4" s="211"/>
      <c r="H4" s="211"/>
      <c r="I4" s="211"/>
      <c r="J4" s="211"/>
      <c r="K4" s="211"/>
      <c r="L4" s="211"/>
      <c r="M4" s="211"/>
      <c r="N4" s="211"/>
      <c r="O4" s="211"/>
      <c r="P4" s="211"/>
      <c r="Q4" s="211"/>
      <c r="R4" s="211"/>
      <c r="S4" s="211"/>
      <c r="T4" s="211"/>
      <c r="U4" s="211"/>
      <c r="V4" s="211"/>
      <c r="W4" s="211"/>
      <c r="X4" s="211"/>
      <c r="Y4" s="211"/>
      <c r="Z4" s="211"/>
      <c r="AA4" s="212"/>
    </row>
    <row r="5" spans="1:27" s="221" customFormat="1" ht="15" customHeight="1">
      <c r="A5" s="222" t="s">
        <v>412</v>
      </c>
      <c r="B5" s="219"/>
      <c r="C5" s="219"/>
      <c r="D5" s="219"/>
      <c r="E5" s="219"/>
      <c r="F5" s="219"/>
      <c r="G5" s="219"/>
      <c r="H5" s="219"/>
      <c r="I5" s="219"/>
      <c r="J5" s="219"/>
      <c r="K5" s="219"/>
      <c r="L5" s="219"/>
      <c r="M5" s="219"/>
      <c r="N5" s="219"/>
      <c r="O5" s="219"/>
      <c r="P5" s="219"/>
      <c r="Q5" s="219"/>
      <c r="R5" s="219"/>
      <c r="S5" s="219"/>
      <c r="T5" s="219"/>
      <c r="U5" s="219"/>
      <c r="V5" s="219"/>
      <c r="W5" s="219"/>
      <c r="X5" s="219"/>
      <c r="Y5" s="219"/>
      <c r="Z5" s="219"/>
      <c r="AA5" s="220"/>
    </row>
    <row r="6" spans="1:27" ht="15" customHeight="1">
      <c r="A6" s="43"/>
      <c r="B6" s="38">
        <v>2000</v>
      </c>
      <c r="C6" s="38">
        <v>2001</v>
      </c>
      <c r="D6" s="38">
        <v>2002</v>
      </c>
      <c r="E6" s="38">
        <v>2003</v>
      </c>
      <c r="F6" s="38">
        <v>2004</v>
      </c>
      <c r="G6" s="38">
        <v>2005</v>
      </c>
      <c r="H6" s="38">
        <v>2006</v>
      </c>
      <c r="I6" s="38">
        <v>2007</v>
      </c>
      <c r="J6" s="38">
        <v>2008</v>
      </c>
      <c r="K6" s="38">
        <v>2009</v>
      </c>
      <c r="L6" s="38">
        <v>2010</v>
      </c>
      <c r="M6" s="38">
        <v>2011</v>
      </c>
      <c r="N6" s="38">
        <v>2012</v>
      </c>
      <c r="O6" s="38">
        <v>2013</v>
      </c>
      <c r="P6" s="38">
        <v>2014</v>
      </c>
      <c r="Q6" s="38">
        <v>2015</v>
      </c>
      <c r="R6" s="38">
        <v>2016</v>
      </c>
      <c r="S6" s="38">
        <v>2017</v>
      </c>
      <c r="T6" s="38">
        <v>2018</v>
      </c>
      <c r="U6" s="38">
        <v>2019</v>
      </c>
      <c r="V6" s="38">
        <v>2020</v>
      </c>
      <c r="W6" s="38">
        <v>2021</v>
      </c>
      <c r="X6" s="38">
        <v>2022</v>
      </c>
      <c r="Y6" s="38">
        <v>2023</v>
      </c>
      <c r="Z6" s="38">
        <v>2024</v>
      </c>
      <c r="AA6" s="208">
        <v>2025</v>
      </c>
    </row>
    <row r="7" spans="1:27" ht="15" customHeight="1">
      <c r="A7" s="200" t="s">
        <v>406</v>
      </c>
      <c r="B7" s="217">
        <v>1.0327871330793343</v>
      </c>
      <c r="C7" s="217">
        <v>1.1433811279777111</v>
      </c>
      <c r="D7" s="217">
        <v>1.3050166996554333</v>
      </c>
      <c r="E7" s="217">
        <v>1.8578291483967719</v>
      </c>
      <c r="F7" s="217">
        <v>1.7912754052685242</v>
      </c>
      <c r="G7" s="217">
        <v>1.8050035057196303</v>
      </c>
      <c r="H7" s="217">
        <v>1.8636983869200865</v>
      </c>
      <c r="I7" s="217">
        <v>1.4718485076384797</v>
      </c>
      <c r="J7" s="217">
        <v>1.80896902131619</v>
      </c>
      <c r="K7" s="217">
        <v>1.9768638916289429</v>
      </c>
      <c r="L7" s="217">
        <v>1.8712082986052172</v>
      </c>
      <c r="M7" s="217">
        <v>1.9302883029212441</v>
      </c>
      <c r="N7" s="217">
        <v>2.0128496006489613</v>
      </c>
      <c r="O7" s="217">
        <v>2.1049587795253037</v>
      </c>
      <c r="P7" s="217">
        <v>2.1844183237102635</v>
      </c>
      <c r="Q7" s="217">
        <v>2.2693653014038633</v>
      </c>
      <c r="R7" s="217">
        <v>2.3518574493776341</v>
      </c>
      <c r="S7" s="217">
        <v>2.4390776515569481</v>
      </c>
      <c r="T7" s="217">
        <v>2.5235047455640092</v>
      </c>
      <c r="U7" s="217">
        <v>2.6114229311715604</v>
      </c>
      <c r="V7" s="217">
        <v>2.7025899261980921</v>
      </c>
      <c r="W7" s="217">
        <v>2.7929646142368063</v>
      </c>
      <c r="X7" s="217">
        <v>2.8894455790977704</v>
      </c>
      <c r="Y7" s="217">
        <v>2.9915667223997477</v>
      </c>
      <c r="Z7" s="217">
        <v>3.1027042502471045</v>
      </c>
      <c r="AA7" s="46">
        <v>3.2261142975200565</v>
      </c>
    </row>
    <row r="8" spans="1:27" ht="15" customHeight="1">
      <c r="A8" s="200" t="s">
        <v>407</v>
      </c>
      <c r="B8" s="217">
        <v>5.5571005277338409E-2</v>
      </c>
      <c r="C8" s="217">
        <v>6.3832857651792391E-2</v>
      </c>
      <c r="D8" s="217">
        <v>9.0304994597206492E-2</v>
      </c>
      <c r="E8" s="217">
        <v>7.086563540155516E-2</v>
      </c>
      <c r="F8" s="217">
        <v>9.42023877114017E-2</v>
      </c>
      <c r="G8" s="217">
        <v>0.10331071639621139</v>
      </c>
      <c r="H8" s="217">
        <v>0.12962361824457985</v>
      </c>
      <c r="I8" s="217">
        <v>0.12493231099428262</v>
      </c>
      <c r="J8" s="217">
        <v>0.12344908732475959</v>
      </c>
      <c r="K8" s="217">
        <v>0.12202975412579449</v>
      </c>
      <c r="L8" s="217">
        <v>0.12067504339847002</v>
      </c>
      <c r="M8" s="217">
        <v>0.12503943729444142</v>
      </c>
      <c r="N8" s="217">
        <v>0.12960640313496721</v>
      </c>
      <c r="O8" s="217">
        <v>0.13549235365035789</v>
      </c>
      <c r="P8" s="217">
        <v>0.14015329078179473</v>
      </c>
      <c r="Q8" s="217">
        <v>0.14498141718832802</v>
      </c>
      <c r="R8" s="217">
        <v>0.14975809637135337</v>
      </c>
      <c r="S8" s="217">
        <v>0.15486079495709557</v>
      </c>
      <c r="T8" s="217">
        <v>0.1599286098841135</v>
      </c>
      <c r="U8" s="217">
        <v>0.16503092015502918</v>
      </c>
      <c r="V8" s="217">
        <v>0.17027132888729338</v>
      </c>
      <c r="W8" s="217">
        <v>0.17546318290409102</v>
      </c>
      <c r="X8" s="217">
        <v>0.18103225309884458</v>
      </c>
      <c r="Y8" s="217">
        <v>0.18689462270520341</v>
      </c>
      <c r="Z8" s="217">
        <v>0.19331492621544266</v>
      </c>
      <c r="AA8" s="46">
        <v>0.20050647818907746</v>
      </c>
    </row>
    <row r="9" spans="1:27" ht="15" customHeight="1">
      <c r="A9" s="200" t="s">
        <v>408</v>
      </c>
      <c r="B9" s="217">
        <v>1.7113343670634894E-2</v>
      </c>
      <c r="C9" s="217">
        <v>1.3901100836279006E-2</v>
      </c>
      <c r="D9" s="217">
        <v>1.4472427588759176E-2</v>
      </c>
      <c r="E9" s="217">
        <v>1.6525593989388722E-2</v>
      </c>
      <c r="F9" s="217">
        <v>1.971147771393696E-2</v>
      </c>
      <c r="G9" s="217">
        <v>3.0749211163100757E-2</v>
      </c>
      <c r="H9" s="217">
        <v>3.2970426592041344E-2</v>
      </c>
      <c r="I9" s="217">
        <v>3.3275985137620472E-2</v>
      </c>
      <c r="J9" s="217">
        <v>3.5156139972484408E-2</v>
      </c>
      <c r="K9" s="217">
        <v>4.262421446697566E-2</v>
      </c>
      <c r="L9" s="217">
        <v>3.8929363708790028E-2</v>
      </c>
      <c r="M9" s="217">
        <v>3.8698813533204354E-2</v>
      </c>
      <c r="N9" s="217">
        <v>3.9283964042379452E-2</v>
      </c>
      <c r="O9" s="217">
        <v>3.9363181045833535E-2</v>
      </c>
      <c r="P9" s="217">
        <v>3.9709949104453551E-2</v>
      </c>
      <c r="Q9" s="217">
        <v>4.0169069631905752E-2</v>
      </c>
      <c r="R9" s="217">
        <v>4.0597159476651087E-2</v>
      </c>
      <c r="S9" s="217">
        <v>4.1130312433602309E-2</v>
      </c>
      <c r="T9" s="217">
        <v>4.1629238196173479E-2</v>
      </c>
      <c r="U9" s="217">
        <v>4.2144237627464838E-2</v>
      </c>
      <c r="V9" s="217">
        <v>4.2687839115102731E-2</v>
      </c>
      <c r="W9" s="217">
        <v>4.321558029932393E-2</v>
      </c>
      <c r="X9" s="217">
        <v>4.3748857512527266E-2</v>
      </c>
      <c r="Y9" s="217">
        <v>4.428382063178693E-2</v>
      </c>
      <c r="Z9" s="217">
        <v>4.4654492568782761E-2</v>
      </c>
      <c r="AA9" s="46">
        <v>4.5322685757246968E-2</v>
      </c>
    </row>
    <row r="10" spans="1:27" ht="15" customHeight="1">
      <c r="A10" s="200" t="s">
        <v>409</v>
      </c>
      <c r="B10" s="217">
        <v>0.33996825455804436</v>
      </c>
      <c r="C10" s="217">
        <v>0.23687974519219832</v>
      </c>
      <c r="D10" s="217">
        <v>0.32879238766061136</v>
      </c>
      <c r="E10" s="217">
        <v>0.36181329899120485</v>
      </c>
      <c r="F10" s="217">
        <v>0.44158269033285308</v>
      </c>
      <c r="G10" s="217">
        <v>0.48957103073701097</v>
      </c>
      <c r="H10" s="217">
        <v>0.45112622730160751</v>
      </c>
      <c r="I10" s="217">
        <v>0.53743201004830721</v>
      </c>
      <c r="J10" s="217">
        <v>0.53105149990070044</v>
      </c>
      <c r="K10" s="217">
        <v>0.52494583285606367</v>
      </c>
      <c r="L10" s="217">
        <v>0.51911815782607629</v>
      </c>
      <c r="M10" s="217">
        <v>0.53006587322763132</v>
      </c>
      <c r="N10" s="217">
        <v>0.55882770995000541</v>
      </c>
      <c r="O10" s="217">
        <v>0.58390518314239315</v>
      </c>
      <c r="P10" s="217">
        <v>0.61024811119777511</v>
      </c>
      <c r="Q10" s="217">
        <v>0.64176489243805956</v>
      </c>
      <c r="R10" s="217">
        <v>0.67321387103974162</v>
      </c>
      <c r="S10" s="217">
        <v>0.70584783505884463</v>
      </c>
      <c r="T10" s="217">
        <v>0.73748103944619592</v>
      </c>
      <c r="U10" s="217">
        <v>0.77141287784271606</v>
      </c>
      <c r="V10" s="217">
        <v>0.80715375799769595</v>
      </c>
      <c r="W10" s="217">
        <v>0.84408629427152637</v>
      </c>
      <c r="X10" s="217">
        <v>0.88341371420068748</v>
      </c>
      <c r="Y10" s="217">
        <v>0.92567640036714938</v>
      </c>
      <c r="Z10" s="217">
        <v>0.97113883199228612</v>
      </c>
      <c r="AA10" s="46">
        <v>1.0203301771411031</v>
      </c>
    </row>
    <row r="11" spans="1:27" ht="15" customHeight="1">
      <c r="A11" s="201" t="s">
        <v>410</v>
      </c>
      <c r="B11" s="218">
        <v>0.45213327680078125</v>
      </c>
      <c r="C11" s="218">
        <v>0.94003856776272388</v>
      </c>
      <c r="D11" s="218">
        <v>0.31110796721414286</v>
      </c>
      <c r="E11" s="218">
        <v>0.47749245691692588</v>
      </c>
      <c r="F11" s="218">
        <v>0.30499402705033801</v>
      </c>
      <c r="G11" s="218">
        <v>0.42017209845480474</v>
      </c>
      <c r="H11" s="218">
        <v>0.40278208156764195</v>
      </c>
      <c r="I11" s="218">
        <v>0.38313037698570457</v>
      </c>
      <c r="J11" s="218">
        <v>0.37858176951069772</v>
      </c>
      <c r="K11" s="218">
        <v>0.3742290951764119</v>
      </c>
      <c r="L11" s="218">
        <v>0.37007459881325605</v>
      </c>
      <c r="M11" s="218">
        <v>0.38757200812902026</v>
      </c>
      <c r="N11" s="218">
        <v>0.40724772929039937</v>
      </c>
      <c r="O11" s="218">
        <v>0.41933772939172276</v>
      </c>
      <c r="P11" s="218">
        <v>0.43020957940969334</v>
      </c>
      <c r="Q11" s="218">
        <v>0.45259509061976155</v>
      </c>
      <c r="R11" s="218">
        <v>0.47754458729989763</v>
      </c>
      <c r="S11" s="218">
        <v>0.5040773424958066</v>
      </c>
      <c r="T11" s="218">
        <v>0.53199185458542075</v>
      </c>
      <c r="U11" s="218">
        <v>0.56083315356595764</v>
      </c>
      <c r="V11" s="218">
        <v>0.59409851398432001</v>
      </c>
      <c r="W11" s="218">
        <v>0.63198365191992478</v>
      </c>
      <c r="X11" s="218">
        <v>0.67597031166716304</v>
      </c>
      <c r="Y11" s="218">
        <v>0.7265061557451935</v>
      </c>
      <c r="Z11" s="218">
        <v>0.78554147332700019</v>
      </c>
      <c r="AA11" s="50">
        <v>0.85294539877943554</v>
      </c>
    </row>
    <row r="12" spans="1:27" ht="15" customHeight="1">
      <c r="A12" s="229" t="s">
        <v>424</v>
      </c>
      <c r="B12" s="225"/>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c r="AA12" s="226"/>
    </row>
    <row r="13" spans="1:27" ht="15" customHeight="1">
      <c r="A13" s="43"/>
      <c r="B13" s="38">
        <v>2000</v>
      </c>
      <c r="C13" s="38">
        <v>2001</v>
      </c>
      <c r="D13" s="38">
        <v>2002</v>
      </c>
      <c r="E13" s="38">
        <v>2003</v>
      </c>
      <c r="F13" s="38">
        <v>2004</v>
      </c>
      <c r="G13" s="38">
        <v>2005</v>
      </c>
      <c r="H13" s="38">
        <v>2006</v>
      </c>
      <c r="I13" s="38">
        <v>2007</v>
      </c>
      <c r="J13" s="38">
        <v>2008</v>
      </c>
      <c r="K13" s="38">
        <v>2009</v>
      </c>
      <c r="L13" s="38">
        <v>2010</v>
      </c>
      <c r="M13" s="38">
        <v>2011</v>
      </c>
      <c r="N13" s="38">
        <v>2012</v>
      </c>
      <c r="O13" s="38">
        <v>2013</v>
      </c>
      <c r="P13" s="38">
        <v>2014</v>
      </c>
      <c r="Q13" s="38">
        <v>2015</v>
      </c>
      <c r="R13" s="38">
        <v>2016</v>
      </c>
      <c r="S13" s="38">
        <v>2017</v>
      </c>
      <c r="T13" s="38">
        <v>2018</v>
      </c>
      <c r="U13" s="38">
        <v>2019</v>
      </c>
      <c r="V13" s="38">
        <v>2020</v>
      </c>
      <c r="W13" s="38">
        <v>2021</v>
      </c>
      <c r="X13" s="38">
        <v>2022</v>
      </c>
      <c r="Y13" s="38">
        <v>2023</v>
      </c>
      <c r="Z13" s="38">
        <v>2024</v>
      </c>
      <c r="AA13" s="208">
        <v>2025</v>
      </c>
    </row>
    <row r="14" spans="1:27" ht="15" customHeight="1">
      <c r="A14" s="43" t="s">
        <v>413</v>
      </c>
      <c r="B14" s="223">
        <v>102.65999607624677</v>
      </c>
      <c r="C14" s="223">
        <v>100.7035409552179</v>
      </c>
      <c r="D14" s="223">
        <v>101.04971922613728</v>
      </c>
      <c r="E14" s="223">
        <v>101.23167736993931</v>
      </c>
      <c r="F14" s="223">
        <v>104.15064709684759</v>
      </c>
      <c r="G14" s="223">
        <v>105.57352073753583</v>
      </c>
      <c r="H14" s="223">
        <v>104.66350719042443</v>
      </c>
      <c r="I14" s="223">
        <v>105.23081742441127</v>
      </c>
      <c r="J14" s="223">
        <v>107.51019526060215</v>
      </c>
      <c r="K14" s="223">
        <v>109.62890263725942</v>
      </c>
      <c r="L14" s="223">
        <v>109.22229358078735</v>
      </c>
      <c r="M14" s="223">
        <v>109.10598865906823</v>
      </c>
      <c r="N14" s="223">
        <v>109.077160622234</v>
      </c>
      <c r="O14" s="223">
        <v>108.91173508731396</v>
      </c>
      <c r="P14" s="223">
        <v>108.80197982180336</v>
      </c>
      <c r="Q14" s="223">
        <v>108.69712418548276</v>
      </c>
      <c r="R14" s="223">
        <v>108.57857707437776</v>
      </c>
      <c r="S14" s="223">
        <v>108.44416163402104</v>
      </c>
      <c r="T14" s="223">
        <v>108.28785348333889</v>
      </c>
      <c r="U14" s="223">
        <v>108.09728321561758</v>
      </c>
      <c r="V14" s="223">
        <v>107.90576497996432</v>
      </c>
      <c r="W14" s="223">
        <v>107.70494928311975</v>
      </c>
      <c r="X14" s="223">
        <v>107.50874835749948</v>
      </c>
      <c r="Y14" s="223">
        <v>107.30225234872177</v>
      </c>
      <c r="Z14" s="223">
        <v>107.07279596792691</v>
      </c>
      <c r="AA14" s="224">
        <v>106.90851905784064</v>
      </c>
    </row>
    <row r="15" spans="1:27" ht="15" customHeight="1">
      <c r="A15" s="43" t="s">
        <v>414</v>
      </c>
      <c r="B15" s="223">
        <v>3.6941311647313859</v>
      </c>
      <c r="C15" s="223">
        <v>4.5803937348260213</v>
      </c>
      <c r="D15" s="223">
        <v>6.1766162729196061</v>
      </c>
      <c r="E15" s="223">
        <v>7.612193607838921</v>
      </c>
      <c r="F15" s="223">
        <v>7.969864163930823</v>
      </c>
      <c r="G15" s="223">
        <v>7.7482440935867745</v>
      </c>
      <c r="H15" s="223">
        <v>8.1549436538065816</v>
      </c>
      <c r="I15" s="223">
        <v>8.3451845519327357</v>
      </c>
      <c r="J15" s="223">
        <v>8.0954589649954247</v>
      </c>
      <c r="K15" s="223">
        <v>9.472909909766793</v>
      </c>
      <c r="L15" s="223">
        <v>9.6297160135466626</v>
      </c>
      <c r="M15" s="223">
        <v>10.185608223047145</v>
      </c>
      <c r="N15" s="223">
        <v>10.740297768927014</v>
      </c>
      <c r="O15" s="223">
        <v>11.464167430259772</v>
      </c>
      <c r="P15" s="223">
        <v>12.159459626255346</v>
      </c>
      <c r="Q15" s="223">
        <v>12.860209421190239</v>
      </c>
      <c r="R15" s="223">
        <v>13.586244913495198</v>
      </c>
      <c r="S15" s="223">
        <v>14.333438505260423</v>
      </c>
      <c r="T15" s="223">
        <v>15.116550929749772</v>
      </c>
      <c r="U15" s="223">
        <v>15.85693166651399</v>
      </c>
      <c r="V15" s="223">
        <v>16.427332559422005</v>
      </c>
      <c r="W15" s="223">
        <v>17.165424045082176</v>
      </c>
      <c r="X15" s="223">
        <v>17.60097066150723</v>
      </c>
      <c r="Y15" s="223">
        <v>18.184903118766496</v>
      </c>
      <c r="Z15" s="223">
        <v>17.914022619562104</v>
      </c>
      <c r="AA15" s="224">
        <v>17.648212540106829</v>
      </c>
    </row>
    <row r="16" spans="1:27" ht="15" customHeight="1">
      <c r="A16" s="43" t="s">
        <v>415</v>
      </c>
      <c r="B16" s="223">
        <v>32.793391891446497</v>
      </c>
      <c r="C16" s="223">
        <v>32.468640296917521</v>
      </c>
      <c r="D16" s="223">
        <v>32.154655367730328</v>
      </c>
      <c r="E16" s="223">
        <v>32.040637490019833</v>
      </c>
      <c r="F16" s="223">
        <v>32.700000012381778</v>
      </c>
      <c r="G16" s="223">
        <v>33.295965162401856</v>
      </c>
      <c r="H16" s="223">
        <v>35.291748634062614</v>
      </c>
      <c r="I16" s="223">
        <v>37.353171490329125</v>
      </c>
      <c r="J16" s="223">
        <v>38.629936232610348</v>
      </c>
      <c r="K16" s="223">
        <v>38.997611825278604</v>
      </c>
      <c r="L16" s="223">
        <v>39.769355663887382</v>
      </c>
      <c r="M16" s="223">
        <v>40.633233963970461</v>
      </c>
      <c r="N16" s="223">
        <v>41.48606807899921</v>
      </c>
      <c r="O16" s="223">
        <v>42.335868212401216</v>
      </c>
      <c r="P16" s="223">
        <v>43.181780501232033</v>
      </c>
      <c r="Q16" s="223">
        <v>44.03181694811105</v>
      </c>
      <c r="R16" s="223">
        <v>44.883828755842941</v>
      </c>
      <c r="S16" s="223">
        <v>45.756063059702086</v>
      </c>
      <c r="T16" s="223">
        <v>46.633188466861881</v>
      </c>
      <c r="U16" s="223">
        <v>47.52827766247561</v>
      </c>
      <c r="V16" s="223">
        <v>48.429022208073555</v>
      </c>
      <c r="W16" s="223">
        <v>49.306171063351591</v>
      </c>
      <c r="X16" s="223">
        <v>50.193122186493696</v>
      </c>
      <c r="Y16" s="223">
        <v>51.06978697912389</v>
      </c>
      <c r="Z16" s="223">
        <v>51.958981699878642</v>
      </c>
      <c r="AA16" s="224">
        <v>52.866237278925638</v>
      </c>
    </row>
    <row r="17" spans="1:27" ht="15" customHeight="1">
      <c r="A17" s="43" t="s">
        <v>416</v>
      </c>
      <c r="B17" s="223">
        <v>1.3242047568289104</v>
      </c>
      <c r="C17" s="223">
        <v>1.6606326150472972</v>
      </c>
      <c r="D17" s="223">
        <v>1.4773292007869916</v>
      </c>
      <c r="E17" s="223">
        <v>1.4042697897734382</v>
      </c>
      <c r="F17" s="223">
        <v>1.3979507476270501</v>
      </c>
      <c r="G17" s="223">
        <v>1.4022426872025324</v>
      </c>
      <c r="H17" s="223">
        <v>1.4038715340156718</v>
      </c>
      <c r="I17" s="223">
        <v>1.4455245236990359</v>
      </c>
      <c r="J17" s="223">
        <v>1.4620764407991163</v>
      </c>
      <c r="K17" s="223">
        <v>1.4332755043470593</v>
      </c>
      <c r="L17" s="223">
        <v>1.4066908141548999</v>
      </c>
      <c r="M17" s="223">
        <v>1.4291591167748869</v>
      </c>
      <c r="N17" s="223">
        <v>1.4520081690736111</v>
      </c>
      <c r="O17" s="223">
        <v>1.4720615004888553</v>
      </c>
      <c r="P17" s="223">
        <v>1.4951551906375418</v>
      </c>
      <c r="Q17" s="223">
        <v>1.5190653412641</v>
      </c>
      <c r="R17" s="223">
        <v>1.5418873353237803</v>
      </c>
      <c r="S17" s="223">
        <v>1.5653000830206893</v>
      </c>
      <c r="T17" s="223">
        <v>1.5856055705611976</v>
      </c>
      <c r="U17" s="223">
        <v>1.6057512180943407</v>
      </c>
      <c r="V17" s="223">
        <v>1.6259128115236519</v>
      </c>
      <c r="W17" s="223">
        <v>1.6449096085582595</v>
      </c>
      <c r="X17" s="223">
        <v>1.6640876042848856</v>
      </c>
      <c r="Y17" s="223">
        <v>1.6833311725450795</v>
      </c>
      <c r="Z17" s="223">
        <v>1.7013176259820653</v>
      </c>
      <c r="AA17" s="224">
        <v>1.7233066197055293</v>
      </c>
    </row>
    <row r="18" spans="1:27" ht="15" customHeight="1">
      <c r="A18" s="43" t="s">
        <v>417</v>
      </c>
      <c r="B18" s="223">
        <v>39.225364776362589</v>
      </c>
      <c r="C18" s="223">
        <v>38.914117959300178</v>
      </c>
      <c r="D18" s="223">
        <v>39.327843595131633</v>
      </c>
      <c r="E18" s="223">
        <v>39.534305821246335</v>
      </c>
      <c r="F18" s="223">
        <v>38.868690330971255</v>
      </c>
      <c r="G18" s="223">
        <v>37.440059934204761</v>
      </c>
      <c r="H18" s="223">
        <v>36.450565344112121</v>
      </c>
      <c r="I18" s="223">
        <v>35.477329060756979</v>
      </c>
      <c r="J18" s="223">
        <v>34.897126029980775</v>
      </c>
      <c r="K18" s="223">
        <v>33.554015776320746</v>
      </c>
      <c r="L18" s="223">
        <v>32.530408459773639</v>
      </c>
      <c r="M18" s="223">
        <v>32.384628179912589</v>
      </c>
      <c r="N18" s="223">
        <v>32.324950520372575</v>
      </c>
      <c r="O18" s="223">
        <v>32.310135441004284</v>
      </c>
      <c r="P18" s="223">
        <v>32.333231730080399</v>
      </c>
      <c r="Q18" s="223">
        <v>32.353357130408739</v>
      </c>
      <c r="R18" s="223">
        <v>32.360784948488757</v>
      </c>
      <c r="S18" s="223">
        <v>32.333291260639754</v>
      </c>
      <c r="T18" s="223">
        <v>32.285870559784009</v>
      </c>
      <c r="U18" s="223">
        <v>32.227326686469468</v>
      </c>
      <c r="V18" s="223">
        <v>32.159362006996801</v>
      </c>
      <c r="W18" s="223">
        <v>32.081089660893618</v>
      </c>
      <c r="X18" s="223">
        <v>31.997673163501361</v>
      </c>
      <c r="Y18" s="223">
        <v>31.91180421211223</v>
      </c>
      <c r="Z18" s="223">
        <v>31.826653353695498</v>
      </c>
      <c r="AA18" s="224">
        <v>31.740985267143078</v>
      </c>
    </row>
    <row r="19" spans="1:27" ht="15" customHeight="1">
      <c r="A19" s="43" t="s">
        <v>418</v>
      </c>
      <c r="B19" s="223">
        <v>1.4324475480496026</v>
      </c>
      <c r="C19" s="223">
        <v>1.2754579206101169</v>
      </c>
      <c r="D19" s="223">
        <v>1.5490099559738375</v>
      </c>
      <c r="E19" s="223">
        <v>1.5678608973908612</v>
      </c>
      <c r="F19" s="223">
        <v>1.6509217790529045</v>
      </c>
      <c r="G19" s="223">
        <v>1.7643158936792167</v>
      </c>
      <c r="H19" s="223">
        <v>1.8008074006601544</v>
      </c>
      <c r="I19" s="223">
        <v>1.9013950856014314</v>
      </c>
      <c r="J19" s="223">
        <v>1.9730024853790746</v>
      </c>
      <c r="K19" s="223">
        <v>1.983478279868069</v>
      </c>
      <c r="L19" s="223">
        <v>2.0036173837821201</v>
      </c>
      <c r="M19" s="223">
        <v>2.0261638703822094</v>
      </c>
      <c r="N19" s="223">
        <v>2.0629021576910671</v>
      </c>
      <c r="O19" s="223">
        <v>2.0939715602403042</v>
      </c>
      <c r="P19" s="223">
        <v>2.1286128731083731</v>
      </c>
      <c r="Q19" s="223">
        <v>2.166905959804478</v>
      </c>
      <c r="R19" s="223">
        <v>2.2033520997386269</v>
      </c>
      <c r="S19" s="223">
        <v>2.2399199325975401</v>
      </c>
      <c r="T19" s="223">
        <v>2.2732581823481119</v>
      </c>
      <c r="U19" s="223">
        <v>2.3048534011510564</v>
      </c>
      <c r="V19" s="223">
        <v>2.3340259241691443</v>
      </c>
      <c r="W19" s="223">
        <v>2.3587490211766697</v>
      </c>
      <c r="X19" s="223">
        <v>2.3815519744639966</v>
      </c>
      <c r="Y19" s="223">
        <v>2.403025494884222</v>
      </c>
      <c r="Z19" s="223">
        <v>2.4218051138471646</v>
      </c>
      <c r="AA19" s="224">
        <v>2.4457776156977662</v>
      </c>
    </row>
    <row r="20" spans="1:27" ht="15" customHeight="1">
      <c r="A20" s="43" t="s">
        <v>419</v>
      </c>
      <c r="B20" s="223">
        <v>92.37586787292237</v>
      </c>
      <c r="C20" s="223">
        <v>92.499032017171999</v>
      </c>
      <c r="D20" s="223">
        <v>91.809851558326343</v>
      </c>
      <c r="E20" s="223">
        <v>90.902640494449756</v>
      </c>
      <c r="F20" s="223">
        <v>89.816639330806154</v>
      </c>
      <c r="G20" s="223">
        <v>88.927885413455371</v>
      </c>
      <c r="H20" s="223">
        <v>88.020334653312347</v>
      </c>
      <c r="I20" s="223">
        <v>85.000245623485569</v>
      </c>
      <c r="J20" s="223">
        <v>80.70841300343919</v>
      </c>
      <c r="K20" s="223">
        <v>79.804567218348623</v>
      </c>
      <c r="L20" s="223">
        <v>79.957161774738566</v>
      </c>
      <c r="M20" s="223">
        <v>77.71493410872452</v>
      </c>
      <c r="N20" s="223">
        <v>76.722021937379679</v>
      </c>
      <c r="O20" s="223">
        <v>74.056075417711654</v>
      </c>
      <c r="P20" s="223">
        <v>72.809535804503639</v>
      </c>
      <c r="Q20" s="223">
        <v>71.526108971942477</v>
      </c>
      <c r="R20" s="223">
        <v>70.077989994680891</v>
      </c>
      <c r="S20" s="223">
        <v>68.77439123733302</v>
      </c>
      <c r="T20" s="223">
        <v>67.279464236150545</v>
      </c>
      <c r="U20" s="223">
        <v>65.858964426465732</v>
      </c>
      <c r="V20" s="223">
        <v>64.50963471484765</v>
      </c>
      <c r="W20" s="223">
        <v>63.399797652054232</v>
      </c>
      <c r="X20" s="223">
        <v>62.205445371832852</v>
      </c>
      <c r="Y20" s="223">
        <v>61.029228278453203</v>
      </c>
      <c r="Z20" s="223">
        <v>59.366003623979566</v>
      </c>
      <c r="AA20" s="224">
        <v>61.163999746008656</v>
      </c>
    </row>
    <row r="21" spans="1:27" ht="15" customHeight="1">
      <c r="A21" s="43" t="s">
        <v>420</v>
      </c>
      <c r="B21" s="223">
        <v>0</v>
      </c>
      <c r="C21" s="223">
        <v>0</v>
      </c>
      <c r="D21" s="223">
        <v>0.56512869169434832</v>
      </c>
      <c r="E21" s="223">
        <v>0.5648304754121628</v>
      </c>
      <c r="F21" s="223">
        <v>0.62061489033859008</v>
      </c>
      <c r="G21" s="223">
        <v>0.66345418464604478</v>
      </c>
      <c r="H21" s="223">
        <v>0.55274402128493672</v>
      </c>
      <c r="I21" s="223">
        <v>0.5947483824038805</v>
      </c>
      <c r="J21" s="223">
        <v>0.54131885238779331</v>
      </c>
      <c r="K21" s="223">
        <v>0.59197806643694317</v>
      </c>
      <c r="L21" s="223">
        <v>0.59058954420070753</v>
      </c>
      <c r="M21" s="223">
        <v>0.60798790969848449</v>
      </c>
      <c r="N21" s="223">
        <v>0.62484440736557711</v>
      </c>
      <c r="O21" s="223">
        <v>0.63715757881263335</v>
      </c>
      <c r="P21" s="223">
        <v>0.65172985009305839</v>
      </c>
      <c r="Q21" s="223">
        <v>0.66800031778446645</v>
      </c>
      <c r="R21" s="223">
        <v>0.68298277254156159</v>
      </c>
      <c r="S21" s="223">
        <v>0.69982211603267852</v>
      </c>
      <c r="T21" s="223">
        <v>0.71605394577072612</v>
      </c>
      <c r="U21" s="223">
        <v>0.73324247639364393</v>
      </c>
      <c r="V21" s="223">
        <v>0.75165467103569983</v>
      </c>
      <c r="W21" s="223">
        <v>0.76902758297916829</v>
      </c>
      <c r="X21" s="223">
        <v>0.78571025751918044</v>
      </c>
      <c r="Y21" s="223">
        <v>0.80139715554374524</v>
      </c>
      <c r="Z21" s="223">
        <v>0.81397117188452062</v>
      </c>
      <c r="AA21" s="224">
        <v>0.83264856199607351</v>
      </c>
    </row>
    <row r="22" spans="1:27" ht="15" customHeight="1">
      <c r="A22" s="43" t="s">
        <v>421</v>
      </c>
      <c r="B22" s="223">
        <v>7.9677945396900052</v>
      </c>
      <c r="C22" s="223">
        <v>8.9756848373706379</v>
      </c>
      <c r="D22" s="223">
        <v>10.015009949881314</v>
      </c>
      <c r="E22" s="223">
        <v>11.029706398168113</v>
      </c>
      <c r="F22" s="223">
        <v>12.689158981404946</v>
      </c>
      <c r="G22" s="223">
        <v>12.872044558656922</v>
      </c>
      <c r="H22" s="223">
        <v>11.823188463047664</v>
      </c>
      <c r="I22" s="223">
        <v>10.510286298091335</v>
      </c>
      <c r="J22" s="223">
        <v>11.136132612809417</v>
      </c>
      <c r="K22" s="223">
        <v>11.876890960706135</v>
      </c>
      <c r="L22" s="223">
        <v>11.860958257244686</v>
      </c>
      <c r="M22" s="223">
        <v>12.427104089344452</v>
      </c>
      <c r="N22" s="223">
        <v>12.970171984747036</v>
      </c>
      <c r="O22" s="223">
        <v>13.334381533639444</v>
      </c>
      <c r="P22" s="223">
        <v>13.761348826472251</v>
      </c>
      <c r="Q22" s="223">
        <v>14.254519477891032</v>
      </c>
      <c r="R22" s="223">
        <v>14.779668946807112</v>
      </c>
      <c r="S22" s="223">
        <v>15.279669796688738</v>
      </c>
      <c r="T22" s="223">
        <v>15.79945967591361</v>
      </c>
      <c r="U22" s="223">
        <v>16.292236326578188</v>
      </c>
      <c r="V22" s="223">
        <v>16.803251627913696</v>
      </c>
      <c r="W22" s="223">
        <v>17.35219838886281</v>
      </c>
      <c r="X22" s="223">
        <v>17.929565254635101</v>
      </c>
      <c r="Y22" s="223">
        <v>18.540676213953105</v>
      </c>
      <c r="Z22" s="223">
        <v>19.194923118483118</v>
      </c>
      <c r="AA22" s="224">
        <v>19.874279421810151</v>
      </c>
    </row>
    <row r="23" spans="1:27" ht="15" customHeight="1">
      <c r="A23" s="43" t="s">
        <v>422</v>
      </c>
      <c r="B23" s="223">
        <v>94.616064203715325</v>
      </c>
      <c r="C23" s="223">
        <v>93.510083128632857</v>
      </c>
      <c r="D23" s="223">
        <v>93.150227275922305</v>
      </c>
      <c r="E23" s="223">
        <v>92.916105209550722</v>
      </c>
      <c r="F23" s="223">
        <v>92.453144319563023</v>
      </c>
      <c r="G23" s="223">
        <v>92.036212997101757</v>
      </c>
      <c r="H23" s="223">
        <v>92.148779323221859</v>
      </c>
      <c r="I23" s="223">
        <v>91.305821298200257</v>
      </c>
      <c r="J23" s="223">
        <v>90.907643531095204</v>
      </c>
      <c r="K23" s="223">
        <v>90.226088010174379</v>
      </c>
      <c r="L23" s="223">
        <v>97.087220224877953</v>
      </c>
      <c r="M23" s="223">
        <v>94.747282189919645</v>
      </c>
      <c r="N23" s="223">
        <v>93.815483760224126</v>
      </c>
      <c r="O23" s="223">
        <v>92.654951589131386</v>
      </c>
      <c r="P23" s="223">
        <v>91.678214996223346</v>
      </c>
      <c r="Q23" s="223">
        <v>90.844483822321322</v>
      </c>
      <c r="R23" s="223">
        <v>90.109849388448126</v>
      </c>
      <c r="S23" s="223">
        <v>89.393488169051381</v>
      </c>
      <c r="T23" s="223">
        <v>88.680166310935249</v>
      </c>
      <c r="U23" s="223">
        <v>88.015526064484007</v>
      </c>
      <c r="V23" s="223">
        <v>87.402968562448905</v>
      </c>
      <c r="W23" s="223">
        <v>87.142991335140195</v>
      </c>
      <c r="X23" s="223">
        <v>86.937209189982113</v>
      </c>
      <c r="Y23" s="223">
        <v>86.789662370447019</v>
      </c>
      <c r="Z23" s="223">
        <v>86.675125172659435</v>
      </c>
      <c r="AA23" s="224">
        <v>86.56783453263597</v>
      </c>
    </row>
    <row r="24" spans="1:27" ht="15" customHeight="1">
      <c r="A24" s="66" t="s">
        <v>423</v>
      </c>
      <c r="B24" s="227">
        <v>32.248131981558075</v>
      </c>
      <c r="C24" s="227">
        <v>33.114840498215052</v>
      </c>
      <c r="D24" s="227">
        <v>35.077899498276423</v>
      </c>
      <c r="E24" s="227">
        <v>38.37870956509704</v>
      </c>
      <c r="F24" s="227">
        <v>33.539623261636621</v>
      </c>
      <c r="G24" s="227">
        <v>32.163211131670707</v>
      </c>
      <c r="H24" s="227">
        <v>34.993254135952242</v>
      </c>
      <c r="I24" s="227">
        <v>34.27968759805669</v>
      </c>
      <c r="J24" s="227">
        <v>35.180268491179049</v>
      </c>
      <c r="K24" s="227">
        <v>35.086292902682004</v>
      </c>
      <c r="L24" s="227">
        <v>30.265604530366229</v>
      </c>
      <c r="M24" s="227">
        <v>30.064029823931087</v>
      </c>
      <c r="N24" s="227">
        <v>30.430472654890632</v>
      </c>
      <c r="O24" s="227">
        <v>30.634893257705265</v>
      </c>
      <c r="P24" s="227">
        <v>30.756754929488647</v>
      </c>
      <c r="Q24" s="227">
        <v>30.846617277326622</v>
      </c>
      <c r="R24" s="227">
        <v>30.909622110208161</v>
      </c>
      <c r="S24" s="227">
        <v>30.988963130549855</v>
      </c>
      <c r="T24" s="227">
        <v>31.052797962010935</v>
      </c>
      <c r="U24" s="227">
        <v>31.130200142471743</v>
      </c>
      <c r="V24" s="227">
        <v>31.214128098897067</v>
      </c>
      <c r="W24" s="227">
        <v>31.279676480662044</v>
      </c>
      <c r="X24" s="227">
        <v>31.343019420136528</v>
      </c>
      <c r="Y24" s="227">
        <v>31.394772418730117</v>
      </c>
      <c r="Z24" s="227">
        <v>31.424576395622783</v>
      </c>
      <c r="AA24" s="228">
        <v>31.498417701160488</v>
      </c>
    </row>
    <row r="25" spans="1:27" ht="15" customHeight="1">
      <c r="A25" s="66"/>
      <c r="B25" s="227"/>
      <c r="C25" s="227"/>
      <c r="D25" s="227"/>
      <c r="E25" s="227"/>
      <c r="F25" s="227"/>
      <c r="G25" s="227"/>
      <c r="H25" s="227"/>
      <c r="I25" s="227"/>
      <c r="J25" s="227"/>
      <c r="K25" s="227"/>
      <c r="L25" s="227"/>
      <c r="M25" s="227"/>
      <c r="N25" s="223"/>
      <c r="O25" s="223"/>
      <c r="P25" s="223"/>
      <c r="Q25" s="223"/>
      <c r="R25" s="225" t="s">
        <v>411</v>
      </c>
      <c r="T25" s="223"/>
      <c r="U25" s="223"/>
      <c r="V25" s="223"/>
      <c r="W25" s="223"/>
      <c r="X25" s="223"/>
      <c r="Y25" s="223"/>
      <c r="Z25" s="223"/>
      <c r="AA25" s="223"/>
    </row>
    <row r="26" spans="1:27" ht="15" customHeight="1">
      <c r="A26" s="209" t="s">
        <v>425</v>
      </c>
      <c r="B26" s="211"/>
      <c r="C26" s="211"/>
      <c r="D26" s="211"/>
      <c r="E26" s="211"/>
      <c r="F26" s="211"/>
      <c r="G26" s="211"/>
      <c r="H26" s="211"/>
      <c r="I26" s="211"/>
      <c r="J26" s="211"/>
      <c r="K26" s="211"/>
      <c r="L26" s="211"/>
      <c r="M26" s="212"/>
    </row>
    <row r="27" spans="1:27" ht="15" customHeight="1">
      <c r="A27" s="43"/>
      <c r="B27" s="39"/>
      <c r="C27" s="38">
        <v>2003</v>
      </c>
      <c r="D27" s="38">
        <v>2004</v>
      </c>
      <c r="E27" s="38">
        <v>2005</v>
      </c>
      <c r="F27" s="38">
        <v>2006</v>
      </c>
      <c r="G27" s="38">
        <v>2007</v>
      </c>
      <c r="H27" s="38">
        <v>2008</v>
      </c>
      <c r="I27" s="38">
        <v>2009</v>
      </c>
      <c r="J27" s="38">
        <v>2010</v>
      </c>
      <c r="K27" s="38" t="s">
        <v>385</v>
      </c>
      <c r="L27" s="38" t="s">
        <v>386</v>
      </c>
      <c r="M27" s="208" t="s">
        <v>389</v>
      </c>
    </row>
    <row r="28" spans="1:27" ht="15" customHeight="1">
      <c r="A28" s="43" t="s">
        <v>426</v>
      </c>
      <c r="B28" s="39"/>
      <c r="C28" s="39">
        <v>127</v>
      </c>
      <c r="D28" s="39">
        <v>151</v>
      </c>
      <c r="E28" s="39">
        <v>198</v>
      </c>
      <c r="F28" s="39">
        <v>216</v>
      </c>
      <c r="G28" s="39">
        <v>234</v>
      </c>
      <c r="H28" s="39">
        <v>262</v>
      </c>
      <c r="I28" s="39">
        <v>285</v>
      </c>
      <c r="J28" s="39">
        <v>280</v>
      </c>
      <c r="K28" s="39">
        <v>350</v>
      </c>
      <c r="L28" s="39">
        <v>385</v>
      </c>
      <c r="M28" s="57">
        <v>424</v>
      </c>
    </row>
    <row r="29" spans="1:27" ht="15" customHeight="1">
      <c r="A29" s="43" t="s">
        <v>427</v>
      </c>
      <c r="B29" s="39"/>
      <c r="C29" s="195">
        <v>856</v>
      </c>
      <c r="D29" s="195">
        <v>751</v>
      </c>
      <c r="E29" s="195">
        <v>701</v>
      </c>
      <c r="F29" s="195">
        <v>688</v>
      </c>
      <c r="G29" s="195">
        <v>616</v>
      </c>
      <c r="H29" s="195">
        <v>1004</v>
      </c>
      <c r="I29" s="195">
        <v>1056</v>
      </c>
      <c r="J29" s="195">
        <v>1126</v>
      </c>
      <c r="K29" s="195">
        <v>1186</v>
      </c>
      <c r="L29" s="195">
        <v>1249</v>
      </c>
      <c r="M29" s="44">
        <v>1315</v>
      </c>
    </row>
    <row r="30" spans="1:27" ht="15" customHeight="1">
      <c r="A30" s="66" t="s">
        <v>428</v>
      </c>
      <c r="B30" s="62"/>
      <c r="C30" s="62">
        <v>79</v>
      </c>
      <c r="D30" s="62">
        <v>96</v>
      </c>
      <c r="E30" s="62">
        <v>104</v>
      </c>
      <c r="F30" s="62">
        <v>113</v>
      </c>
      <c r="G30" s="62">
        <v>99</v>
      </c>
      <c r="H30" s="62">
        <v>108</v>
      </c>
      <c r="I30" s="62">
        <v>135</v>
      </c>
      <c r="J30" s="62">
        <v>158</v>
      </c>
      <c r="K30" s="62">
        <v>182</v>
      </c>
      <c r="L30" s="62">
        <v>203</v>
      </c>
      <c r="M30" s="63">
        <v>223</v>
      </c>
    </row>
    <row r="31" spans="1:27" ht="15" customHeight="1">
      <c r="I31" s="59" t="s">
        <v>429</v>
      </c>
    </row>
    <row r="32" spans="1:27" ht="15" customHeight="1">
      <c r="A32" s="209" t="s">
        <v>430</v>
      </c>
      <c r="B32" s="205"/>
      <c r="C32" s="205"/>
      <c r="D32" s="205"/>
      <c r="E32" s="205"/>
      <c r="F32" s="205"/>
      <c r="G32" s="205"/>
      <c r="H32" s="207"/>
    </row>
    <row r="33" spans="1:8">
      <c r="A33" s="231" t="s">
        <v>433</v>
      </c>
      <c r="B33" s="225"/>
      <c r="C33" s="226"/>
      <c r="D33" s="232" t="s">
        <v>437</v>
      </c>
      <c r="E33" s="225"/>
      <c r="F33" s="225"/>
      <c r="G33" s="225"/>
      <c r="H33" s="226"/>
    </row>
    <row r="34" spans="1:8">
      <c r="A34" s="43" t="s">
        <v>342</v>
      </c>
      <c r="B34" s="166">
        <v>0.13800000000000001</v>
      </c>
      <c r="C34" s="57"/>
      <c r="D34" s="39" t="s">
        <v>342</v>
      </c>
      <c r="E34" s="39"/>
      <c r="F34" s="52">
        <v>0.9</v>
      </c>
      <c r="G34" s="39"/>
      <c r="H34" s="57"/>
    </row>
    <row r="35" spans="1:8">
      <c r="A35" s="43" t="s">
        <v>431</v>
      </c>
      <c r="B35" s="166">
        <v>0.26500000000000001</v>
      </c>
      <c r="C35" s="57"/>
      <c r="D35" s="39" t="s">
        <v>431</v>
      </c>
      <c r="E35" s="39"/>
      <c r="F35" s="52">
        <v>0.01</v>
      </c>
      <c r="G35" s="39"/>
      <c r="H35" s="57"/>
    </row>
    <row r="36" spans="1:8">
      <c r="A36" s="43" t="s">
        <v>434</v>
      </c>
      <c r="B36" s="166">
        <v>0.27700000000000002</v>
      </c>
      <c r="C36" s="57"/>
      <c r="D36" s="39" t="s">
        <v>71</v>
      </c>
      <c r="E36" s="39"/>
      <c r="F36" s="52">
        <v>0.09</v>
      </c>
      <c r="G36" s="39"/>
      <c r="H36" s="57"/>
    </row>
    <row r="37" spans="1:8">
      <c r="A37" s="43" t="s">
        <v>435</v>
      </c>
      <c r="B37" s="166">
        <v>8.2000000000000003E-2</v>
      </c>
      <c r="C37" s="57"/>
      <c r="D37" s="39"/>
      <c r="E37" s="39"/>
      <c r="F37" s="39"/>
      <c r="G37" s="39"/>
      <c r="H37" s="57"/>
    </row>
    <row r="38" spans="1:8">
      <c r="A38" s="43" t="s">
        <v>436</v>
      </c>
      <c r="B38" s="166">
        <v>0.10100000000000001</v>
      </c>
      <c r="C38" s="57"/>
      <c r="D38" s="39"/>
      <c r="E38" s="39"/>
      <c r="F38" s="39"/>
      <c r="G38" s="39"/>
      <c r="H38" s="57"/>
    </row>
    <row r="39" spans="1:8">
      <c r="A39" s="66" t="s">
        <v>71</v>
      </c>
      <c r="B39" s="168">
        <v>8.3000000000000004E-2</v>
      </c>
      <c r="C39" s="63"/>
      <c r="D39" s="62"/>
      <c r="E39" s="62"/>
      <c r="F39" s="62"/>
      <c r="G39" s="62"/>
      <c r="H39" s="63"/>
    </row>
    <row r="40" spans="1:8">
      <c r="A40" s="231" t="s">
        <v>438</v>
      </c>
      <c r="B40" s="225"/>
      <c r="C40" s="226"/>
      <c r="D40" s="232" t="s">
        <v>439</v>
      </c>
      <c r="E40" s="225"/>
      <c r="F40" s="225"/>
      <c r="G40" s="225"/>
      <c r="H40" s="226"/>
    </row>
    <row r="41" spans="1:8">
      <c r="A41" s="43" t="s">
        <v>342</v>
      </c>
      <c r="B41" s="52">
        <v>0.4</v>
      </c>
      <c r="C41" s="57"/>
      <c r="D41" s="39" t="s">
        <v>342</v>
      </c>
      <c r="E41" s="39"/>
      <c r="F41" s="166">
        <v>0.79400000000000004</v>
      </c>
      <c r="G41" s="39"/>
      <c r="H41" s="57"/>
    </row>
    <row r="42" spans="1:8">
      <c r="A42" s="43" t="s">
        <v>431</v>
      </c>
      <c r="B42" s="52">
        <v>0.4</v>
      </c>
      <c r="C42" s="57"/>
      <c r="D42" s="39" t="s">
        <v>431</v>
      </c>
      <c r="E42" s="39"/>
      <c r="F42" s="166">
        <v>0.20100000000000001</v>
      </c>
      <c r="G42" s="39"/>
      <c r="H42" s="57"/>
    </row>
    <row r="43" spans="1:8">
      <c r="A43" s="66" t="s">
        <v>71</v>
      </c>
      <c r="B43" s="230">
        <v>0.2</v>
      </c>
      <c r="C43" s="63"/>
      <c r="D43" s="62"/>
      <c r="E43" s="62"/>
      <c r="F43" s="62"/>
      <c r="G43" s="62"/>
      <c r="H43" s="63"/>
    </row>
    <row r="45" spans="1:8">
      <c r="A45" s="209" t="s">
        <v>440</v>
      </c>
      <c r="B45" s="211"/>
      <c r="C45" s="211"/>
      <c r="D45" s="211"/>
      <c r="E45" s="211"/>
      <c r="F45" s="211"/>
      <c r="G45" s="211"/>
      <c r="H45" s="212"/>
    </row>
    <row r="46" spans="1:8">
      <c r="A46" s="200" t="s">
        <v>432</v>
      </c>
      <c r="B46" s="38" t="s">
        <v>441</v>
      </c>
      <c r="C46" s="38"/>
      <c r="D46" s="38"/>
      <c r="E46" s="38" t="s">
        <v>442</v>
      </c>
      <c r="F46" s="38"/>
      <c r="G46" s="38"/>
      <c r="H46" s="208"/>
    </row>
    <row r="47" spans="1:8">
      <c r="A47" s="43" t="s">
        <v>443</v>
      </c>
      <c r="B47" s="39" t="s">
        <v>444</v>
      </c>
      <c r="C47" s="39"/>
      <c r="D47" s="39"/>
      <c r="E47" s="233"/>
      <c r="F47" s="233">
        <v>0.1</v>
      </c>
      <c r="G47" s="39"/>
      <c r="H47" s="57"/>
    </row>
    <row r="48" spans="1:8">
      <c r="A48" s="43" t="s">
        <v>445</v>
      </c>
      <c r="B48" s="52">
        <v>0.5</v>
      </c>
      <c r="C48" s="39"/>
      <c r="D48" s="39"/>
      <c r="E48" s="233"/>
      <c r="F48" s="233">
        <v>0.2</v>
      </c>
      <c r="G48" s="39"/>
      <c r="H48" s="57"/>
    </row>
    <row r="49" spans="1:8">
      <c r="A49" s="43" t="s">
        <v>433</v>
      </c>
      <c r="B49" s="52">
        <v>0.1</v>
      </c>
      <c r="C49" s="39"/>
      <c r="D49" s="39"/>
      <c r="E49" s="234"/>
      <c r="F49" s="234" t="s">
        <v>446</v>
      </c>
      <c r="G49" s="39"/>
      <c r="H49" s="57"/>
    </row>
    <row r="50" spans="1:8">
      <c r="A50" s="66" t="s">
        <v>447</v>
      </c>
      <c r="B50" s="230">
        <v>0.22</v>
      </c>
      <c r="C50" s="62"/>
      <c r="D50" s="62"/>
      <c r="E50" s="235"/>
      <c r="F50" s="235" t="s">
        <v>448</v>
      </c>
      <c r="G50" s="62"/>
      <c r="H50" s="63"/>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BF150"/>
  <sheetViews>
    <sheetView showGridLines="0" workbookViewId="0">
      <pane xSplit="2" ySplit="4" topLeftCell="C124" activePane="bottomRight" state="frozen"/>
      <selection pane="topRight" activeCell="C1" sqref="C1"/>
      <selection pane="bottomLeft" activeCell="A5" sqref="A5"/>
      <selection pane="bottomRight" activeCell="J141" sqref="J141"/>
    </sheetView>
  </sheetViews>
  <sheetFormatPr defaultRowHeight="16.5" customHeight="1" outlineLevelRow="1" outlineLevelCol="1"/>
  <cols>
    <col min="1" max="2" width="22.7109375" style="101" customWidth="1"/>
    <col min="3" max="7" width="9.140625" style="74" customWidth="1" outlineLevel="1"/>
    <col min="8" max="8" width="9.85546875" style="74" bestFit="1" customWidth="1" outlineLevel="1"/>
    <col min="9" max="10" width="9.85546875" style="74" customWidth="1" outlineLevel="1"/>
    <col min="11" max="11" width="3.85546875" style="127" customWidth="1"/>
    <col min="12" max="18" width="9" style="127" bestFit="1" customWidth="1"/>
    <col min="19" max="27" width="9.140625" style="74" customWidth="1" outlineLevel="1"/>
    <col min="28" max="28" width="2.7109375" style="128" customWidth="1"/>
    <col min="29" max="34" width="6.7109375" style="126" customWidth="1" outlineLevel="1"/>
    <col min="35" max="35" width="3.5703125" style="148" customWidth="1" outlineLevel="1"/>
    <col min="36" max="40" width="6.85546875" style="148" bestFit="1" customWidth="1" outlineLevel="1"/>
    <col min="41" max="45" width="6.7109375" style="126" customWidth="1" outlineLevel="1"/>
    <col min="46" max="47" width="6.42578125" style="72" customWidth="1"/>
    <col min="48" max="49" width="5.85546875" style="73" bestFit="1" customWidth="1"/>
    <col min="50" max="16384" width="9.140625" style="73"/>
  </cols>
  <sheetData>
    <row r="1" spans="1:50" ht="16.5" customHeight="1">
      <c r="A1" s="163">
        <f>Info!B6</f>
        <v>0</v>
      </c>
      <c r="B1" s="67"/>
      <c r="C1" s="68"/>
      <c r="D1" s="68"/>
      <c r="E1" s="68"/>
      <c r="F1" s="68"/>
      <c r="G1" s="68"/>
      <c r="H1" s="68"/>
      <c r="I1" s="68"/>
      <c r="J1" s="68"/>
      <c r="K1" s="69"/>
      <c r="L1" s="69"/>
      <c r="M1" s="69"/>
      <c r="N1" s="69"/>
      <c r="O1" s="69"/>
      <c r="P1" s="69"/>
      <c r="Q1" s="69"/>
      <c r="R1" s="69"/>
      <c r="S1" s="68"/>
      <c r="T1" s="68"/>
      <c r="U1" s="68"/>
      <c r="V1" s="68"/>
      <c r="W1" s="68"/>
      <c r="X1" s="68"/>
      <c r="Y1" s="68"/>
      <c r="Z1" s="68"/>
      <c r="AA1" s="68"/>
      <c r="AB1" s="70"/>
      <c r="AC1" s="71"/>
      <c r="AD1" s="71"/>
      <c r="AE1" s="71"/>
      <c r="AF1" s="71"/>
      <c r="AG1" s="71"/>
      <c r="AH1" s="71"/>
      <c r="AI1" s="141"/>
      <c r="AJ1" s="141"/>
      <c r="AK1" s="141"/>
      <c r="AL1" s="141"/>
      <c r="AM1" s="141"/>
      <c r="AN1" s="141"/>
      <c r="AO1" s="71"/>
      <c r="AP1" s="71"/>
      <c r="AQ1" s="71"/>
      <c r="AR1" s="71"/>
      <c r="AS1" s="71"/>
    </row>
    <row r="2" spans="1:50" s="81" customFormat="1" ht="16.5" customHeight="1">
      <c r="A2" s="131" t="s">
        <v>337</v>
      </c>
      <c r="B2" s="76"/>
      <c r="C2" s="78"/>
      <c r="D2" s="78"/>
      <c r="E2" s="78"/>
      <c r="F2" s="78"/>
      <c r="G2" s="78"/>
      <c r="H2" s="78"/>
      <c r="I2" s="78"/>
      <c r="J2" s="78"/>
      <c r="K2" s="77"/>
      <c r="L2" s="77"/>
      <c r="M2" s="77"/>
      <c r="N2" s="77"/>
      <c r="O2" s="77"/>
      <c r="P2" s="77"/>
      <c r="Q2" s="77"/>
      <c r="R2" s="77"/>
      <c r="S2" s="78"/>
      <c r="T2" s="78"/>
      <c r="U2" s="78"/>
      <c r="V2" s="78"/>
      <c r="W2" s="78"/>
      <c r="X2" s="78"/>
      <c r="Y2" s="78"/>
      <c r="Z2" s="78"/>
      <c r="AA2" s="78"/>
      <c r="AB2" s="79"/>
      <c r="AD2" s="75"/>
      <c r="AE2" s="75"/>
      <c r="AF2" s="75"/>
      <c r="AG2" s="75"/>
      <c r="AH2" s="75"/>
      <c r="AI2" s="142"/>
      <c r="AJ2" s="142"/>
      <c r="AK2" s="142"/>
      <c r="AL2" s="142"/>
      <c r="AM2" s="142"/>
      <c r="AN2" s="142"/>
      <c r="AO2" s="75"/>
      <c r="AP2" s="75"/>
      <c r="AQ2" s="75"/>
      <c r="AR2" s="75"/>
      <c r="AS2" s="75"/>
      <c r="AT2" s="80"/>
      <c r="AU2" s="80"/>
    </row>
    <row r="3" spans="1:50" s="81" customFormat="1" ht="16.5" customHeight="1">
      <c r="A3" s="132" t="s">
        <v>203</v>
      </c>
      <c r="B3" s="132" t="s">
        <v>204</v>
      </c>
      <c r="C3" s="139"/>
      <c r="D3" s="139"/>
      <c r="E3" s="418"/>
      <c r="F3" s="418"/>
      <c r="G3" s="418"/>
      <c r="H3" s="418"/>
      <c r="I3" s="418"/>
      <c r="J3" s="418"/>
      <c r="K3" s="77"/>
      <c r="L3" s="77"/>
      <c r="M3" s="77"/>
      <c r="N3" s="77"/>
      <c r="O3" s="77"/>
      <c r="P3" s="77"/>
      <c r="Q3" s="77"/>
      <c r="R3" s="77"/>
      <c r="S3" s="139" t="s">
        <v>205</v>
      </c>
      <c r="T3" s="78"/>
      <c r="U3" s="78"/>
      <c r="V3" s="78"/>
      <c r="W3" s="78"/>
      <c r="X3" s="78"/>
      <c r="Y3" s="78"/>
      <c r="Z3" s="78"/>
      <c r="AA3" s="78"/>
      <c r="AB3" s="79"/>
      <c r="AC3" s="140" t="s">
        <v>339</v>
      </c>
      <c r="AD3" s="75"/>
      <c r="AE3" s="75"/>
      <c r="AF3" s="75"/>
      <c r="AG3" s="75"/>
      <c r="AH3" s="75"/>
      <c r="AI3" s="142"/>
      <c r="AJ3" s="142"/>
      <c r="AK3" s="142"/>
      <c r="AL3" s="142"/>
      <c r="AM3" s="142"/>
      <c r="AN3" s="142"/>
      <c r="AO3" s="75"/>
      <c r="AP3" s="75"/>
      <c r="AQ3" s="75"/>
      <c r="AR3" s="75"/>
      <c r="AS3" s="75"/>
      <c r="AT3" s="80"/>
      <c r="AU3" s="80"/>
    </row>
    <row r="4" spans="1:50" s="84" customFormat="1" ht="15.95" customHeight="1" outlineLevel="1">
      <c r="A4" s="410" t="s">
        <v>338</v>
      </c>
      <c r="B4" s="410"/>
      <c r="C4" s="411">
        <v>2007</v>
      </c>
      <c r="D4" s="411">
        <v>2008</v>
      </c>
      <c r="E4" s="411">
        <v>2009</v>
      </c>
      <c r="F4" s="411">
        <v>2010</v>
      </c>
      <c r="G4" s="411">
        <v>2011</v>
      </c>
      <c r="H4" s="411">
        <v>2012</v>
      </c>
      <c r="I4" s="411">
        <v>2013</v>
      </c>
      <c r="J4" s="411">
        <v>2014</v>
      </c>
      <c r="K4" s="82"/>
      <c r="L4" s="411" t="s">
        <v>343</v>
      </c>
      <c r="M4" s="411" t="s">
        <v>344</v>
      </c>
      <c r="N4" s="411" t="s">
        <v>89</v>
      </c>
      <c r="O4" s="411" t="s">
        <v>90</v>
      </c>
      <c r="P4" s="411" t="s">
        <v>91</v>
      </c>
      <c r="Q4" s="411" t="s">
        <v>92</v>
      </c>
      <c r="R4" s="411" t="s">
        <v>93</v>
      </c>
      <c r="S4" s="411" t="s">
        <v>768</v>
      </c>
      <c r="T4" s="411" t="s">
        <v>767</v>
      </c>
      <c r="U4" s="411" t="s">
        <v>766</v>
      </c>
      <c r="V4" s="411" t="s">
        <v>557</v>
      </c>
      <c r="W4" s="411" t="s">
        <v>556</v>
      </c>
      <c r="X4" s="411" t="s">
        <v>786</v>
      </c>
      <c r="Y4" s="411" t="s">
        <v>791</v>
      </c>
      <c r="Z4" s="411" t="s">
        <v>849</v>
      </c>
      <c r="AA4" s="411" t="s">
        <v>850</v>
      </c>
      <c r="AB4" s="83"/>
      <c r="AC4" s="411">
        <f>E4</f>
        <v>2009</v>
      </c>
      <c r="AD4" s="411">
        <f t="shared" ref="AD4:AH4" si="0">F4</f>
        <v>2010</v>
      </c>
      <c r="AE4" s="411">
        <f t="shared" si="0"/>
        <v>2011</v>
      </c>
      <c r="AF4" s="411">
        <f t="shared" si="0"/>
        <v>2012</v>
      </c>
      <c r="AG4" s="411">
        <f t="shared" si="0"/>
        <v>2013</v>
      </c>
      <c r="AH4" s="411">
        <f t="shared" si="0"/>
        <v>2014</v>
      </c>
      <c r="AI4" s="143"/>
      <c r="AJ4" s="411" t="str">
        <f>O4</f>
        <v>Q4/2010</v>
      </c>
      <c r="AK4" s="411" t="str">
        <f t="shared" ref="AK4:AS4" si="1">P4</f>
        <v>Q1/2011</v>
      </c>
      <c r="AL4" s="411" t="str">
        <f t="shared" si="1"/>
        <v>Q2/2011</v>
      </c>
      <c r="AM4" s="411" t="str">
        <f t="shared" si="1"/>
        <v>Q3/2011</v>
      </c>
      <c r="AN4" s="411" t="str">
        <f t="shared" si="1"/>
        <v>Q4/2011</v>
      </c>
      <c r="AO4" s="411" t="str">
        <f t="shared" si="1"/>
        <v>Q1/2012</v>
      </c>
      <c r="AP4" s="411" t="str">
        <f t="shared" si="1"/>
        <v>Q2/2012</v>
      </c>
      <c r="AQ4" s="411" t="str">
        <f t="shared" si="1"/>
        <v>Q3/2012</v>
      </c>
      <c r="AR4" s="411" t="str">
        <f t="shared" si="1"/>
        <v>Q4/2012</v>
      </c>
      <c r="AS4" s="411" t="str">
        <f t="shared" si="1"/>
        <v>Q1/2013</v>
      </c>
      <c r="AT4" s="411" t="str">
        <f t="shared" ref="AT4:AU4" si="2">Y4</f>
        <v>Q2/2013</v>
      </c>
      <c r="AU4" s="411" t="str">
        <f t="shared" si="2"/>
        <v>Q3/2013</v>
      </c>
      <c r="AV4" s="411" t="str">
        <f t="shared" ref="AV4" si="3">AA4</f>
        <v>9M</v>
      </c>
      <c r="AW4" s="81"/>
      <c r="AX4" s="81"/>
    </row>
    <row r="5" spans="1:50" s="88" customFormat="1" ht="15.95" customHeight="1" outlineLevel="1">
      <c r="A5" s="236" t="s">
        <v>211</v>
      </c>
      <c r="B5" s="116" t="s">
        <v>94</v>
      </c>
      <c r="C5" s="76">
        <f ca="1">IF(ISERROR(VLOOKUP($B5,OFFSET(INDIRECT(""&amp;$B$3&amp;"!$A$4"),0,0,200,100),MATCH(C$4,INDIRECT(""&amp;$B$3&amp;"!$A$4"):INDIRECT(""&amp;$B$3&amp;"!$o$4"),0),FALSE)),"",VLOOKUP($B5,OFFSET(INDIRECT(""&amp;$B$3&amp;"!$A$4"),0,0,200,100),MATCH(C$4,INDIRECT(""&amp;$B$3&amp;"!$A$4"):INDIRECT(""&amp;$B$3&amp;"!$o$4"),0),FALSE))</f>
        <v>101352.39038700001</v>
      </c>
      <c r="D5" s="76">
        <f ca="1">IF(ISERROR(VLOOKUP($B5,OFFSET(INDIRECT(""&amp;$B$3&amp;"!$A$4"),0,0,200,100),MATCH(D$4,INDIRECT(""&amp;$B$3&amp;"!$A$4"):INDIRECT(""&amp;$B$3&amp;"!$o$4"),0),FALSE)),"",VLOOKUP($B5,OFFSET(INDIRECT(""&amp;$B$3&amp;"!$A$4"),0,0,200,100),MATCH(D$4,INDIRECT(""&amp;$B$3&amp;"!$A$4"):INDIRECT(""&amp;$B$3&amp;"!$o$4"),0),FALSE))</f>
        <v>158732.47951500001</v>
      </c>
      <c r="E5" s="76">
        <f ca="1">IF(ISERROR(VLOOKUP($B5,OFFSET(INDIRECT(""&amp;$B$3&amp;"!$A$4"),0,0,200,100),MATCH(E$4,INDIRECT(""&amp;$B$3&amp;"!$A$4"):INDIRECT(""&amp;$B$3&amp;"!$o$4"),0),FALSE)),"",VLOOKUP($B5,OFFSET(INDIRECT(""&amp;$B$3&amp;"!$A$4"),0,0,200,100),MATCH(E$4,INDIRECT(""&amp;$B$3&amp;"!$A$4"):INDIRECT(""&amp;$B$3&amp;"!$o$4"),0),FALSE))</f>
        <v>192606.700129</v>
      </c>
      <c r="F5" s="76">
        <f ca="1">IF(ISERROR(VLOOKUP($B5,OFFSET(INDIRECT(""&amp;$B$3&amp;"!$A$4"),0,0,200,100),MATCH(F$4,INDIRECT(""&amp;$B$3&amp;"!$A$4"):INDIRECT(""&amp;$B$3&amp;"!$o$4"),0),FALSE)),"",VLOOKUP($B5,OFFSET(INDIRECT(""&amp;$B$3&amp;"!$A$4"),0,0,200,100),MATCH(F$4,INDIRECT(""&amp;$B$3&amp;"!$A$4"):INDIRECT(""&amp;$B$3&amp;"!$o$4"),0),FALSE))</f>
        <v>236308.29508800001</v>
      </c>
      <c r="G5" s="76">
        <f ca="1">IF(ISERROR(VLOOKUP($B5,OFFSET(INDIRECT(""&amp;$B$3&amp;"!$A$4"),0,0,200,100),MATCH(G$4,INDIRECT(""&amp;$B$3&amp;"!$A$4"):INDIRECT(""&amp;$B$3&amp;"!$o$4"),0),FALSE)),"",VLOOKUP($B5,OFFSET(INDIRECT(""&amp;$B$3&amp;"!$A$4"),0,0,200,100),MATCH(G$4,INDIRECT(""&amp;$B$3&amp;"!$A$4"):INDIRECT(""&amp;$B$3&amp;"!$o$4"),0),FALSE))</f>
        <v>219475.614375</v>
      </c>
      <c r="H5" s="76">
        <f ca="1">IF(ISERROR(VLOOKUP($B5,OFFSET(INDIRECT(""&amp;$B$3&amp;"!$A$4"),0,0,200,100),MATCH(H$4,INDIRECT(""&amp;$B$3&amp;"!$A$4"):INDIRECT(""&amp;$B$3&amp;"!$o$4"),0),FALSE)),"",VLOOKUP($B5,OFFSET(INDIRECT(""&amp;$B$3&amp;"!$A$4"),0,0,200,100),MATCH(H$4,INDIRECT(""&amp;$B$3&amp;"!$A$4"):INDIRECT(""&amp;$B$3&amp;"!$o$4"),0),FALSE))</f>
        <v>215999.39709700001</v>
      </c>
      <c r="I5" s="76">
        <f ca="1">IF(ISERROR(VLOOKUP($B5,OFFSET(INDIRECT(""&amp;$B$3&amp;"!$A$4"),0,0,200,100),MATCH(I$4,INDIRECT(""&amp;$B$3&amp;"!$A$4"):INDIRECT(""&amp;$B$3&amp;"!$o$4"),0),FALSE)),"",VLOOKUP($B5,OFFSET(INDIRECT(""&amp;$B$3&amp;"!$A$4"),0,0,200,100),MATCH(I$4,INDIRECT(""&amp;$B$3&amp;"!$A$4"):INDIRECT(""&amp;$B$3&amp;"!$o$4"),0),FALSE))</f>
        <v>148128.420377</v>
      </c>
      <c r="J5" s="76">
        <f ca="1">IF(ISERROR(VLOOKUP($B5,OFFSET(INDIRECT(""&amp;$B$3&amp;"!$A$4"),0,0,200,100),MATCH(J$4,INDIRECT(""&amp;$B$3&amp;"!$A$4"):INDIRECT(""&amp;$B$3&amp;"!$o$4"),0),FALSE)),"",VLOOKUP($B5,OFFSET(INDIRECT(""&amp;$B$3&amp;"!$A$4"),0,0,200,100),MATCH(J$4,INDIRECT(""&amp;$B$3&amp;"!$A$4"):INDIRECT(""&amp;$B$3&amp;"!$o$4"),0),FALSE))</f>
        <v>171110.26989900001</v>
      </c>
      <c r="K5" s="86" t="s">
        <v>94</v>
      </c>
      <c r="L5" s="76">
        <f ca="1">IF(ISERROR(VLOOKUP($K5,OFFSET(INDIRECT(""&amp;$S$3&amp;"!$A$4"),0,0,200,100),MATCH(L$4,INDIRECT(""&amp;$S$3&amp;"!$A$4"):INDIRECT(""&amp;$S$3&amp;"!$AD$4"),0),FALSE)),"",VLOOKUP($K5,OFFSET(INDIRECT(""&amp;$S$3&amp;"!$A$4"),0,0,200,100),MATCH(L$4,INDIRECT(""&amp;$S$3&amp;"!$A$4"):INDIRECT(""&amp;$S$3&amp;"!$AD$4"),0),FALSE))</f>
        <v>45375.073319000003</v>
      </c>
      <c r="M5" s="76">
        <f ca="1">IF(ISERROR(VLOOKUP($K5,OFFSET(INDIRECT(""&amp;$S$3&amp;"!$A$4"),0,0,200,100),MATCH(M$4,INDIRECT(""&amp;$S$3&amp;"!$A$4"):INDIRECT(""&amp;$S$3&amp;"!$AD$4"),0),FALSE)),"",VLOOKUP($K5,OFFSET(INDIRECT(""&amp;$S$3&amp;"!$A$4"),0,0,200,100),MATCH(M$4,INDIRECT(""&amp;$S$3&amp;"!$A$4"):INDIRECT(""&amp;$S$3&amp;"!$AD$4"),0),FALSE))</f>
        <v>71912.688922999994</v>
      </c>
      <c r="N5" s="76">
        <f ca="1">IF(ISERROR(VLOOKUP($K5,OFFSET(INDIRECT(""&amp;$S$3&amp;"!$A$4"),0,0,200,100),MATCH(N$4,INDIRECT(""&amp;$S$3&amp;"!$A$4"):INDIRECT(""&amp;$S$3&amp;"!$AD$4"),0),FALSE)),"",VLOOKUP($K5,OFFSET(INDIRECT(""&amp;$S$3&amp;"!$A$4"),0,0,200,100),MATCH(N$4,INDIRECT(""&amp;$S$3&amp;"!$A$4"):INDIRECT(""&amp;$S$3&amp;"!$AD$4"),0),FALSE))</f>
        <v>61651.204873000002</v>
      </c>
      <c r="O5" s="76">
        <f ca="1">IF(ISERROR(VLOOKUP($K5,OFFSET(INDIRECT(""&amp;$S$3&amp;"!$A$4"),0,0,200,100),MATCH(O$4,INDIRECT(""&amp;$S$3&amp;"!$A$4"):INDIRECT(""&amp;$S$3&amp;"!$AD$4"),0),FALSE)),"",VLOOKUP($K5,OFFSET(INDIRECT(""&amp;$S$3&amp;"!$A$4"),0,0,200,100),MATCH(O$4,INDIRECT(""&amp;$S$3&amp;"!$A$4"):INDIRECT(""&amp;$S$3&amp;"!$AD$4"),0),FALSE))</f>
        <v>57369.327972999999</v>
      </c>
      <c r="P5" s="76">
        <f ca="1">IF(ISERROR(VLOOKUP($K5,OFFSET(INDIRECT(""&amp;$S$3&amp;"!$A$4"),0,0,200,100),MATCH(P$4,INDIRECT(""&amp;$S$3&amp;"!$A$4"):INDIRECT(""&amp;$S$3&amp;"!$AD$4"),0),FALSE)),"",VLOOKUP($K5,OFFSET(INDIRECT(""&amp;$S$3&amp;"!$A$4"),0,0,200,100),MATCH(P$4,INDIRECT(""&amp;$S$3&amp;"!$A$4"):INDIRECT(""&amp;$S$3&amp;"!$AD$4"),0),FALSE))</f>
        <v>46858.499459999999</v>
      </c>
      <c r="Q5" s="76">
        <f ca="1">IF(ISERROR(VLOOKUP($K5,OFFSET(INDIRECT(""&amp;$S$3&amp;"!$A$4"),0,0,200,100),MATCH(Q$4,INDIRECT(""&amp;$S$3&amp;"!$A$4"):INDIRECT(""&amp;$S$3&amp;"!$AD$4"),0),FALSE)),"",VLOOKUP($K5,OFFSET(INDIRECT(""&amp;$S$3&amp;"!$A$4"),0,0,200,100),MATCH(Q$4,INDIRECT(""&amp;$S$3&amp;"!$A$4"):INDIRECT(""&amp;$S$3&amp;"!$AD$4"),0),FALSE))</f>
        <v>69951.840935999993</v>
      </c>
      <c r="R5" s="76">
        <f ca="1">IF(ISERROR(VLOOKUP($K5,OFFSET(INDIRECT(""&amp;$S$3&amp;"!$A$4"),0,0,200,100),MATCH(R$4,INDIRECT(""&amp;$S$3&amp;"!$A$4"):INDIRECT(""&amp;$S$3&amp;"!$AD$4"),0),FALSE)),"",VLOOKUP($K5,OFFSET(INDIRECT(""&amp;$S$3&amp;"!$A$4"),0,0,200,100),MATCH(R$4,INDIRECT(""&amp;$S$3&amp;"!$A$4"):INDIRECT(""&amp;$S$3&amp;"!$AD$4"),0),FALSE))</f>
        <v>53796.027313999999</v>
      </c>
      <c r="S5" s="76">
        <f ca="1">IF(ISERROR(VLOOKUP($K5,OFFSET(INDIRECT(""&amp;$S$3&amp;"!$A$4"),0,0,200,100),MATCH(S$4,INDIRECT(""&amp;$S$3&amp;"!$A$4"):INDIRECT(""&amp;$S$3&amp;"!$AD$4"),0),FALSE)),"",VLOOKUP($K5,OFFSET(INDIRECT(""&amp;$S$3&amp;"!$A$4"),0,0,200,100),MATCH(S$4,INDIRECT(""&amp;$S$3&amp;"!$A$4"):INDIRECT(""&amp;$S$3&amp;"!$AD$4"),0),FALSE))</f>
        <v>48869.246664999999</v>
      </c>
      <c r="T5" s="76">
        <f ca="1">IF(ISERROR(VLOOKUP($K5,OFFSET(INDIRECT(""&amp;$S$3&amp;"!$A$4"),0,0,200,100),MATCH(T$4,INDIRECT(""&amp;$S$3&amp;"!$A$4"):INDIRECT(""&amp;$S$3&amp;"!$AD$4"),0),FALSE)),"",VLOOKUP($K5,OFFSET(INDIRECT(""&amp;$S$3&amp;"!$A$4"),0,0,200,100),MATCH(T$4,INDIRECT(""&amp;$S$3&amp;"!$A$4"):INDIRECT(""&amp;$S$3&amp;"!$AD$4"),0),FALSE))</f>
        <v>49244.882944999998</v>
      </c>
      <c r="U5" s="76">
        <f ca="1">IF(ISERROR(VLOOKUP($K5,OFFSET(INDIRECT(""&amp;$S$3&amp;"!$A$4"),0,0,2000,1000),MATCH(U$4,INDIRECT(""&amp;$S$3&amp;"!$A$4"):INDIRECT(""&amp;$S$3&amp;"!$AD$4"),0),FALSE)),"",VLOOKUP($K5,OFFSET(INDIRECT(""&amp;$S$3&amp;"!$A$4"),0,0,2000,1000),MATCH(U$4,INDIRECT(""&amp;$S$3&amp;"!$A$4"):INDIRECT(""&amp;$S$3&amp;"!$AD$4"),0),FALSE))</f>
        <v>61649.498106999999</v>
      </c>
      <c r="V5" s="76">
        <f ca="1">IF(ISERROR(VLOOKUP($K5,OFFSET(INDIRECT(""&amp;$S$3&amp;"!$A$4"),0,0,200,100),MATCH(V$4,INDIRECT(""&amp;$S$3&amp;"!$A$4"):INDIRECT(""&amp;$S$3&amp;"!$AD$4"),0),FALSE)),"",VLOOKUP($K5,OFFSET(INDIRECT(""&amp;$S$3&amp;"!$A$4"),0,0,200,100),MATCH(V$4,INDIRECT(""&amp;$S$3&amp;"!$A$4"):INDIRECT(""&amp;$S$3&amp;"!$AD$4"),0),FALSE))</f>
        <v>54967.471674</v>
      </c>
      <c r="W5" s="76">
        <f ca="1">IF(ISERROR(VLOOKUP($K5,OFFSET(INDIRECT(""&amp;$S$3&amp;"!$A$4"),0,0,200,100),MATCH(W$4,INDIRECT(""&amp;$S$3&amp;"!$A$4"):INDIRECT(""&amp;$S$3&amp;"!$AD$4"),0),FALSE)),"",VLOOKUP($K5,OFFSET(INDIRECT(""&amp;$S$3&amp;"!$A$4"),0,0,200,100),MATCH(W$4,INDIRECT(""&amp;$S$3&amp;"!$A$4"):INDIRECT(""&amp;$S$3&amp;"!$AD$4"),0),FALSE))</f>
        <v>50137.544371000004</v>
      </c>
      <c r="X5" s="76">
        <f ca="1">IF(ISERROR(VLOOKUP($K5,OFFSET(INDIRECT(""&amp;$S$3&amp;"!$A$4"),0,0,200,100),MATCH(X$4,INDIRECT(""&amp;$S$3&amp;"!$A$4"):INDIRECT(""&amp;$S$3&amp;"!$AD$4"),0),FALSE)),"",VLOOKUP($K5,OFFSET(INDIRECT(""&amp;$S$3&amp;"!$A$4"),0,0,200,100),MATCH(X$4,INDIRECT(""&amp;$S$3&amp;"!$A$4"):INDIRECT(""&amp;$S$3&amp;"!$AD$4"),0),FALSE))</f>
        <v>36665.519331000003</v>
      </c>
      <c r="Y5" s="76">
        <f ca="1">IF(ISERROR(VLOOKUP($K5,OFFSET(INDIRECT(""&amp;$S$3&amp;"!$A$4"),0,0,200,100),MATCH(Y$4,INDIRECT(""&amp;$S$3&amp;"!$A$4"):INDIRECT(""&amp;$S$3&amp;"!$AD$4"),0),FALSE)),"",VLOOKUP($K5,OFFSET(INDIRECT(""&amp;$S$3&amp;"!$A$4"),0,0,200,100),MATCH(Y$4,INDIRECT(""&amp;$S$3&amp;"!$A$4"):INDIRECT(""&amp;$S$3&amp;"!$AD$4"),0),FALSE))</f>
        <v>35732.990695</v>
      </c>
      <c r="Z5" s="76">
        <f ca="1">IF(ISERROR(VLOOKUP($K5,OFFSET(INDIRECT(""&amp;$S$3&amp;"!$A$4"),0,0,200,100),MATCH(Z$4,INDIRECT(""&amp;$S$3&amp;"!$A$4"):INDIRECT(""&amp;$S$3&amp;"!$AD$4"),0),FALSE)),"",VLOOKUP($K5,OFFSET(INDIRECT(""&amp;$S$3&amp;"!$A$4"),0,0,200,100),MATCH(Z$4,INDIRECT(""&amp;$S$3&amp;"!$A$4"):INDIRECT(""&amp;$S$3&amp;"!$AD$4"),0),FALSE))</f>
        <v>35147.747498999997</v>
      </c>
      <c r="AA5" s="76">
        <f ca="1">IF($AA$4="3M",X5,IF($AA$4="6M",X5+Y5,IF($AA$4="9M",X5+V5+W5,IF($AA$4="12M",X5+U5+V5+W5,0))))</f>
        <v>141770.53537600001</v>
      </c>
      <c r="AB5" s="79"/>
      <c r="AC5" s="87">
        <f t="shared" ref="AC5:AC25" ca="1" si="4">IF(E$7="","",E5/E$7)</f>
        <v>1</v>
      </c>
      <c r="AD5" s="87">
        <f t="shared" ref="AD5:AD25" ca="1" si="5">IF(F$7="","",F5/F$7)</f>
        <v>1</v>
      </c>
      <c r="AE5" s="87">
        <f t="shared" ref="AE5:AE25" ca="1" si="6">IF(G$7="","",G5/G$7)</f>
        <v>1</v>
      </c>
      <c r="AF5" s="87">
        <f t="shared" ref="AF5:AF25" ca="1" si="7">IF(H$7="","",H5/H$7)</f>
        <v>1</v>
      </c>
      <c r="AG5" s="87">
        <f t="shared" ref="AG5:AH20" ca="1" si="8">IF(I$7="","",I5/I$7)</f>
        <v>1</v>
      </c>
      <c r="AH5" s="87">
        <f t="shared" ca="1" si="8"/>
        <v>1</v>
      </c>
      <c r="AI5" s="144"/>
      <c r="AJ5" s="87">
        <f t="shared" ref="AJ5:AJ25" ca="1" si="9">IF(O$7=0,"",O5/O$7)</f>
        <v>1</v>
      </c>
      <c r="AK5" s="87">
        <f t="shared" ref="AK5:AK25" ca="1" si="10">IF(P$7=0,"",P5/P$7)</f>
        <v>1</v>
      </c>
      <c r="AL5" s="87">
        <f t="shared" ref="AL5:AL25" ca="1" si="11">IF(Q$7=0,"",Q5/Q$7)</f>
        <v>1</v>
      </c>
      <c r="AM5" s="87">
        <f t="shared" ref="AM5:AM25" ca="1" si="12">IF(R$7=0,"",R5/R$7)</f>
        <v>1</v>
      </c>
      <c r="AN5" s="87">
        <f t="shared" ref="AN5:AN25" ca="1" si="13">IF(S$7=0,"",S5/S$7)</f>
        <v>1</v>
      </c>
      <c r="AO5" s="87">
        <f t="shared" ref="AO5:AO25" ca="1" si="14">IF(T$7=0,"",T5/T$7)</f>
        <v>1</v>
      </c>
      <c r="AP5" s="87">
        <f t="shared" ref="AP5:AP25" ca="1" si="15">IF(U$7=0,"",U5/U$7)</f>
        <v>1</v>
      </c>
      <c r="AQ5" s="87">
        <f t="shared" ref="AQ5:AQ25" ca="1" si="16">IF(V$7=0,"",V5/V$7)</f>
        <v>1</v>
      </c>
      <c r="AR5" s="87">
        <f t="shared" ref="AR5:AR25" ca="1" si="17">IF(W$7=0,"",W5/W$7)</f>
        <v>1</v>
      </c>
      <c r="AS5" s="87">
        <f t="shared" ref="AS5:AS25" ca="1" si="18">IF(X$7=0,"",X5/X$7)</f>
        <v>1</v>
      </c>
      <c r="AT5" s="87">
        <f t="shared" ref="AT5:AU25" ca="1" si="19">IF(Y$7=0,"",Y5/Y$7)</f>
        <v>1</v>
      </c>
      <c r="AU5" s="87">
        <f t="shared" ca="1" si="19"/>
        <v>1</v>
      </c>
      <c r="AV5" s="87">
        <f t="shared" ref="AV5:AV25" ca="1" si="20">IF(AA$7=0,"",AA5/AA$7)</f>
        <v>1</v>
      </c>
      <c r="AW5" s="81"/>
      <c r="AX5" s="81"/>
    </row>
    <row r="6" spans="1:50" ht="15.95" customHeight="1" outlineLevel="1">
      <c r="A6" s="89" t="s">
        <v>212</v>
      </c>
      <c r="B6" s="133" t="s">
        <v>95</v>
      </c>
      <c r="C6" s="90">
        <f ca="1">IF(ISERROR(VLOOKUP($B6,OFFSET(INDIRECT(""&amp;$B$3&amp;"!$A$4"),0,0,200,100),MATCH(C$4,INDIRECT(""&amp;$B$3&amp;"!$A$4"):INDIRECT(""&amp;$B$3&amp;"!$o$4"),0),FALSE)),"",VLOOKUP($B6,OFFSET(INDIRECT(""&amp;$B$3&amp;"!$A$4"),0,0,200,100),MATCH(C$4,INDIRECT(""&amp;$B$3&amp;"!$A$4"):INDIRECT(""&amp;$B$3&amp;"!$o$4"),0),FALSE))</f>
        <v>0</v>
      </c>
      <c r="D6" s="90">
        <f ca="1">IF(ISERROR(VLOOKUP($B6,OFFSET(INDIRECT(""&amp;$B$3&amp;"!$A$4"),0,0,200,100),MATCH(D$4,INDIRECT(""&amp;$B$3&amp;"!$A$4"):INDIRECT(""&amp;$B$3&amp;"!$o$4"),0),FALSE)),"",VLOOKUP($B6,OFFSET(INDIRECT(""&amp;$B$3&amp;"!$A$4"),0,0,200,100),MATCH(D$4,INDIRECT(""&amp;$B$3&amp;"!$A$4"):INDIRECT(""&amp;$B$3&amp;"!$o$4"),0),FALSE))</f>
        <v>0</v>
      </c>
      <c r="E6" s="90">
        <f ca="1">IF(ISERROR(VLOOKUP($B6,OFFSET(INDIRECT(""&amp;$B$3&amp;"!$A$4"),0,0,200,100),MATCH(E$4,INDIRECT(""&amp;$B$3&amp;"!$A$4"):INDIRECT(""&amp;$B$3&amp;"!$o$4"),0),FALSE)),"",VLOOKUP($B6,OFFSET(INDIRECT(""&amp;$B$3&amp;"!$A$4"),0,0,200,100),MATCH(E$4,INDIRECT(""&amp;$B$3&amp;"!$A$4"):INDIRECT(""&amp;$B$3&amp;"!$o$4"),0),FALSE))</f>
        <v>0</v>
      </c>
      <c r="F6" s="90">
        <f ca="1">IF(ISERROR(VLOOKUP($B6,OFFSET(INDIRECT(""&amp;$B$3&amp;"!$A$4"),0,0,200,100),MATCH(F$4,INDIRECT(""&amp;$B$3&amp;"!$A$4"):INDIRECT(""&amp;$B$3&amp;"!$o$4"),0),FALSE)),"",VLOOKUP($B6,OFFSET(INDIRECT(""&amp;$B$3&amp;"!$A$4"),0,0,200,100),MATCH(F$4,INDIRECT(""&amp;$B$3&amp;"!$A$4"):INDIRECT(""&amp;$B$3&amp;"!$o$4"),0),FALSE))</f>
        <v>0</v>
      </c>
      <c r="G6" s="90">
        <f ca="1">IF(ISERROR(VLOOKUP($B6,OFFSET(INDIRECT(""&amp;$B$3&amp;"!$A$4"),0,0,200,100),MATCH(G$4,INDIRECT(""&amp;$B$3&amp;"!$A$4"):INDIRECT(""&amp;$B$3&amp;"!$o$4"),0),FALSE)),"",VLOOKUP($B6,OFFSET(INDIRECT(""&amp;$B$3&amp;"!$A$4"),0,0,200,100),MATCH(G$4,INDIRECT(""&amp;$B$3&amp;"!$A$4"):INDIRECT(""&amp;$B$3&amp;"!$o$4"),0),FALSE))</f>
        <v>0</v>
      </c>
      <c r="H6" s="90">
        <f ca="1">IF(ISERROR(VLOOKUP($B6,OFFSET(INDIRECT(""&amp;$B$3&amp;"!$A$4"),0,0,200,100),MATCH(H$4,INDIRECT(""&amp;$B$3&amp;"!$A$4"):INDIRECT(""&amp;$B$3&amp;"!$o$4"),0),FALSE)),"",VLOOKUP($B6,OFFSET(INDIRECT(""&amp;$B$3&amp;"!$A$4"),0,0,200,100),MATCH(H$4,INDIRECT(""&amp;$B$3&amp;"!$A$4"):INDIRECT(""&amp;$B$3&amp;"!$o$4"),0),FALSE))</f>
        <v>0</v>
      </c>
      <c r="I6" s="90">
        <f ca="1">IF(ISERROR(VLOOKUP($B6,OFFSET(INDIRECT(""&amp;$B$3&amp;"!$A$4"),0,0,200,100),MATCH(I$4,INDIRECT(""&amp;$B$3&amp;"!$A$4"):INDIRECT(""&amp;$B$3&amp;"!$o$4"),0),FALSE)),"",VLOOKUP($B6,OFFSET(INDIRECT(""&amp;$B$3&amp;"!$A$4"),0,0,200,100),MATCH(I$4,INDIRECT(""&amp;$B$3&amp;"!$A$4"):INDIRECT(""&amp;$B$3&amp;"!$o$4"),0),FALSE))</f>
        <v>0</v>
      </c>
      <c r="J6" s="90">
        <f ca="1">IF(ISERROR(VLOOKUP($B6,OFFSET(INDIRECT(""&amp;$B$3&amp;"!$A$4"),0,0,200,100),MATCH(J$4,INDIRECT(""&amp;$B$3&amp;"!$A$4"):INDIRECT(""&amp;$B$3&amp;"!$o$4"),0),FALSE)),"",VLOOKUP($B6,OFFSET(INDIRECT(""&amp;$B$3&amp;"!$A$4"),0,0,200,100),MATCH(J$4,INDIRECT(""&amp;$B$3&amp;"!$A$4"):INDIRECT(""&amp;$B$3&amp;"!$o$4"),0),FALSE))</f>
        <v>0</v>
      </c>
      <c r="K6" s="91" t="s">
        <v>95</v>
      </c>
      <c r="L6" s="90">
        <f ca="1">IF(ISERROR(VLOOKUP($K6,OFFSET(INDIRECT(""&amp;$S$3&amp;"!$A$4"),0,0,200,100),MATCH(L$4,INDIRECT(""&amp;$S$3&amp;"!$A$4"):INDIRECT(""&amp;$S$3&amp;"!$AD$4"),0),FALSE)),"",VLOOKUP($K6,OFFSET(INDIRECT(""&amp;$S$3&amp;"!$A$4"),0,0,200,100),MATCH(L$4,INDIRECT(""&amp;$S$3&amp;"!$A$4"):INDIRECT(""&amp;$S$3&amp;"!$AD$4"),0),FALSE))</f>
        <v>0</v>
      </c>
      <c r="M6" s="90">
        <f ca="1">IF(ISERROR(VLOOKUP($K6,OFFSET(INDIRECT(""&amp;$S$3&amp;"!$A$4"),0,0,200,100),MATCH(M$4,INDIRECT(""&amp;$S$3&amp;"!$A$4"):INDIRECT(""&amp;$S$3&amp;"!$AD$4"),0),FALSE)),"",VLOOKUP($K6,OFFSET(INDIRECT(""&amp;$S$3&amp;"!$A$4"),0,0,200,100),MATCH(M$4,INDIRECT(""&amp;$S$3&amp;"!$A$4"):INDIRECT(""&amp;$S$3&amp;"!$AD$4"),0),FALSE))</f>
        <v>0</v>
      </c>
      <c r="N6" s="90">
        <f ca="1">IF(ISERROR(VLOOKUP($K6,OFFSET(INDIRECT(""&amp;$S$3&amp;"!$A$4"),0,0,200,100),MATCH(N$4,INDIRECT(""&amp;$S$3&amp;"!$A$4"):INDIRECT(""&amp;$S$3&amp;"!$AD$4"),0),FALSE)),"",VLOOKUP($K6,OFFSET(INDIRECT(""&amp;$S$3&amp;"!$A$4"),0,0,200,100),MATCH(N$4,INDIRECT(""&amp;$S$3&amp;"!$A$4"):INDIRECT(""&amp;$S$3&amp;"!$AD$4"),0),FALSE))</f>
        <v>0</v>
      </c>
      <c r="O6" s="90">
        <f ca="1">IF(ISERROR(VLOOKUP($K6,OFFSET(INDIRECT(""&amp;$S$3&amp;"!$A$4"),0,0,200,100),MATCH(O$4,INDIRECT(""&amp;$S$3&amp;"!$A$4"):INDIRECT(""&amp;$S$3&amp;"!$AD$4"),0),FALSE)),"",VLOOKUP($K6,OFFSET(INDIRECT(""&amp;$S$3&amp;"!$A$4"),0,0,200,100),MATCH(O$4,INDIRECT(""&amp;$S$3&amp;"!$A$4"):INDIRECT(""&amp;$S$3&amp;"!$AD$4"),0),FALSE))</f>
        <v>0</v>
      </c>
      <c r="P6" s="90">
        <f ca="1">IF(ISERROR(VLOOKUP($K6,OFFSET(INDIRECT(""&amp;$S$3&amp;"!$A$4"),0,0,200,100),MATCH(P$4,INDIRECT(""&amp;$S$3&amp;"!$A$4"):INDIRECT(""&amp;$S$3&amp;"!$AD$4"),0),FALSE)),"",VLOOKUP($K6,OFFSET(INDIRECT(""&amp;$S$3&amp;"!$A$4"),0,0,200,100),MATCH(P$4,INDIRECT(""&amp;$S$3&amp;"!$A$4"):INDIRECT(""&amp;$S$3&amp;"!$AD$4"),0),FALSE))</f>
        <v>0</v>
      </c>
      <c r="Q6" s="90">
        <f ca="1">IF(ISERROR(VLOOKUP($K6,OFFSET(INDIRECT(""&amp;$S$3&amp;"!$A$4"),0,0,200,100),MATCH(Q$4,INDIRECT(""&amp;$S$3&amp;"!$A$4"):INDIRECT(""&amp;$S$3&amp;"!$AD$4"),0),FALSE)),"",VLOOKUP($K6,OFFSET(INDIRECT(""&amp;$S$3&amp;"!$A$4"),0,0,200,100),MATCH(Q$4,INDIRECT(""&amp;$S$3&amp;"!$A$4"):INDIRECT(""&amp;$S$3&amp;"!$AD$4"),0),FALSE))</f>
        <v>0</v>
      </c>
      <c r="R6" s="90">
        <f ca="1">IF(ISERROR(VLOOKUP($K6,OFFSET(INDIRECT(""&amp;$S$3&amp;"!$A$4"),0,0,200,100),MATCH(R$4,INDIRECT(""&amp;$S$3&amp;"!$A$4"):INDIRECT(""&amp;$S$3&amp;"!$AD$4"),0),FALSE)),"",VLOOKUP($K6,OFFSET(INDIRECT(""&amp;$S$3&amp;"!$A$4"),0,0,200,100),MATCH(R$4,INDIRECT(""&amp;$S$3&amp;"!$A$4"):INDIRECT(""&amp;$S$3&amp;"!$AD$4"),0),FALSE))</f>
        <v>0</v>
      </c>
      <c r="S6" s="90">
        <f ca="1">IF(ISERROR(VLOOKUP($K6,OFFSET(INDIRECT(""&amp;$S$3&amp;"!$A$4"),0,0,200,100),MATCH(S$4,INDIRECT(""&amp;$S$3&amp;"!$A$4"):INDIRECT(""&amp;$S$3&amp;"!$AD$4"),0),FALSE)),"",VLOOKUP($K6,OFFSET(INDIRECT(""&amp;$S$3&amp;"!$A$4"),0,0,200,100),MATCH(S$4,INDIRECT(""&amp;$S$3&amp;"!$A$4"):INDIRECT(""&amp;$S$3&amp;"!$AD$4"),0),FALSE))</f>
        <v>0</v>
      </c>
      <c r="T6" s="90">
        <f ca="1">IF(ISERROR(VLOOKUP($K6,OFFSET(INDIRECT(""&amp;$S$3&amp;"!$A$4"),0,0,200,100),MATCH(T$4,INDIRECT(""&amp;$S$3&amp;"!$A$4"):INDIRECT(""&amp;$S$3&amp;"!$AD$4"),0),FALSE)),"",VLOOKUP($K6,OFFSET(INDIRECT(""&amp;$S$3&amp;"!$A$4"),0,0,200,100),MATCH(T$4,INDIRECT(""&amp;$S$3&amp;"!$A$4"):INDIRECT(""&amp;$S$3&amp;"!$AD$4"),0),FALSE))</f>
        <v>0</v>
      </c>
      <c r="U6" s="90">
        <f ca="1">IF(ISERROR(VLOOKUP($K6,OFFSET(INDIRECT(""&amp;$S$3&amp;"!$A$4"),0,0,200,100),MATCH(U$4,INDIRECT(""&amp;$S$3&amp;"!$A$4"):INDIRECT(""&amp;$S$3&amp;"!$AD$4"),0),FALSE)),"",VLOOKUP($K6,OFFSET(INDIRECT(""&amp;$S$3&amp;"!$A$4"),0,0,200,100),MATCH(U$4,INDIRECT(""&amp;$S$3&amp;"!$A$4"):INDIRECT(""&amp;$S$3&amp;"!$AD$4"),0),FALSE))</f>
        <v>0</v>
      </c>
      <c r="V6" s="90">
        <f ca="1">IF(ISERROR(VLOOKUP($K6,OFFSET(INDIRECT(""&amp;$S$3&amp;"!$A$4"),0,0,200,100),MATCH(V$4,INDIRECT(""&amp;$S$3&amp;"!$A$4"):INDIRECT(""&amp;$S$3&amp;"!$AD$4"),0),FALSE)),"",VLOOKUP($K6,OFFSET(INDIRECT(""&amp;$S$3&amp;"!$A$4"),0,0,200,100),MATCH(V$4,INDIRECT(""&amp;$S$3&amp;"!$A$4"):INDIRECT(""&amp;$S$3&amp;"!$AD$4"),0),FALSE))</f>
        <v>0</v>
      </c>
      <c r="W6" s="90">
        <f ca="1">IF(ISERROR(VLOOKUP($K6,OFFSET(INDIRECT(""&amp;$S$3&amp;"!$A$4"),0,0,200,100),MATCH(W$4,INDIRECT(""&amp;$S$3&amp;"!$A$4"):INDIRECT(""&amp;$S$3&amp;"!$AD$4"),0),FALSE)),"",VLOOKUP($K6,OFFSET(INDIRECT(""&amp;$S$3&amp;"!$A$4"),0,0,200,100),MATCH(W$4,INDIRECT(""&amp;$S$3&amp;"!$A$4"):INDIRECT(""&amp;$S$3&amp;"!$AD$4"),0),FALSE))</f>
        <v>0</v>
      </c>
      <c r="X6" s="90">
        <f ca="1">IF(ISERROR(VLOOKUP($K6,OFFSET(INDIRECT(""&amp;$S$3&amp;"!$A$4"),0,0,200,100),MATCH(X$4,INDIRECT(""&amp;$S$3&amp;"!$A$4"):INDIRECT(""&amp;$S$3&amp;"!$AD$4"),0),FALSE)),"",VLOOKUP($K6,OFFSET(INDIRECT(""&amp;$S$3&amp;"!$A$4"),0,0,200,100),MATCH(X$4,INDIRECT(""&amp;$S$3&amp;"!$A$4"):INDIRECT(""&amp;$S$3&amp;"!$AD$4"),0),FALSE))</f>
        <v>0</v>
      </c>
      <c r="Y6" s="90">
        <f ca="1">IF(ISERROR(VLOOKUP($K6,OFFSET(INDIRECT(""&amp;$S$3&amp;"!$A$4"),0,0,200,100),MATCH(Y$4,INDIRECT(""&amp;$S$3&amp;"!$A$4"):INDIRECT(""&amp;$S$3&amp;"!$AD$4"),0),FALSE)),"",VLOOKUP($K6,OFFSET(INDIRECT(""&amp;$S$3&amp;"!$A$4"),0,0,200,100),MATCH(Y$4,INDIRECT(""&amp;$S$3&amp;"!$A$4"):INDIRECT(""&amp;$S$3&amp;"!$AD$4"),0),FALSE))</f>
        <v>0</v>
      </c>
      <c r="Z6" s="90">
        <f ca="1">IF(ISERROR(VLOOKUP($K6,OFFSET(INDIRECT(""&amp;$S$3&amp;"!$A$4"),0,0,200,100),MATCH(Z$4,INDIRECT(""&amp;$S$3&amp;"!$A$4"):INDIRECT(""&amp;$S$3&amp;"!$AD$4"),0),FALSE)),"",VLOOKUP($K6,OFFSET(INDIRECT(""&amp;$S$3&amp;"!$A$4"),0,0,200,100),MATCH(Z$4,INDIRECT(""&amp;$S$3&amp;"!$A$4"):INDIRECT(""&amp;$S$3&amp;"!$AD$4"),0),FALSE))</f>
        <v>0</v>
      </c>
      <c r="AA6" s="90">
        <f t="shared" ref="AA6:AA28" ca="1" si="21">IF($AA$4="3M",X6,IF($AA$4="6M",X6+Y6,IF($AA$4="9M",X6+V6+W6,IF($AA$4="12M",X6+U6+V6+W6,0))))</f>
        <v>0</v>
      </c>
      <c r="AB6" s="92"/>
      <c r="AC6" s="87">
        <f t="shared" ca="1" si="4"/>
        <v>0</v>
      </c>
      <c r="AD6" s="87">
        <f t="shared" ca="1" si="5"/>
        <v>0</v>
      </c>
      <c r="AE6" s="87">
        <f t="shared" ca="1" si="6"/>
        <v>0</v>
      </c>
      <c r="AF6" s="87">
        <f t="shared" ca="1" si="7"/>
        <v>0</v>
      </c>
      <c r="AG6" s="87">
        <f t="shared" ca="1" si="8"/>
        <v>0</v>
      </c>
      <c r="AH6" s="87">
        <f t="shared" ca="1" si="8"/>
        <v>0</v>
      </c>
      <c r="AI6" s="145"/>
      <c r="AJ6" s="87">
        <f t="shared" ca="1" si="9"/>
        <v>0</v>
      </c>
      <c r="AK6" s="87">
        <f t="shared" ca="1" si="10"/>
        <v>0</v>
      </c>
      <c r="AL6" s="87">
        <f t="shared" ca="1" si="11"/>
        <v>0</v>
      </c>
      <c r="AM6" s="87">
        <f t="shared" ca="1" si="12"/>
        <v>0</v>
      </c>
      <c r="AN6" s="87">
        <f t="shared" ca="1" si="13"/>
        <v>0</v>
      </c>
      <c r="AO6" s="87">
        <f t="shared" ca="1" si="14"/>
        <v>0</v>
      </c>
      <c r="AP6" s="87">
        <f t="shared" ca="1" si="15"/>
        <v>0</v>
      </c>
      <c r="AQ6" s="87">
        <f t="shared" ca="1" si="16"/>
        <v>0</v>
      </c>
      <c r="AR6" s="87">
        <f t="shared" ca="1" si="17"/>
        <v>0</v>
      </c>
      <c r="AS6" s="87">
        <f t="shared" ca="1" si="18"/>
        <v>0</v>
      </c>
      <c r="AT6" s="87">
        <f t="shared" ca="1" si="19"/>
        <v>0</v>
      </c>
      <c r="AU6" s="87">
        <f t="shared" ca="1" si="19"/>
        <v>0</v>
      </c>
      <c r="AV6" s="87">
        <f t="shared" ca="1" si="20"/>
        <v>0</v>
      </c>
      <c r="AW6" s="81"/>
      <c r="AX6" s="81"/>
    </row>
    <row r="7" spans="1:50" ht="15.95" customHeight="1" outlineLevel="1">
      <c r="A7" s="85" t="s">
        <v>213</v>
      </c>
      <c r="B7" s="134" t="s">
        <v>96</v>
      </c>
      <c r="C7" s="76">
        <f ca="1">IF(ISERROR(VLOOKUP($B7,OFFSET(INDIRECT(""&amp;$B$3&amp;"!$A$4"),0,0,200,100),MATCH(C$4,INDIRECT(""&amp;$B$3&amp;"!$A$4"):INDIRECT(""&amp;$B$3&amp;"!$o$4"),0),FALSE)),"",VLOOKUP($B7,OFFSET(INDIRECT(""&amp;$B$3&amp;"!$A$4"),0,0,200,100),MATCH(C$4,INDIRECT(""&amp;$B$3&amp;"!$A$4"):INDIRECT(""&amp;$B$3&amp;"!$o$4"),0),FALSE))</f>
        <v>101352.39038700001</v>
      </c>
      <c r="D7" s="76">
        <f ca="1">IF(ISERROR(VLOOKUP($B7,OFFSET(INDIRECT(""&amp;$B$3&amp;"!$A$4"),0,0,200,100),MATCH(D$4,INDIRECT(""&amp;$B$3&amp;"!$A$4"):INDIRECT(""&amp;$B$3&amp;"!$o$4"),0),FALSE)),"",VLOOKUP($B7,OFFSET(INDIRECT(""&amp;$B$3&amp;"!$A$4"),0,0,200,100),MATCH(D$4,INDIRECT(""&amp;$B$3&amp;"!$A$4"):INDIRECT(""&amp;$B$3&amp;"!$o$4"),0),FALSE))</f>
        <v>158732.47951500001</v>
      </c>
      <c r="E7" s="76">
        <f ca="1">IF(ISERROR(VLOOKUP($B7,OFFSET(INDIRECT(""&amp;$B$3&amp;"!$A$4"),0,0,200,100),MATCH(E$4,INDIRECT(""&amp;$B$3&amp;"!$A$4"):INDIRECT(""&amp;$B$3&amp;"!$o$4"),0),FALSE)),"",VLOOKUP($B7,OFFSET(INDIRECT(""&amp;$B$3&amp;"!$A$4"),0,0,200,100),MATCH(E$4,INDIRECT(""&amp;$B$3&amp;"!$A$4"):INDIRECT(""&amp;$B$3&amp;"!$o$4"),0),FALSE))</f>
        <v>192606.700129</v>
      </c>
      <c r="F7" s="76">
        <f ca="1">IF(ISERROR(VLOOKUP($B7,OFFSET(INDIRECT(""&amp;$B$3&amp;"!$A$4"),0,0,200,100),MATCH(F$4,INDIRECT(""&amp;$B$3&amp;"!$A$4"):INDIRECT(""&amp;$B$3&amp;"!$o$4"),0),FALSE)),"",VLOOKUP($B7,OFFSET(INDIRECT(""&amp;$B$3&amp;"!$A$4"),0,0,200,100),MATCH(F$4,INDIRECT(""&amp;$B$3&amp;"!$A$4"):INDIRECT(""&amp;$B$3&amp;"!$o$4"),0),FALSE))</f>
        <v>236308.29508800001</v>
      </c>
      <c r="G7" s="76">
        <f ca="1">IF(ISERROR(VLOOKUP($B7,OFFSET(INDIRECT(""&amp;$B$3&amp;"!$A$4"),0,0,200,100),MATCH(G$4,INDIRECT(""&amp;$B$3&amp;"!$A$4"):INDIRECT(""&amp;$B$3&amp;"!$o$4"),0),FALSE)),"",VLOOKUP($B7,OFFSET(INDIRECT(""&amp;$B$3&amp;"!$A$4"),0,0,200,100),MATCH(G$4,INDIRECT(""&amp;$B$3&amp;"!$A$4"):INDIRECT(""&amp;$B$3&amp;"!$o$4"),0),FALSE))</f>
        <v>219475.614375</v>
      </c>
      <c r="H7" s="76">
        <f ca="1">IF(ISERROR(VLOOKUP($B7,OFFSET(INDIRECT(""&amp;$B$3&amp;"!$A$4"),0,0,200,100),MATCH(H$4,INDIRECT(""&amp;$B$3&amp;"!$A$4"):INDIRECT(""&amp;$B$3&amp;"!$o$4"),0),FALSE)),"",VLOOKUP($B7,OFFSET(INDIRECT(""&amp;$B$3&amp;"!$A$4"),0,0,200,100),MATCH(H$4,INDIRECT(""&amp;$B$3&amp;"!$A$4"):INDIRECT(""&amp;$B$3&amp;"!$o$4"),0),FALSE))</f>
        <v>215999.39709700001</v>
      </c>
      <c r="I7" s="76">
        <f ca="1">IF(ISERROR(VLOOKUP($B7,OFFSET(INDIRECT(""&amp;$B$3&amp;"!$A$4"),0,0,200,100),MATCH(I$4,INDIRECT(""&amp;$B$3&amp;"!$A$4"):INDIRECT(""&amp;$B$3&amp;"!$o$4"),0),FALSE)),"",VLOOKUP($B7,OFFSET(INDIRECT(""&amp;$B$3&amp;"!$A$4"),0,0,200,100),MATCH(I$4,INDIRECT(""&amp;$B$3&amp;"!$A$4"):INDIRECT(""&amp;$B$3&amp;"!$o$4"),0),FALSE))</f>
        <v>148128.420377</v>
      </c>
      <c r="J7" s="76">
        <f ca="1">IF(ISERROR(VLOOKUP($B7,OFFSET(INDIRECT(""&amp;$B$3&amp;"!$A$4"),0,0,200,100),MATCH(J$4,INDIRECT(""&amp;$B$3&amp;"!$A$4"):INDIRECT(""&amp;$B$3&amp;"!$o$4"),0),FALSE)),"",VLOOKUP($B7,OFFSET(INDIRECT(""&amp;$B$3&amp;"!$A$4"),0,0,200,100),MATCH(J$4,INDIRECT(""&amp;$B$3&amp;"!$A$4"):INDIRECT(""&amp;$B$3&amp;"!$o$4"),0),FALSE))</f>
        <v>171110.26989900001</v>
      </c>
      <c r="K7" s="94" t="s">
        <v>96</v>
      </c>
      <c r="L7" s="76">
        <f ca="1">IF(ISERROR(VLOOKUP($K7,OFFSET(INDIRECT(""&amp;$S$3&amp;"!$A$4"),0,0,200,100),MATCH(L$4,INDIRECT(""&amp;$S$3&amp;"!$A$4"):INDIRECT(""&amp;$S$3&amp;"!$AD$4"),0),FALSE)),"",VLOOKUP($K7,OFFSET(INDIRECT(""&amp;$S$3&amp;"!$A$4"),0,0,200,100),MATCH(L$4,INDIRECT(""&amp;$S$3&amp;"!$A$4"):INDIRECT(""&amp;$S$3&amp;"!$AD$4"),0),FALSE))</f>
        <v>45375.073319000003</v>
      </c>
      <c r="M7" s="76">
        <f ca="1">IF(ISERROR(VLOOKUP($K7,OFFSET(INDIRECT(""&amp;$S$3&amp;"!$A$4"),0,0,200,100),MATCH(M$4,INDIRECT(""&amp;$S$3&amp;"!$A$4"):INDIRECT(""&amp;$S$3&amp;"!$AD$4"),0),FALSE)),"",VLOOKUP($K7,OFFSET(INDIRECT(""&amp;$S$3&amp;"!$A$4"),0,0,200,100),MATCH(M$4,INDIRECT(""&amp;$S$3&amp;"!$A$4"):INDIRECT(""&amp;$S$3&amp;"!$AD$4"),0),FALSE))</f>
        <v>71912.688922999994</v>
      </c>
      <c r="N7" s="76">
        <f ca="1">IF(ISERROR(VLOOKUP($K7,OFFSET(INDIRECT(""&amp;$S$3&amp;"!$A$4"),0,0,200,100),MATCH(N$4,INDIRECT(""&amp;$S$3&amp;"!$A$4"):INDIRECT(""&amp;$S$3&amp;"!$AD$4"),0),FALSE)),"",VLOOKUP($K7,OFFSET(INDIRECT(""&amp;$S$3&amp;"!$A$4"),0,0,200,100),MATCH(N$4,INDIRECT(""&amp;$S$3&amp;"!$A$4"):INDIRECT(""&amp;$S$3&amp;"!$AD$4"),0),FALSE))</f>
        <v>61651.204873000002</v>
      </c>
      <c r="O7" s="76">
        <f ca="1">IF(ISERROR(VLOOKUP($K7,OFFSET(INDIRECT(""&amp;$S$3&amp;"!$A$4"),0,0,200,100),MATCH(O$4,INDIRECT(""&amp;$S$3&amp;"!$A$4"):INDIRECT(""&amp;$S$3&amp;"!$AD$4"),0),FALSE)),"",VLOOKUP($K7,OFFSET(INDIRECT(""&amp;$S$3&amp;"!$A$4"),0,0,200,100),MATCH(O$4,INDIRECT(""&amp;$S$3&amp;"!$A$4"):INDIRECT(""&amp;$S$3&amp;"!$AD$4"),0),FALSE))</f>
        <v>57369.327972999999</v>
      </c>
      <c r="P7" s="76">
        <f ca="1">IF(ISERROR(VLOOKUP($K7,OFFSET(INDIRECT(""&amp;$S$3&amp;"!$A$4"),0,0,200,100),MATCH(P$4,INDIRECT(""&amp;$S$3&amp;"!$A$4"):INDIRECT(""&amp;$S$3&amp;"!$AD$4"),0),FALSE)),"",VLOOKUP($K7,OFFSET(INDIRECT(""&amp;$S$3&amp;"!$A$4"),0,0,200,100),MATCH(P$4,INDIRECT(""&amp;$S$3&amp;"!$A$4"):INDIRECT(""&amp;$S$3&amp;"!$AD$4"),0),FALSE))</f>
        <v>46858.499459999999</v>
      </c>
      <c r="Q7" s="76">
        <f ca="1">IF(ISERROR(VLOOKUP($K7,OFFSET(INDIRECT(""&amp;$S$3&amp;"!$A$4"),0,0,200,100),MATCH(Q$4,INDIRECT(""&amp;$S$3&amp;"!$A$4"):INDIRECT(""&amp;$S$3&amp;"!$AD$4"),0),FALSE)),"",VLOOKUP($K7,OFFSET(INDIRECT(""&amp;$S$3&amp;"!$A$4"),0,0,200,100),MATCH(Q$4,INDIRECT(""&amp;$S$3&amp;"!$A$4"):INDIRECT(""&amp;$S$3&amp;"!$AD$4"),0),FALSE))</f>
        <v>69951.840935999993</v>
      </c>
      <c r="R7" s="76">
        <f ca="1">IF(ISERROR(VLOOKUP($K7,OFFSET(INDIRECT(""&amp;$S$3&amp;"!$A$4"),0,0,200,100),MATCH(R$4,INDIRECT(""&amp;$S$3&amp;"!$A$4"):INDIRECT(""&amp;$S$3&amp;"!$AD$4"),0),FALSE)),"",VLOOKUP($K7,OFFSET(INDIRECT(""&amp;$S$3&amp;"!$A$4"),0,0,200,100),MATCH(R$4,INDIRECT(""&amp;$S$3&amp;"!$A$4"):INDIRECT(""&amp;$S$3&amp;"!$AD$4"),0),FALSE))</f>
        <v>53796.027313999999</v>
      </c>
      <c r="S7" s="76">
        <f ca="1">IF(ISERROR(VLOOKUP($K7,OFFSET(INDIRECT(""&amp;$S$3&amp;"!$A$4"),0,0,200,100),MATCH(S$4,INDIRECT(""&amp;$S$3&amp;"!$A$4"):INDIRECT(""&amp;$S$3&amp;"!$AD$4"),0),FALSE)),"",VLOOKUP($K7,OFFSET(INDIRECT(""&amp;$S$3&amp;"!$A$4"),0,0,200,100),MATCH(S$4,INDIRECT(""&amp;$S$3&amp;"!$A$4"):INDIRECT(""&amp;$S$3&amp;"!$AD$4"),0),FALSE))</f>
        <v>48869.246664999999</v>
      </c>
      <c r="T7" s="76">
        <f ca="1">IF(ISERROR(VLOOKUP($K7,OFFSET(INDIRECT(""&amp;$S$3&amp;"!$A$4"),0,0,200,100),MATCH(T$4,INDIRECT(""&amp;$S$3&amp;"!$A$4"):INDIRECT(""&amp;$S$3&amp;"!$AD$4"),0),FALSE)),"",VLOOKUP($K7,OFFSET(INDIRECT(""&amp;$S$3&amp;"!$A$4"),0,0,200,100),MATCH(T$4,INDIRECT(""&amp;$S$3&amp;"!$A$4"):INDIRECT(""&amp;$S$3&amp;"!$AD$4"),0),FALSE))</f>
        <v>49244.882944999998</v>
      </c>
      <c r="U7" s="76">
        <f ca="1">IF(ISERROR(VLOOKUP($K7,OFFSET(INDIRECT(""&amp;$S$3&amp;"!$A$4"),0,0,200,100),MATCH(U$4,INDIRECT(""&amp;$S$3&amp;"!$A$4"):INDIRECT(""&amp;$S$3&amp;"!$AD$4"),0),FALSE)),"",VLOOKUP($K7,OFFSET(INDIRECT(""&amp;$S$3&amp;"!$A$4"),0,0,200,100),MATCH(U$4,INDIRECT(""&amp;$S$3&amp;"!$A$4"):INDIRECT(""&amp;$S$3&amp;"!$AD$4"),0),FALSE))</f>
        <v>61649.498106999999</v>
      </c>
      <c r="V7" s="76">
        <f ca="1">IF(ISERROR(VLOOKUP($K7,OFFSET(INDIRECT(""&amp;$S$3&amp;"!$A$4"),0,0,200,100),MATCH(V$4,INDIRECT(""&amp;$S$3&amp;"!$A$4"):INDIRECT(""&amp;$S$3&amp;"!$AD$4"),0),FALSE)),"",VLOOKUP($K7,OFFSET(INDIRECT(""&amp;$S$3&amp;"!$A$4"),0,0,200,100),MATCH(V$4,INDIRECT(""&amp;$S$3&amp;"!$A$4"):INDIRECT(""&amp;$S$3&amp;"!$AD$4"),0),FALSE))</f>
        <v>54967.471674</v>
      </c>
      <c r="W7" s="76">
        <f ca="1">IF(ISERROR(VLOOKUP($K7,OFFSET(INDIRECT(""&amp;$S$3&amp;"!$A$4"),0,0,200,100),MATCH(W$4,INDIRECT(""&amp;$S$3&amp;"!$A$4"):INDIRECT(""&amp;$S$3&amp;"!$AD$4"),0),FALSE)),"",VLOOKUP($K7,OFFSET(INDIRECT(""&amp;$S$3&amp;"!$A$4"),0,0,200,100),MATCH(W$4,INDIRECT(""&amp;$S$3&amp;"!$A$4"):INDIRECT(""&amp;$S$3&amp;"!$AD$4"),0),FALSE))</f>
        <v>50137.544371000004</v>
      </c>
      <c r="X7" s="76">
        <f ca="1">IF(ISERROR(VLOOKUP($K7,OFFSET(INDIRECT(""&amp;$S$3&amp;"!$A$4"),0,0,200,100),MATCH(X$4,INDIRECT(""&amp;$S$3&amp;"!$A$4"):INDIRECT(""&amp;$S$3&amp;"!$AD$4"),0),FALSE)),"",VLOOKUP($K7,OFFSET(INDIRECT(""&amp;$S$3&amp;"!$A$4"),0,0,200,100),MATCH(X$4,INDIRECT(""&amp;$S$3&amp;"!$A$4"):INDIRECT(""&amp;$S$3&amp;"!$AD$4"),0),FALSE))</f>
        <v>36665.519331000003</v>
      </c>
      <c r="Y7" s="76">
        <f ca="1">IF(ISERROR(VLOOKUP($K7,OFFSET(INDIRECT(""&amp;$S$3&amp;"!$A$4"),0,0,200,100),MATCH(Y$4,INDIRECT(""&amp;$S$3&amp;"!$A$4"):INDIRECT(""&amp;$S$3&amp;"!$AD$4"),0),FALSE)),"",VLOOKUP($K7,OFFSET(INDIRECT(""&amp;$S$3&amp;"!$A$4"),0,0,200,100),MATCH(Y$4,INDIRECT(""&amp;$S$3&amp;"!$A$4"):INDIRECT(""&amp;$S$3&amp;"!$AD$4"),0),FALSE))</f>
        <v>35732.990695</v>
      </c>
      <c r="Z7" s="76">
        <f ca="1">IF(ISERROR(VLOOKUP($K7,OFFSET(INDIRECT(""&amp;$S$3&amp;"!$A$4"),0,0,200,100),MATCH(Z$4,INDIRECT(""&amp;$S$3&amp;"!$A$4"):INDIRECT(""&amp;$S$3&amp;"!$AD$4"),0),FALSE)),"",VLOOKUP($K7,OFFSET(INDIRECT(""&amp;$S$3&amp;"!$A$4"),0,0,200,100),MATCH(Z$4,INDIRECT(""&amp;$S$3&amp;"!$A$4"):INDIRECT(""&amp;$S$3&amp;"!$AD$4"),0),FALSE))</f>
        <v>35147.747498999997</v>
      </c>
      <c r="AA7" s="76">
        <f t="shared" ca="1" si="21"/>
        <v>141770.53537600001</v>
      </c>
      <c r="AB7" s="95"/>
      <c r="AC7" s="87">
        <f t="shared" ca="1" si="4"/>
        <v>1</v>
      </c>
      <c r="AD7" s="87">
        <f t="shared" ca="1" si="5"/>
        <v>1</v>
      </c>
      <c r="AE7" s="87">
        <f t="shared" ca="1" si="6"/>
        <v>1</v>
      </c>
      <c r="AF7" s="87">
        <f t="shared" ca="1" si="7"/>
        <v>1</v>
      </c>
      <c r="AG7" s="87">
        <f t="shared" ca="1" si="8"/>
        <v>1</v>
      </c>
      <c r="AH7" s="87">
        <f t="shared" ca="1" si="8"/>
        <v>1</v>
      </c>
      <c r="AI7" s="144"/>
      <c r="AJ7" s="87">
        <f t="shared" ca="1" si="9"/>
        <v>1</v>
      </c>
      <c r="AK7" s="87">
        <f t="shared" ca="1" si="10"/>
        <v>1</v>
      </c>
      <c r="AL7" s="87">
        <f t="shared" ca="1" si="11"/>
        <v>1</v>
      </c>
      <c r="AM7" s="87">
        <f t="shared" ca="1" si="12"/>
        <v>1</v>
      </c>
      <c r="AN7" s="87">
        <f t="shared" ca="1" si="13"/>
        <v>1</v>
      </c>
      <c r="AO7" s="87">
        <f t="shared" ca="1" si="14"/>
        <v>1</v>
      </c>
      <c r="AP7" s="87">
        <f t="shared" ca="1" si="15"/>
        <v>1</v>
      </c>
      <c r="AQ7" s="87">
        <f t="shared" ca="1" si="16"/>
        <v>1</v>
      </c>
      <c r="AR7" s="87">
        <f t="shared" ca="1" si="17"/>
        <v>1</v>
      </c>
      <c r="AS7" s="87">
        <f t="shared" ca="1" si="18"/>
        <v>1</v>
      </c>
      <c r="AT7" s="87">
        <f t="shared" ca="1" si="19"/>
        <v>1</v>
      </c>
      <c r="AU7" s="87">
        <f t="shared" ca="1" si="19"/>
        <v>1</v>
      </c>
      <c r="AV7" s="87">
        <f t="shared" ca="1" si="20"/>
        <v>1</v>
      </c>
    </row>
    <row r="8" spans="1:50" ht="15.95" customHeight="1" outlineLevel="1">
      <c r="A8" s="85" t="s">
        <v>214</v>
      </c>
      <c r="B8" s="134" t="s">
        <v>78</v>
      </c>
      <c r="C8" s="76">
        <f ca="1">IF(ISERROR(VLOOKUP($B8,OFFSET(INDIRECT(""&amp;$B$3&amp;"!$A$4"),0,0,200,100),MATCH(C$4,INDIRECT(""&amp;$B$3&amp;"!$A$4"):INDIRECT(""&amp;$B$3&amp;"!$o$4"),0),FALSE)),"",VLOOKUP($B8,OFFSET(INDIRECT(""&amp;$B$3&amp;"!$A$4"),0,0,200,100),MATCH(C$4,INDIRECT(""&amp;$B$3&amp;"!$A$4"):INDIRECT(""&amp;$B$3&amp;"!$o$4"),0),FALSE))</f>
        <v>62407.701096999997</v>
      </c>
      <c r="D8" s="76">
        <f ca="1">IF(ISERROR(VLOOKUP($B8,OFFSET(INDIRECT(""&amp;$B$3&amp;"!$A$4"),0,0,200,100),MATCH(D$4,INDIRECT(""&amp;$B$3&amp;"!$A$4"):INDIRECT(""&amp;$B$3&amp;"!$o$4"),0),FALSE)),"",VLOOKUP($B8,OFFSET(INDIRECT(""&amp;$B$3&amp;"!$A$4"),0,0,200,100),MATCH(D$4,INDIRECT(""&amp;$B$3&amp;"!$A$4"):INDIRECT(""&amp;$B$3&amp;"!$o$4"),0),FALSE))</f>
        <v>80908.564194999999</v>
      </c>
      <c r="E8" s="76">
        <f ca="1">IF(ISERROR(VLOOKUP($B8,OFFSET(INDIRECT(""&amp;$B$3&amp;"!$A$4"),0,0,200,100),MATCH(E$4,INDIRECT(""&amp;$B$3&amp;"!$A$4"):INDIRECT(""&amp;$B$3&amp;"!$o$4"),0),FALSE)),"",VLOOKUP($B8,OFFSET(INDIRECT(""&amp;$B$3&amp;"!$A$4"),0,0,200,100),MATCH(E$4,INDIRECT(""&amp;$B$3&amp;"!$A$4"):INDIRECT(""&amp;$B$3&amp;"!$o$4"),0),FALSE))</f>
        <v>112307.30192500001</v>
      </c>
      <c r="F8" s="76">
        <f ca="1">IF(ISERROR(VLOOKUP($B8,OFFSET(INDIRECT(""&amp;$B$3&amp;"!$A$4"),0,0,200,100),MATCH(F$4,INDIRECT(""&amp;$B$3&amp;"!$A$4"):INDIRECT(""&amp;$B$3&amp;"!$o$4"),0),FALSE)),"",VLOOKUP($B8,OFFSET(INDIRECT(""&amp;$B$3&amp;"!$A$4"),0,0,200,100),MATCH(F$4,INDIRECT(""&amp;$B$3&amp;"!$A$4"):INDIRECT(""&amp;$B$3&amp;"!$o$4"),0),FALSE))</f>
        <v>146492.52196700001</v>
      </c>
      <c r="G8" s="76">
        <f ca="1">IF(ISERROR(VLOOKUP($B8,OFFSET(INDIRECT(""&amp;$B$3&amp;"!$A$4"),0,0,200,100),MATCH(G$4,INDIRECT(""&amp;$B$3&amp;"!$A$4"):INDIRECT(""&amp;$B$3&amp;"!$o$4"),0),FALSE)),"",VLOOKUP($B8,OFFSET(INDIRECT(""&amp;$B$3&amp;"!$A$4"),0,0,200,100),MATCH(G$4,INDIRECT(""&amp;$B$3&amp;"!$A$4"):INDIRECT(""&amp;$B$3&amp;"!$o$4"),0),FALSE))</f>
        <v>137914.110698</v>
      </c>
      <c r="H8" s="76">
        <f ca="1">IF(ISERROR(VLOOKUP($B8,OFFSET(INDIRECT(""&amp;$B$3&amp;"!$A$4"),0,0,200,100),MATCH(H$4,INDIRECT(""&amp;$B$3&amp;"!$A$4"):INDIRECT(""&amp;$B$3&amp;"!$o$4"),0),FALSE)),"",VLOOKUP($B8,OFFSET(INDIRECT(""&amp;$B$3&amp;"!$A$4"),0,0,200,100),MATCH(H$4,INDIRECT(""&amp;$B$3&amp;"!$A$4"):INDIRECT(""&amp;$B$3&amp;"!$o$4"),0),FALSE))</f>
        <v>174783.657565</v>
      </c>
      <c r="I8" s="76">
        <f ca="1">IF(ISERROR(VLOOKUP($B8,OFFSET(INDIRECT(""&amp;$B$3&amp;"!$A$4"),0,0,200,100),MATCH(I$4,INDIRECT(""&amp;$B$3&amp;"!$A$4"):INDIRECT(""&amp;$B$3&amp;"!$o$4"),0),FALSE)),"",VLOOKUP($B8,OFFSET(INDIRECT(""&amp;$B$3&amp;"!$A$4"),0,0,200,100),MATCH(I$4,INDIRECT(""&amp;$B$3&amp;"!$A$4"):INDIRECT(""&amp;$B$3&amp;"!$o$4"),0),FALSE))</f>
        <v>-128199.049285</v>
      </c>
      <c r="J8" s="76">
        <f ca="1">IF(ISERROR(VLOOKUP($B8,OFFSET(INDIRECT(""&amp;$B$3&amp;"!$A$4"),0,0,200,100),MATCH(J$4,INDIRECT(""&amp;$B$3&amp;"!$A$4"):INDIRECT(""&amp;$B$3&amp;"!$o$4"),0),FALSE)),"",VLOOKUP($B8,OFFSET(INDIRECT(""&amp;$B$3&amp;"!$A$4"),0,0,200,100),MATCH(J$4,INDIRECT(""&amp;$B$3&amp;"!$A$4"):INDIRECT(""&amp;$B$3&amp;"!$o$4"),0),FALSE))</f>
        <v>-140667.34983200001</v>
      </c>
      <c r="K8" s="91" t="s">
        <v>78</v>
      </c>
      <c r="L8" s="76">
        <f ca="1">IF(ISERROR(VLOOKUP($K8,OFFSET(INDIRECT(""&amp;$S$3&amp;"!$A$4"),0,0,200,100),MATCH(L$4,INDIRECT(""&amp;$S$3&amp;"!$A$4"):INDIRECT(""&amp;$S$3&amp;"!$AD$4"),0),FALSE)),"",VLOOKUP($K8,OFFSET(INDIRECT(""&amp;$S$3&amp;"!$A$4"),0,0,200,100),MATCH(L$4,INDIRECT(""&amp;$S$3&amp;"!$A$4"):INDIRECT(""&amp;$S$3&amp;"!$AD$4"),0),FALSE))</f>
        <v>24166.220152000002</v>
      </c>
      <c r="M8" s="76">
        <f ca="1">IF(ISERROR(VLOOKUP($K8,OFFSET(INDIRECT(""&amp;$S$3&amp;"!$A$4"),0,0,200,100),MATCH(M$4,INDIRECT(""&amp;$S$3&amp;"!$A$4"):INDIRECT(""&amp;$S$3&amp;"!$AD$4"),0),FALSE)),"",VLOOKUP($K8,OFFSET(INDIRECT(""&amp;$S$3&amp;"!$A$4"),0,0,200,100),MATCH(M$4,INDIRECT(""&amp;$S$3&amp;"!$A$4"):INDIRECT(""&amp;$S$3&amp;"!$AD$4"),0),FALSE))</f>
        <v>41957.882691999999</v>
      </c>
      <c r="N8" s="76">
        <f ca="1">IF(ISERROR(VLOOKUP($K8,OFFSET(INDIRECT(""&amp;$S$3&amp;"!$A$4"),0,0,200,100),MATCH(N$4,INDIRECT(""&amp;$S$3&amp;"!$A$4"):INDIRECT(""&amp;$S$3&amp;"!$AD$4"),0),FALSE)),"",VLOOKUP($K8,OFFSET(INDIRECT(""&amp;$S$3&amp;"!$A$4"),0,0,200,100),MATCH(N$4,INDIRECT(""&amp;$S$3&amp;"!$A$4"):INDIRECT(""&amp;$S$3&amp;"!$AD$4"),0),FALSE))</f>
        <v>40016.356269999997</v>
      </c>
      <c r="O8" s="76">
        <f ca="1">IF(ISERROR(VLOOKUP($K8,OFFSET(INDIRECT(""&amp;$S$3&amp;"!$A$4"),0,0,200,100),MATCH(O$4,INDIRECT(""&amp;$S$3&amp;"!$A$4"):INDIRECT(""&amp;$S$3&amp;"!$AD$4"),0),FALSE)),"",VLOOKUP($K8,OFFSET(INDIRECT(""&amp;$S$3&amp;"!$A$4"),0,0,200,100),MATCH(O$4,INDIRECT(""&amp;$S$3&amp;"!$A$4"):INDIRECT(""&amp;$S$3&amp;"!$AD$4"),0),FALSE))</f>
        <v>41158.626142000001</v>
      </c>
      <c r="P8" s="76">
        <f ca="1">IF(ISERROR(VLOOKUP($K8,OFFSET(INDIRECT(""&amp;$S$3&amp;"!$A$4"),0,0,200,100),MATCH(P$4,INDIRECT(""&amp;$S$3&amp;"!$A$4"):INDIRECT(""&amp;$S$3&amp;"!$AD$4"),0),FALSE)),"",VLOOKUP($K8,OFFSET(INDIRECT(""&amp;$S$3&amp;"!$A$4"),0,0,200,100),MATCH(P$4,INDIRECT(""&amp;$S$3&amp;"!$A$4"):INDIRECT(""&amp;$S$3&amp;"!$AD$4"),0),FALSE))</f>
        <v>28022.630875999999</v>
      </c>
      <c r="Q8" s="76">
        <f ca="1">IF(ISERROR(VLOOKUP($K8,OFFSET(INDIRECT(""&amp;$S$3&amp;"!$A$4"),0,0,200,100),MATCH(Q$4,INDIRECT(""&amp;$S$3&amp;"!$A$4"):INDIRECT(""&amp;$S$3&amp;"!$AD$4"),0),FALSE)),"",VLOOKUP($K8,OFFSET(INDIRECT(""&amp;$S$3&amp;"!$A$4"),0,0,200,100),MATCH(Q$4,INDIRECT(""&amp;$S$3&amp;"!$A$4"):INDIRECT(""&amp;$S$3&amp;"!$AD$4"),0),FALSE))</f>
        <v>43389.506101999999</v>
      </c>
      <c r="R8" s="76">
        <f ca="1">IF(ISERROR(VLOOKUP($K8,OFFSET(INDIRECT(""&amp;$S$3&amp;"!$A$4"),0,0,200,100),MATCH(R$4,INDIRECT(""&amp;$S$3&amp;"!$A$4"):INDIRECT(""&amp;$S$3&amp;"!$AD$4"),0),FALSE)),"",VLOOKUP($K8,OFFSET(INDIRECT(""&amp;$S$3&amp;"!$A$4"),0,0,200,100),MATCH(R$4,INDIRECT(""&amp;$S$3&amp;"!$A$4"):INDIRECT(""&amp;$S$3&amp;"!$AD$4"),0),FALSE))</f>
        <v>37349.294994000003</v>
      </c>
      <c r="S8" s="76">
        <f ca="1">IF(ISERROR(VLOOKUP($K8,OFFSET(INDIRECT(""&amp;$S$3&amp;"!$A$4"),0,0,200,100),MATCH(S$4,INDIRECT(""&amp;$S$3&amp;"!$A$4"):INDIRECT(""&amp;$S$3&amp;"!$AD$4"),0),FALSE)),"",VLOOKUP($K8,OFFSET(INDIRECT(""&amp;$S$3&amp;"!$A$4"),0,0,200,100),MATCH(S$4,INDIRECT(""&amp;$S$3&amp;"!$A$4"):INDIRECT(""&amp;$S$3&amp;"!$AD$4"),0),FALSE))</f>
        <v>30140.188461000002</v>
      </c>
      <c r="T8" s="76">
        <f ca="1">IF(ISERROR(VLOOKUP($K8,OFFSET(INDIRECT(""&amp;$S$3&amp;"!$A$4"),0,0,200,100),MATCH(T$4,INDIRECT(""&amp;$S$3&amp;"!$A$4"):INDIRECT(""&amp;$S$3&amp;"!$AD$4"),0),FALSE)),"",VLOOKUP($K8,OFFSET(INDIRECT(""&amp;$S$3&amp;"!$A$4"),0,0,200,100),MATCH(T$4,INDIRECT(""&amp;$S$3&amp;"!$A$4"):INDIRECT(""&amp;$S$3&amp;"!$AD$4"),0),FALSE))</f>
        <v>43129.529168000001</v>
      </c>
      <c r="U8" s="76">
        <f ca="1">IF(ISERROR(VLOOKUP($K8,OFFSET(INDIRECT(""&amp;$S$3&amp;"!$A$4"),0,0,200,100),MATCH(U$4,INDIRECT(""&amp;$S$3&amp;"!$A$4"):INDIRECT(""&amp;$S$3&amp;"!$AD$4"),0),FALSE)),"",VLOOKUP($K8,OFFSET(INDIRECT(""&amp;$S$3&amp;"!$A$4"),0,0,200,100),MATCH(U$4,INDIRECT(""&amp;$S$3&amp;"!$A$4"):INDIRECT(""&amp;$S$3&amp;"!$AD$4"),0),FALSE))</f>
        <v>47957.975272000003</v>
      </c>
      <c r="V8" s="76">
        <f ca="1">IF(ISERROR(VLOOKUP($K8,OFFSET(INDIRECT(""&amp;$S$3&amp;"!$A$4"),0,0,200,100),MATCH(V$4,INDIRECT(""&amp;$S$3&amp;"!$A$4"):INDIRECT(""&amp;$S$3&amp;"!$AD$4"),0),FALSE)),"",VLOOKUP($K8,OFFSET(INDIRECT(""&amp;$S$3&amp;"!$A$4"),0,0,200,100),MATCH(V$4,INDIRECT(""&amp;$S$3&amp;"!$A$4"):INDIRECT(""&amp;$S$3&amp;"!$AD$4"),0),FALSE))</f>
        <v>44716.675249</v>
      </c>
      <c r="W8" s="76">
        <f ca="1">IF(ISERROR(VLOOKUP($K8,OFFSET(INDIRECT(""&amp;$S$3&amp;"!$A$4"),0,0,200,100),MATCH(W$4,INDIRECT(""&amp;$S$3&amp;"!$A$4"):INDIRECT(""&amp;$S$3&amp;"!$AD$4"),0),FALSE)),"",VLOOKUP($K8,OFFSET(INDIRECT(""&amp;$S$3&amp;"!$A$4"),0,0,200,100),MATCH(W$4,INDIRECT(""&amp;$S$3&amp;"!$A$4"):INDIRECT(""&amp;$S$3&amp;"!$AD$4"),0),FALSE))</f>
        <v>47787.667877</v>
      </c>
      <c r="X8" s="76">
        <f ca="1">IF(ISERROR(VLOOKUP($K8,OFFSET(INDIRECT(""&amp;$S$3&amp;"!$A$4"),0,0,200,100),MATCH(X$4,INDIRECT(""&amp;$S$3&amp;"!$A$4"):INDIRECT(""&amp;$S$3&amp;"!$AD$4"),0),FALSE)),"",VLOOKUP($K8,OFFSET(INDIRECT(""&amp;$S$3&amp;"!$A$4"),0,0,200,100),MATCH(X$4,INDIRECT(""&amp;$S$3&amp;"!$A$4"):INDIRECT(""&amp;$S$3&amp;"!$AD$4"),0),FALSE))</f>
        <v>30621.324099000001</v>
      </c>
      <c r="Y8" s="76">
        <f ca="1">IF(ISERROR(VLOOKUP($K8,OFFSET(INDIRECT(""&amp;$S$3&amp;"!$A$4"),0,0,200,100),MATCH(Y$4,INDIRECT(""&amp;$S$3&amp;"!$A$4"):INDIRECT(""&amp;$S$3&amp;"!$AD$4"),0),FALSE)),"",VLOOKUP($K8,OFFSET(INDIRECT(""&amp;$S$3&amp;"!$A$4"),0,0,200,100),MATCH(Y$4,INDIRECT(""&amp;$S$3&amp;"!$A$4"):INDIRECT(""&amp;$S$3&amp;"!$AD$4"),0),FALSE))</f>
        <v>-36561.490038999997</v>
      </c>
      <c r="Z8" s="76">
        <f ca="1">IF(ISERROR(VLOOKUP($K8,OFFSET(INDIRECT(""&amp;$S$3&amp;"!$A$4"),0,0,200,100),MATCH(Z$4,INDIRECT(""&amp;$S$3&amp;"!$A$4"):INDIRECT(""&amp;$S$3&amp;"!$AD$4"),0),FALSE)),"",VLOOKUP($K8,OFFSET(INDIRECT(""&amp;$S$3&amp;"!$A$4"),0,0,200,100),MATCH(Z$4,INDIRECT(""&amp;$S$3&amp;"!$A$4"):INDIRECT(""&amp;$S$3&amp;"!$AD$4"),0),FALSE))</f>
        <v>-25888.264854000001</v>
      </c>
      <c r="AA8" s="76">
        <f t="shared" ca="1" si="21"/>
        <v>123125.667225</v>
      </c>
      <c r="AB8" s="92"/>
      <c r="AC8" s="87">
        <f t="shared" ca="1" si="4"/>
        <v>0.5830913558551245</v>
      </c>
      <c r="AD8" s="87">
        <f t="shared" ca="1" si="5"/>
        <v>0.61992120044895982</v>
      </c>
      <c r="AE8" s="87">
        <f t="shared" ca="1" si="6"/>
        <v>0.62838010997594229</v>
      </c>
      <c r="AF8" s="87">
        <f t="shared" ca="1" si="7"/>
        <v>0.80918585845176672</v>
      </c>
      <c r="AG8" s="87">
        <f t="shared" ca="1" si="8"/>
        <v>-0.86545882929637685</v>
      </c>
      <c r="AH8" s="87">
        <f t="shared" ca="1" si="8"/>
        <v>-0.82208595612075586</v>
      </c>
      <c r="AI8" s="144"/>
      <c r="AJ8" s="87">
        <f t="shared" ca="1" si="9"/>
        <v>0.71743260024539035</v>
      </c>
      <c r="AK8" s="87">
        <f t="shared" ca="1" si="10"/>
        <v>0.59802663762037589</v>
      </c>
      <c r="AL8" s="87">
        <f t="shared" ca="1" si="11"/>
        <v>0.62027682933602446</v>
      </c>
      <c r="AM8" s="87">
        <f t="shared" ca="1" si="12"/>
        <v>0.69427608057370693</v>
      </c>
      <c r="AN8" s="87">
        <f t="shared" ca="1" si="13"/>
        <v>0.61675164889714396</v>
      </c>
      <c r="AO8" s="87">
        <f t="shared" ca="1" si="14"/>
        <v>0.87581747764879381</v>
      </c>
      <c r="AP8" s="87">
        <f t="shared" ca="1" si="15"/>
        <v>0.77791347447408676</v>
      </c>
      <c r="AQ8" s="87">
        <f t="shared" ca="1" si="16"/>
        <v>0.81351158943974677</v>
      </c>
      <c r="AR8" s="87">
        <f t="shared" ca="1" si="17"/>
        <v>0.95313140036113952</v>
      </c>
      <c r="AS8" s="87">
        <f t="shared" ca="1" si="18"/>
        <v>0.83515315363637166</v>
      </c>
      <c r="AT8" s="87">
        <f t="shared" ca="1" si="19"/>
        <v>-1.0231858382935723</v>
      </c>
      <c r="AU8" s="87">
        <f t="shared" ca="1" si="19"/>
        <v>-0.73655544653996841</v>
      </c>
      <c r="AV8" s="87">
        <f t="shared" ca="1" si="20"/>
        <v>0.86848559115932944</v>
      </c>
    </row>
    <row r="9" spans="1:50" s="88" customFormat="1" ht="15.95" customHeight="1" outlineLevel="1">
      <c r="A9" s="85" t="s">
        <v>215</v>
      </c>
      <c r="B9" s="134" t="s">
        <v>97</v>
      </c>
      <c r="C9" s="76">
        <f ca="1">IF(ISERROR(VLOOKUP($B9,OFFSET(INDIRECT(""&amp;$B$3&amp;"!$A$4"),0,0,200,100),MATCH(C$4,INDIRECT(""&amp;$B$3&amp;"!$A$4"):INDIRECT(""&amp;$B$3&amp;"!$o$4"),0),FALSE)),"",VLOOKUP($B9,OFFSET(INDIRECT(""&amp;$B$3&amp;"!$A$4"),0,0,200,100),MATCH(C$4,INDIRECT(""&amp;$B$3&amp;"!$A$4"):INDIRECT(""&amp;$B$3&amp;"!$o$4"),0),FALSE))</f>
        <v>38944.689290000002</v>
      </c>
      <c r="D9" s="76">
        <f ca="1">IF(ISERROR(VLOOKUP($B9,OFFSET(INDIRECT(""&amp;$B$3&amp;"!$A$4"),0,0,200,100),MATCH(D$4,INDIRECT(""&amp;$B$3&amp;"!$A$4"):INDIRECT(""&amp;$B$3&amp;"!$o$4"),0),FALSE)),"",VLOOKUP($B9,OFFSET(INDIRECT(""&amp;$B$3&amp;"!$A$4"),0,0,200,100),MATCH(D$4,INDIRECT(""&amp;$B$3&amp;"!$A$4"):INDIRECT(""&amp;$B$3&amp;"!$o$4"),0),FALSE))</f>
        <v>77823.91532</v>
      </c>
      <c r="E9" s="76">
        <f ca="1">IF(ISERROR(VLOOKUP($B9,OFFSET(INDIRECT(""&amp;$B$3&amp;"!$A$4"),0,0,200,100),MATCH(E$4,INDIRECT(""&amp;$B$3&amp;"!$A$4"):INDIRECT(""&amp;$B$3&amp;"!$o$4"),0),FALSE)),"",VLOOKUP($B9,OFFSET(INDIRECT(""&amp;$B$3&amp;"!$A$4"),0,0,200,100),MATCH(E$4,INDIRECT(""&amp;$B$3&amp;"!$A$4"):INDIRECT(""&amp;$B$3&amp;"!$o$4"),0),FALSE))</f>
        <v>80299.398203999997</v>
      </c>
      <c r="F9" s="76">
        <f ca="1">IF(ISERROR(VLOOKUP($B9,OFFSET(INDIRECT(""&amp;$B$3&amp;"!$A$4"),0,0,200,100),MATCH(F$4,INDIRECT(""&amp;$B$3&amp;"!$A$4"):INDIRECT(""&amp;$B$3&amp;"!$o$4"),0),FALSE)),"",VLOOKUP($B9,OFFSET(INDIRECT(""&amp;$B$3&amp;"!$A$4"),0,0,200,100),MATCH(F$4,INDIRECT(""&amp;$B$3&amp;"!$A$4"):INDIRECT(""&amp;$B$3&amp;"!$o$4"),0),FALSE))</f>
        <v>89815.773121000006</v>
      </c>
      <c r="G9" s="76">
        <f ca="1">IF(ISERROR(VLOOKUP($B9,OFFSET(INDIRECT(""&amp;$B$3&amp;"!$A$4"),0,0,200,100),MATCH(G$4,INDIRECT(""&amp;$B$3&amp;"!$A$4"):INDIRECT(""&amp;$B$3&amp;"!$o$4"),0),FALSE)),"",VLOOKUP($B9,OFFSET(INDIRECT(""&amp;$B$3&amp;"!$A$4"),0,0,200,100),MATCH(G$4,INDIRECT(""&amp;$B$3&amp;"!$A$4"):INDIRECT(""&amp;$B$3&amp;"!$o$4"),0),FALSE))</f>
        <v>81561.503677000001</v>
      </c>
      <c r="H9" s="76">
        <f ca="1">IF(ISERROR(VLOOKUP($B9,OFFSET(INDIRECT(""&amp;$B$3&amp;"!$A$4"),0,0,200,100),MATCH(H$4,INDIRECT(""&amp;$B$3&amp;"!$A$4"):INDIRECT(""&amp;$B$3&amp;"!$o$4"),0),FALSE)),"",VLOOKUP($B9,OFFSET(INDIRECT(""&amp;$B$3&amp;"!$A$4"),0,0,200,100),MATCH(H$4,INDIRECT(""&amp;$B$3&amp;"!$A$4"):INDIRECT(""&amp;$B$3&amp;"!$o$4"),0),FALSE))</f>
        <v>41215.739532</v>
      </c>
      <c r="I9" s="76">
        <f ca="1">IF(ISERROR(VLOOKUP($B9,OFFSET(INDIRECT(""&amp;$B$3&amp;"!$A$4"),0,0,200,100),MATCH(I$4,INDIRECT(""&amp;$B$3&amp;"!$A$4"):INDIRECT(""&amp;$B$3&amp;"!$o$4"),0),FALSE)),"",VLOOKUP($B9,OFFSET(INDIRECT(""&amp;$B$3&amp;"!$A$4"),0,0,200,100),MATCH(I$4,INDIRECT(""&amp;$B$3&amp;"!$A$4"):INDIRECT(""&amp;$B$3&amp;"!$o$4"),0),FALSE))</f>
        <v>19929.371092000001</v>
      </c>
      <c r="J9" s="76">
        <f ca="1">IF(ISERROR(VLOOKUP($B9,OFFSET(INDIRECT(""&amp;$B$3&amp;"!$A$4"),0,0,200,100),MATCH(J$4,INDIRECT(""&amp;$B$3&amp;"!$A$4"):INDIRECT(""&amp;$B$3&amp;"!$o$4"),0),FALSE)),"",VLOOKUP($B9,OFFSET(INDIRECT(""&amp;$B$3&amp;"!$A$4"),0,0,200,100),MATCH(J$4,INDIRECT(""&amp;$B$3&amp;"!$A$4"):INDIRECT(""&amp;$B$3&amp;"!$o$4"),0),FALSE))</f>
        <v>30442.920066999999</v>
      </c>
      <c r="K9" s="86" t="s">
        <v>97</v>
      </c>
      <c r="L9" s="76">
        <f ca="1">IF(ISERROR(VLOOKUP($K9,OFFSET(INDIRECT(""&amp;$S$3&amp;"!$A$4"),0,0,200,100),MATCH(L$4,INDIRECT(""&amp;$S$3&amp;"!$A$4"):INDIRECT(""&amp;$S$3&amp;"!$AD$4"),0),FALSE)),"",VLOOKUP($K9,OFFSET(INDIRECT(""&amp;$S$3&amp;"!$A$4"),0,0,200,100),MATCH(L$4,INDIRECT(""&amp;$S$3&amp;"!$A$4"):INDIRECT(""&amp;$S$3&amp;"!$AD$4"),0),FALSE))</f>
        <v>21208.853167000001</v>
      </c>
      <c r="M9" s="76">
        <f ca="1">IF(ISERROR(VLOOKUP($K9,OFFSET(INDIRECT(""&amp;$S$3&amp;"!$A$4"),0,0,200,100),MATCH(M$4,INDIRECT(""&amp;$S$3&amp;"!$A$4"):INDIRECT(""&amp;$S$3&amp;"!$AD$4"),0),FALSE)),"",VLOOKUP($K9,OFFSET(INDIRECT(""&amp;$S$3&amp;"!$A$4"),0,0,200,100),MATCH(M$4,INDIRECT(""&amp;$S$3&amp;"!$A$4"):INDIRECT(""&amp;$S$3&amp;"!$AD$4"),0),FALSE))</f>
        <v>29954.806230999999</v>
      </c>
      <c r="N9" s="76">
        <f ca="1">IF(ISERROR(VLOOKUP($K9,OFFSET(INDIRECT(""&amp;$S$3&amp;"!$A$4"),0,0,200,100),MATCH(N$4,INDIRECT(""&amp;$S$3&amp;"!$A$4"):INDIRECT(""&amp;$S$3&amp;"!$AD$4"),0),FALSE)),"",VLOOKUP($K9,OFFSET(INDIRECT(""&amp;$S$3&amp;"!$A$4"),0,0,200,100),MATCH(N$4,INDIRECT(""&amp;$S$3&amp;"!$A$4"):INDIRECT(""&amp;$S$3&amp;"!$AD$4"),0),FALSE))</f>
        <v>21634.848602999999</v>
      </c>
      <c r="O9" s="76">
        <f ca="1">IF(ISERROR(VLOOKUP($K9,OFFSET(INDIRECT(""&amp;$S$3&amp;"!$A$4"),0,0,200,100),MATCH(O$4,INDIRECT(""&amp;$S$3&amp;"!$A$4"):INDIRECT(""&amp;$S$3&amp;"!$AD$4"),0),FALSE)),"",VLOOKUP($K9,OFFSET(INDIRECT(""&amp;$S$3&amp;"!$A$4"),0,0,200,100),MATCH(O$4,INDIRECT(""&amp;$S$3&amp;"!$A$4"):INDIRECT(""&amp;$S$3&amp;"!$AD$4"),0),FALSE))</f>
        <v>16210.701831</v>
      </c>
      <c r="P9" s="76">
        <f ca="1">IF(ISERROR(VLOOKUP($K9,OFFSET(INDIRECT(""&amp;$S$3&amp;"!$A$4"),0,0,200,100),MATCH(P$4,INDIRECT(""&amp;$S$3&amp;"!$A$4"):INDIRECT(""&amp;$S$3&amp;"!$AD$4"),0),FALSE)),"",VLOOKUP($K9,OFFSET(INDIRECT(""&amp;$S$3&amp;"!$A$4"),0,0,200,100),MATCH(P$4,INDIRECT(""&amp;$S$3&amp;"!$A$4"):INDIRECT(""&amp;$S$3&amp;"!$AD$4"),0),FALSE))</f>
        <v>18835.868584</v>
      </c>
      <c r="Q9" s="76">
        <f ca="1">IF(ISERROR(VLOOKUP($K9,OFFSET(INDIRECT(""&amp;$S$3&amp;"!$A$4"),0,0,200,100),MATCH(Q$4,INDIRECT(""&amp;$S$3&amp;"!$A$4"):INDIRECT(""&amp;$S$3&amp;"!$AD$4"),0),FALSE)),"",VLOOKUP($K9,OFFSET(INDIRECT(""&amp;$S$3&amp;"!$A$4"),0,0,200,100),MATCH(Q$4,INDIRECT(""&amp;$S$3&amp;"!$A$4"):INDIRECT(""&amp;$S$3&amp;"!$AD$4"),0),FALSE))</f>
        <v>26562.334834000001</v>
      </c>
      <c r="R9" s="76">
        <f ca="1">IF(ISERROR(VLOOKUP($K9,OFFSET(INDIRECT(""&amp;$S$3&amp;"!$A$4"),0,0,200,100),MATCH(R$4,INDIRECT(""&amp;$S$3&amp;"!$A$4"):INDIRECT(""&amp;$S$3&amp;"!$AD$4"),0),FALSE)),"",VLOOKUP($K9,OFFSET(INDIRECT(""&amp;$S$3&amp;"!$A$4"),0,0,200,100),MATCH(R$4,INDIRECT(""&amp;$S$3&amp;"!$A$4"):INDIRECT(""&amp;$S$3&amp;"!$AD$4"),0),FALSE))</f>
        <v>16446.732319999999</v>
      </c>
      <c r="S9" s="76">
        <f ca="1">IF(ISERROR(VLOOKUP($K9,OFFSET(INDIRECT(""&amp;$S$3&amp;"!$A$4"),0,0,200,100),MATCH(S$4,INDIRECT(""&amp;$S$3&amp;"!$A$4"):INDIRECT(""&amp;$S$3&amp;"!$AD$4"),0),FALSE)),"",VLOOKUP($K9,OFFSET(INDIRECT(""&amp;$S$3&amp;"!$A$4"),0,0,200,100),MATCH(S$4,INDIRECT(""&amp;$S$3&amp;"!$A$4"):INDIRECT(""&amp;$S$3&amp;"!$AD$4"),0),FALSE))</f>
        <v>18729.058204000001</v>
      </c>
      <c r="T9" s="76">
        <f ca="1">IF(ISERROR(VLOOKUP($K9,OFFSET(INDIRECT(""&amp;$S$3&amp;"!$A$4"),0,0,200,100),MATCH(T$4,INDIRECT(""&amp;$S$3&amp;"!$A$4"):INDIRECT(""&amp;$S$3&amp;"!$AD$4"),0),FALSE)),"",VLOOKUP($K9,OFFSET(INDIRECT(""&amp;$S$3&amp;"!$A$4"),0,0,200,100),MATCH(T$4,INDIRECT(""&amp;$S$3&amp;"!$A$4"):INDIRECT(""&amp;$S$3&amp;"!$AD$4"),0),FALSE))</f>
        <v>6115.3537770000003</v>
      </c>
      <c r="U9" s="76">
        <f ca="1">IF(ISERROR(VLOOKUP($K9,OFFSET(INDIRECT(""&amp;$S$3&amp;"!$A$4"),0,0,200,100),MATCH(U$4,INDIRECT(""&amp;$S$3&amp;"!$A$4"):INDIRECT(""&amp;$S$3&amp;"!$AD$4"),0),FALSE)),"",VLOOKUP($K9,OFFSET(INDIRECT(""&amp;$S$3&amp;"!$A$4"),0,0,200,100),MATCH(U$4,INDIRECT(""&amp;$S$3&amp;"!$A$4"):INDIRECT(""&amp;$S$3&amp;"!$AD$4"),0),FALSE))</f>
        <v>13691.522835</v>
      </c>
      <c r="V9" s="76">
        <f ca="1">IF(ISERROR(VLOOKUP($K9,OFFSET(INDIRECT(""&amp;$S$3&amp;"!$A$4"),0,0,200,100),MATCH(V$4,INDIRECT(""&amp;$S$3&amp;"!$A$4"):INDIRECT(""&amp;$S$3&amp;"!$AD$4"),0),FALSE)),"",VLOOKUP($K9,OFFSET(INDIRECT(""&amp;$S$3&amp;"!$A$4"),0,0,200,100),MATCH(V$4,INDIRECT(""&amp;$S$3&amp;"!$A$4"):INDIRECT(""&amp;$S$3&amp;"!$AD$4"),0),FALSE))</f>
        <v>10250.796425</v>
      </c>
      <c r="W9" s="76">
        <f ca="1">IF(ISERROR(VLOOKUP($K9,OFFSET(INDIRECT(""&amp;$S$3&amp;"!$A$4"),0,0,200,100),MATCH(W$4,INDIRECT(""&amp;$S$3&amp;"!$A$4"):INDIRECT(""&amp;$S$3&amp;"!$AD$4"),0),FALSE)),"",VLOOKUP($K9,OFFSET(INDIRECT(""&amp;$S$3&amp;"!$A$4"),0,0,200,100),MATCH(W$4,INDIRECT(""&amp;$S$3&amp;"!$A$4"):INDIRECT(""&amp;$S$3&amp;"!$AD$4"),0),FALSE))</f>
        <v>2349.8764940000001</v>
      </c>
      <c r="X9" s="76">
        <f ca="1">IF(ISERROR(VLOOKUP($K9,OFFSET(INDIRECT(""&amp;$S$3&amp;"!$A$4"),0,0,200,100),MATCH(X$4,INDIRECT(""&amp;$S$3&amp;"!$A$4"):INDIRECT(""&amp;$S$3&amp;"!$AD$4"),0),FALSE)),"",VLOOKUP($K9,OFFSET(INDIRECT(""&amp;$S$3&amp;"!$A$4"),0,0,200,100),MATCH(X$4,INDIRECT(""&amp;$S$3&amp;"!$A$4"):INDIRECT(""&amp;$S$3&amp;"!$AD$4"),0),FALSE))</f>
        <v>6044.195232</v>
      </c>
      <c r="Y9" s="76">
        <f ca="1">IF(ISERROR(VLOOKUP($K9,OFFSET(INDIRECT(""&amp;$S$3&amp;"!$A$4"),0,0,200,100),MATCH(Y$4,INDIRECT(""&amp;$S$3&amp;"!$A$4"):INDIRECT(""&amp;$S$3&amp;"!$AD$4"),0),FALSE)),"",VLOOKUP($K9,OFFSET(INDIRECT(""&amp;$S$3&amp;"!$A$4"),0,0,200,100),MATCH(Y$4,INDIRECT(""&amp;$S$3&amp;"!$A$4"):INDIRECT(""&amp;$S$3&amp;"!$AD$4"),0),FALSE))</f>
        <v>-828.49934399999995</v>
      </c>
      <c r="Z9" s="76">
        <f ca="1">IF(ISERROR(VLOOKUP($K9,OFFSET(INDIRECT(""&amp;$S$3&amp;"!$A$4"),0,0,200,100),MATCH(Z$4,INDIRECT(""&amp;$S$3&amp;"!$A$4"):INDIRECT(""&amp;$S$3&amp;"!$AD$4"),0),FALSE)),"",VLOOKUP($K9,OFFSET(INDIRECT(""&amp;$S$3&amp;"!$A$4"),0,0,200,100),MATCH(Z$4,INDIRECT(""&amp;$S$3&amp;"!$A$4"):INDIRECT(""&amp;$S$3&amp;"!$AD$4"),0),FALSE))</f>
        <v>9259.482645</v>
      </c>
      <c r="AA9" s="76">
        <f t="shared" ca="1" si="21"/>
        <v>18644.868151000002</v>
      </c>
      <c r="AB9" s="97"/>
      <c r="AC9" s="87">
        <f t="shared" ca="1" si="4"/>
        <v>0.41690864414487544</v>
      </c>
      <c r="AD9" s="87">
        <f t="shared" ca="1" si="5"/>
        <v>0.38007879955104018</v>
      </c>
      <c r="AE9" s="87">
        <f t="shared" ca="1" si="6"/>
        <v>0.37161989002405771</v>
      </c>
      <c r="AF9" s="87">
        <f t="shared" ca="1" si="7"/>
        <v>0.19081414154823323</v>
      </c>
      <c r="AG9" s="87">
        <f t="shared" ca="1" si="8"/>
        <v>0.13454117070362312</v>
      </c>
      <c r="AH9" s="87">
        <f t="shared" ca="1" si="8"/>
        <v>0.17791404387924417</v>
      </c>
      <c r="AI9" s="144"/>
      <c r="AJ9" s="87">
        <f t="shared" ca="1" si="9"/>
        <v>0.28256739975460965</v>
      </c>
      <c r="AK9" s="87">
        <f t="shared" ca="1" si="10"/>
        <v>0.40197336237962411</v>
      </c>
      <c r="AL9" s="87">
        <f t="shared" ca="1" si="11"/>
        <v>0.3797231706639756</v>
      </c>
      <c r="AM9" s="87">
        <f t="shared" ca="1" si="12"/>
        <v>0.30572391942629312</v>
      </c>
      <c r="AN9" s="87">
        <f t="shared" ca="1" si="13"/>
        <v>0.38324835110285616</v>
      </c>
      <c r="AO9" s="87">
        <f t="shared" ca="1" si="14"/>
        <v>0.1241825223512063</v>
      </c>
      <c r="AP9" s="87">
        <f t="shared" ca="1" si="15"/>
        <v>0.22208652552591332</v>
      </c>
      <c r="AQ9" s="87">
        <f t="shared" ca="1" si="16"/>
        <v>0.1864884105602532</v>
      </c>
      <c r="AR9" s="87">
        <f t="shared" ca="1" si="17"/>
        <v>4.6868599638860441E-2</v>
      </c>
      <c r="AS9" s="87">
        <f t="shared" ca="1" si="18"/>
        <v>0.16484684636362829</v>
      </c>
      <c r="AT9" s="87">
        <f t="shared" ca="1" si="19"/>
        <v>-2.3185838293572476E-2</v>
      </c>
      <c r="AU9" s="87">
        <f t="shared" ca="1" si="19"/>
        <v>0.26344455346003171</v>
      </c>
      <c r="AV9" s="87">
        <f t="shared" ca="1" si="20"/>
        <v>0.13151440884067048</v>
      </c>
    </row>
    <row r="10" spans="1:50" ht="15.95" customHeight="1" outlineLevel="1">
      <c r="A10" s="89" t="s">
        <v>216</v>
      </c>
      <c r="B10" s="111" t="s">
        <v>98</v>
      </c>
      <c r="C10" s="90">
        <f ca="1">IF(ISERROR(VLOOKUP($B10,OFFSET(INDIRECT(""&amp;$B$3&amp;"!$A$4"),0,0,200,100),MATCH(C$4,INDIRECT(""&amp;$B$3&amp;"!$A$4"):INDIRECT(""&amp;$B$3&amp;"!$o$4"),0),FALSE)),"",VLOOKUP($B10,OFFSET(INDIRECT(""&amp;$B$3&amp;"!$A$4"),0,0,200,100),MATCH(C$4,INDIRECT(""&amp;$B$3&amp;"!$A$4"):INDIRECT(""&amp;$B$3&amp;"!$o$4"),0),FALSE))</f>
        <v>23110.681438</v>
      </c>
      <c r="D10" s="90">
        <f ca="1">IF(ISERROR(VLOOKUP($B10,OFFSET(INDIRECT(""&amp;$B$3&amp;"!$A$4"),0,0,200,100),MATCH(D$4,INDIRECT(""&amp;$B$3&amp;"!$A$4"):INDIRECT(""&amp;$B$3&amp;"!$o$4"),0),FALSE)),"",VLOOKUP($B10,OFFSET(INDIRECT(""&amp;$B$3&amp;"!$A$4"),0,0,200,100),MATCH(D$4,INDIRECT(""&amp;$B$3&amp;"!$A$4"):INDIRECT(""&amp;$B$3&amp;"!$o$4"),0),FALSE))</f>
        <v>14975.589072999999</v>
      </c>
      <c r="E10" s="90">
        <f ca="1">IF(ISERROR(VLOOKUP($B10,OFFSET(INDIRECT(""&amp;$B$3&amp;"!$A$4"),0,0,200,100),MATCH(E$4,INDIRECT(""&amp;$B$3&amp;"!$A$4"):INDIRECT(""&amp;$B$3&amp;"!$o$4"),0),FALSE)),"",VLOOKUP($B10,OFFSET(INDIRECT(""&amp;$B$3&amp;"!$A$4"),0,0,200,100),MATCH(E$4,INDIRECT(""&amp;$B$3&amp;"!$A$4"):INDIRECT(""&amp;$B$3&amp;"!$o$4"),0),FALSE))</f>
        <v>8077.7138629999999</v>
      </c>
      <c r="F10" s="90">
        <f ca="1">IF(ISERROR(VLOOKUP($B10,OFFSET(INDIRECT(""&amp;$B$3&amp;"!$A$4"),0,0,200,100),MATCH(F$4,INDIRECT(""&amp;$B$3&amp;"!$A$4"):INDIRECT(""&amp;$B$3&amp;"!$o$4"),0),FALSE)),"",VLOOKUP($B10,OFFSET(INDIRECT(""&amp;$B$3&amp;"!$A$4"),0,0,200,100),MATCH(F$4,INDIRECT(""&amp;$B$3&amp;"!$A$4"):INDIRECT(""&amp;$B$3&amp;"!$o$4"),0),FALSE))</f>
        <v>10601.267393</v>
      </c>
      <c r="G10" s="90">
        <f ca="1">IF(ISERROR(VLOOKUP($B10,OFFSET(INDIRECT(""&amp;$B$3&amp;"!$A$4"),0,0,200,100),MATCH(G$4,INDIRECT(""&amp;$B$3&amp;"!$A$4"):INDIRECT(""&amp;$B$3&amp;"!$o$4"),0),FALSE)),"",VLOOKUP($B10,OFFSET(INDIRECT(""&amp;$B$3&amp;"!$A$4"),0,0,200,100),MATCH(G$4,INDIRECT(""&amp;$B$3&amp;"!$A$4"):INDIRECT(""&amp;$B$3&amp;"!$o$4"),0),FALSE))</f>
        <v>9037.655471</v>
      </c>
      <c r="H10" s="90">
        <f ca="1">IF(ISERROR(VLOOKUP($B10,OFFSET(INDIRECT(""&amp;$B$3&amp;"!$A$4"),0,0,200,100),MATCH(H$4,INDIRECT(""&amp;$B$3&amp;"!$A$4"):INDIRECT(""&amp;$B$3&amp;"!$o$4"),0),FALSE)),"",VLOOKUP($B10,OFFSET(INDIRECT(""&amp;$B$3&amp;"!$A$4"),0,0,200,100),MATCH(H$4,INDIRECT(""&amp;$B$3&amp;"!$A$4"):INDIRECT(""&amp;$B$3&amp;"!$o$4"),0),FALSE))</f>
        <v>3124.9562510000001</v>
      </c>
      <c r="I10" s="90">
        <f ca="1">IF(ISERROR(VLOOKUP($B10,OFFSET(INDIRECT(""&amp;$B$3&amp;"!$A$4"),0,0,200,100),MATCH(I$4,INDIRECT(""&amp;$B$3&amp;"!$A$4"):INDIRECT(""&amp;$B$3&amp;"!$o$4"),0),FALSE)),"",VLOOKUP($B10,OFFSET(INDIRECT(""&amp;$B$3&amp;"!$A$4"),0,0,200,100),MATCH(I$4,INDIRECT(""&amp;$B$3&amp;"!$A$4"):INDIRECT(""&amp;$B$3&amp;"!$o$4"),0),FALSE))</f>
        <v>4974.7517879999996</v>
      </c>
      <c r="J10" s="90">
        <f ca="1">IF(ISERROR(VLOOKUP($B10,OFFSET(INDIRECT(""&amp;$B$3&amp;"!$A$4"),0,0,200,100),MATCH(J$4,INDIRECT(""&amp;$B$3&amp;"!$A$4"):INDIRECT(""&amp;$B$3&amp;"!$o$4"),0),FALSE)),"",VLOOKUP($B10,OFFSET(INDIRECT(""&amp;$B$3&amp;"!$A$4"),0,0,200,100),MATCH(J$4,INDIRECT(""&amp;$B$3&amp;"!$A$4"):INDIRECT(""&amp;$B$3&amp;"!$o$4"),0),FALSE))</f>
        <v>1437.58177</v>
      </c>
      <c r="K10" s="91" t="s">
        <v>98</v>
      </c>
      <c r="L10" s="90">
        <f ca="1">IF(ISERROR(VLOOKUP($K10,OFFSET(INDIRECT(""&amp;$S$3&amp;"!$A$4"),0,0,200,100),MATCH(L$4,INDIRECT(""&amp;$S$3&amp;"!$A$4"):INDIRECT(""&amp;$S$3&amp;"!$AD$4"),0),FALSE)),"",VLOOKUP($K10,OFFSET(INDIRECT(""&amp;$S$3&amp;"!$A$4"),0,0,200,100),MATCH(L$4,INDIRECT(""&amp;$S$3&amp;"!$A$4"):INDIRECT(""&amp;$S$3&amp;"!$AD$4"),0),FALSE))</f>
        <v>793.27857800000004</v>
      </c>
      <c r="M10" s="90">
        <f ca="1">IF(ISERROR(VLOOKUP($K10,OFFSET(INDIRECT(""&amp;$S$3&amp;"!$A$4"),0,0,200,100),MATCH(M$4,INDIRECT(""&amp;$S$3&amp;"!$A$4"):INDIRECT(""&amp;$S$3&amp;"!$AD$4"),0),FALSE)),"",VLOOKUP($K10,OFFSET(INDIRECT(""&amp;$S$3&amp;"!$A$4"),0,0,200,100),MATCH(M$4,INDIRECT(""&amp;$S$3&amp;"!$A$4"):INDIRECT(""&amp;$S$3&amp;"!$AD$4"),0),FALSE))</f>
        <v>7669.597186</v>
      </c>
      <c r="N10" s="90">
        <f ca="1">IF(ISERROR(VLOOKUP($K10,OFFSET(INDIRECT(""&amp;$S$3&amp;"!$A$4"),0,0,200,100),MATCH(N$4,INDIRECT(""&amp;$S$3&amp;"!$A$4"):INDIRECT(""&amp;$S$3&amp;"!$AD$4"),0),FALSE)),"",VLOOKUP($K10,OFFSET(INDIRECT(""&amp;$S$3&amp;"!$A$4"),0,0,200,100),MATCH(N$4,INDIRECT(""&amp;$S$3&amp;"!$A$4"):INDIRECT(""&amp;$S$3&amp;"!$AD$4"),0),FALSE))</f>
        <v>1050.999354</v>
      </c>
      <c r="O10" s="90">
        <f ca="1">IF(ISERROR(VLOOKUP($K10,OFFSET(INDIRECT(""&amp;$S$3&amp;"!$A$4"),0,0,200,100),MATCH(O$4,INDIRECT(""&amp;$S$3&amp;"!$A$4"):INDIRECT(""&amp;$S$3&amp;"!$AD$4"),0),FALSE)),"",VLOOKUP($K10,OFFSET(INDIRECT(""&amp;$S$3&amp;"!$A$4"),0,0,200,100),MATCH(O$4,INDIRECT(""&amp;$S$3&amp;"!$A$4"):INDIRECT(""&amp;$S$3&amp;"!$AD$4"),0),FALSE))</f>
        <v>1087.3922749999999</v>
      </c>
      <c r="P10" s="90">
        <f ca="1">IF(ISERROR(VLOOKUP($K10,OFFSET(INDIRECT(""&amp;$S$3&amp;"!$A$4"),0,0,200,100),MATCH(P$4,INDIRECT(""&amp;$S$3&amp;"!$A$4"):INDIRECT(""&amp;$S$3&amp;"!$AD$4"),0),FALSE)),"",VLOOKUP($K10,OFFSET(INDIRECT(""&amp;$S$3&amp;"!$A$4"),0,0,200,100),MATCH(P$4,INDIRECT(""&amp;$S$3&amp;"!$A$4"):INDIRECT(""&amp;$S$3&amp;"!$AD$4"),0),FALSE))</f>
        <v>2277.1279</v>
      </c>
      <c r="Q10" s="90">
        <f ca="1">IF(ISERROR(VLOOKUP($K10,OFFSET(INDIRECT(""&amp;$S$3&amp;"!$A$4"),0,0,200,100),MATCH(Q$4,INDIRECT(""&amp;$S$3&amp;"!$A$4"):INDIRECT(""&amp;$S$3&amp;"!$AD$4"),0),FALSE)),"",VLOOKUP($K10,OFFSET(INDIRECT(""&amp;$S$3&amp;"!$A$4"),0,0,200,100),MATCH(Q$4,INDIRECT(""&amp;$S$3&amp;"!$A$4"):INDIRECT(""&amp;$S$3&amp;"!$AD$4"),0),FALSE))</f>
        <v>3392.030557</v>
      </c>
      <c r="R10" s="90">
        <f ca="1">IF(ISERROR(VLOOKUP($K10,OFFSET(INDIRECT(""&amp;$S$3&amp;"!$A$4"),0,0,200,100),MATCH(R$4,INDIRECT(""&amp;$S$3&amp;"!$A$4"):INDIRECT(""&amp;$S$3&amp;"!$AD$4"),0),FALSE)),"",VLOOKUP($K10,OFFSET(INDIRECT(""&amp;$S$3&amp;"!$A$4"),0,0,200,100),MATCH(R$4,INDIRECT(""&amp;$S$3&amp;"!$A$4"):INDIRECT(""&amp;$S$3&amp;"!$AD$4"),0),FALSE))</f>
        <v>1538.6548399999999</v>
      </c>
      <c r="S10" s="90">
        <f ca="1">IF(ISERROR(VLOOKUP($K10,OFFSET(INDIRECT(""&amp;$S$3&amp;"!$A$4"),0,0,200,100),MATCH(S$4,INDIRECT(""&amp;$S$3&amp;"!$A$4"):INDIRECT(""&amp;$S$3&amp;"!$AD$4"),0),FALSE)),"",VLOOKUP($K10,OFFSET(INDIRECT(""&amp;$S$3&amp;"!$A$4"),0,0,200,100),MATCH(S$4,INDIRECT(""&amp;$S$3&amp;"!$A$4"):INDIRECT(""&amp;$S$3&amp;"!$AD$4"),0),FALSE))</f>
        <v>1829.8421739999999</v>
      </c>
      <c r="T10" s="90">
        <f ca="1">IF(ISERROR(VLOOKUP($K10,OFFSET(INDIRECT(""&amp;$S$3&amp;"!$A$4"),0,0,200,100),MATCH(T$4,INDIRECT(""&amp;$S$3&amp;"!$A$4"):INDIRECT(""&amp;$S$3&amp;"!$AD$4"),0),FALSE)),"",VLOOKUP($K10,OFFSET(INDIRECT(""&amp;$S$3&amp;"!$A$4"),0,0,200,100),MATCH(T$4,INDIRECT(""&amp;$S$3&amp;"!$A$4"):INDIRECT(""&amp;$S$3&amp;"!$AD$4"),0),FALSE))</f>
        <v>419.57266499999997</v>
      </c>
      <c r="U10" s="90">
        <f ca="1">IF(ISERROR(VLOOKUP($K10,OFFSET(INDIRECT(""&amp;$S$3&amp;"!$A$4"),0,0,200,100),MATCH(U$4,INDIRECT(""&amp;$S$3&amp;"!$A$4"):INDIRECT(""&amp;$S$3&amp;"!$AD$4"),0),FALSE)),"",VLOOKUP($K10,OFFSET(INDIRECT(""&amp;$S$3&amp;"!$A$4"),0,0,200,100),MATCH(U$4,INDIRECT(""&amp;$S$3&amp;"!$A$4"):INDIRECT(""&amp;$S$3&amp;"!$AD$4"),0),FALSE))</f>
        <v>901.70128299999999</v>
      </c>
      <c r="V10" s="90">
        <f ca="1">IF(ISERROR(VLOOKUP($K10,OFFSET(INDIRECT(""&amp;$S$3&amp;"!$A$4"),0,0,200,100),MATCH(V$4,INDIRECT(""&amp;$S$3&amp;"!$A$4"):INDIRECT(""&amp;$S$3&amp;"!$AD$4"),0),FALSE)),"",VLOOKUP($K10,OFFSET(INDIRECT(""&amp;$S$3&amp;"!$A$4"),0,0,200,100),MATCH(V$4,INDIRECT(""&amp;$S$3&amp;"!$A$4"):INDIRECT(""&amp;$S$3&amp;"!$AD$4"),0),FALSE))</f>
        <v>890.490635</v>
      </c>
      <c r="W10" s="90">
        <f ca="1">IF(ISERROR(VLOOKUP($K10,OFFSET(INDIRECT(""&amp;$S$3&amp;"!$A$4"),0,0,200,100),MATCH(W$4,INDIRECT(""&amp;$S$3&amp;"!$A$4"):INDIRECT(""&amp;$S$3&amp;"!$AD$4"),0),FALSE)),"",VLOOKUP($K10,OFFSET(INDIRECT(""&amp;$S$3&amp;"!$A$4"),0,0,200,100),MATCH(W$4,INDIRECT(""&amp;$S$3&amp;"!$A$4"):INDIRECT(""&amp;$S$3&amp;"!$AD$4"),0),FALSE))</f>
        <v>914.65545699999996</v>
      </c>
      <c r="X10" s="90">
        <f ca="1">IF(ISERROR(VLOOKUP($K10,OFFSET(INDIRECT(""&amp;$S$3&amp;"!$A$4"),0,0,200,100),MATCH(X$4,INDIRECT(""&amp;$S$3&amp;"!$A$4"):INDIRECT(""&amp;$S$3&amp;"!$AD$4"),0),FALSE)),"",VLOOKUP($K10,OFFSET(INDIRECT(""&amp;$S$3&amp;"!$A$4"),0,0,200,100),MATCH(X$4,INDIRECT(""&amp;$S$3&amp;"!$A$4"):INDIRECT(""&amp;$S$3&amp;"!$AD$4"),0),FALSE))</f>
        <v>1263.8697999999999</v>
      </c>
      <c r="Y10" s="90">
        <f ca="1">IF(ISERROR(VLOOKUP($K10,OFFSET(INDIRECT(""&amp;$S$3&amp;"!$A$4"),0,0,200,100),MATCH(Y$4,INDIRECT(""&amp;$S$3&amp;"!$A$4"):INDIRECT(""&amp;$S$3&amp;"!$AD$4"),0),FALSE)),"",VLOOKUP($K10,OFFSET(INDIRECT(""&amp;$S$3&amp;"!$A$4"),0,0,200,100),MATCH(Y$4,INDIRECT(""&amp;$S$3&amp;"!$A$4"):INDIRECT(""&amp;$S$3&amp;"!$AD$4"),0),FALSE))</f>
        <v>895.15780099999995</v>
      </c>
      <c r="Z10" s="90">
        <f ca="1">IF(ISERROR(VLOOKUP($K10,OFFSET(INDIRECT(""&amp;$S$3&amp;"!$A$4"),0,0,200,100),MATCH(Z$4,INDIRECT(""&amp;$S$3&amp;"!$A$4"):INDIRECT(""&amp;$S$3&amp;"!$AD$4"),0),FALSE)),"",VLOOKUP($K10,OFFSET(INDIRECT(""&amp;$S$3&amp;"!$A$4"),0,0,200,100),MATCH(Z$4,INDIRECT(""&amp;$S$3&amp;"!$A$4"):INDIRECT(""&amp;$S$3&amp;"!$AD$4"),0),FALSE))</f>
        <v>1462.8569849999999</v>
      </c>
      <c r="AA10" s="90">
        <f t="shared" ca="1" si="21"/>
        <v>3069.0158919999999</v>
      </c>
      <c r="AB10" s="92"/>
      <c r="AC10" s="87">
        <f t="shared" ca="1" si="4"/>
        <v>4.1938903774322911E-2</v>
      </c>
      <c r="AD10" s="87">
        <f t="shared" ca="1" si="5"/>
        <v>4.4862019714763467E-2</v>
      </c>
      <c r="AE10" s="87">
        <f t="shared" ca="1" si="6"/>
        <v>4.1178403790947359E-2</v>
      </c>
      <c r="AF10" s="87">
        <f t="shared" ca="1" si="7"/>
        <v>1.4467430432672269E-2</v>
      </c>
      <c r="AG10" s="87">
        <f t="shared" ca="1" si="8"/>
        <v>3.3584046703116217E-2</v>
      </c>
      <c r="AH10" s="87">
        <f t="shared" ca="1" si="8"/>
        <v>8.4014932058055353E-3</v>
      </c>
      <c r="AI10" s="145"/>
      <c r="AJ10" s="87">
        <f t="shared" ca="1" si="9"/>
        <v>1.8954244601083085E-2</v>
      </c>
      <c r="AK10" s="87">
        <f t="shared" ca="1" si="10"/>
        <v>4.859583482701646E-2</v>
      </c>
      <c r="AL10" s="87">
        <f t="shared" ca="1" si="11"/>
        <v>4.8490940504388159E-2</v>
      </c>
      <c r="AM10" s="87">
        <f t="shared" ca="1" si="12"/>
        <v>2.8601644337398442E-2</v>
      </c>
      <c r="AN10" s="87">
        <f t="shared" ca="1" si="13"/>
        <v>3.7443633754856452E-2</v>
      </c>
      <c r="AO10" s="87">
        <f t="shared" ca="1" si="14"/>
        <v>8.520127166686679E-3</v>
      </c>
      <c r="AP10" s="87">
        <f t="shared" ca="1" si="15"/>
        <v>1.4626255049716555E-2</v>
      </c>
      <c r="AQ10" s="87">
        <f t="shared" ca="1" si="16"/>
        <v>1.6200320078050966E-2</v>
      </c>
      <c r="AR10" s="87">
        <f t="shared" ca="1" si="17"/>
        <v>1.8242924907368313E-2</v>
      </c>
      <c r="AS10" s="87">
        <f t="shared" ca="1" si="18"/>
        <v>3.4470254971444569E-2</v>
      </c>
      <c r="AT10" s="87">
        <f t="shared" ca="1" si="19"/>
        <v>2.5051298074674069E-2</v>
      </c>
      <c r="AU10" s="87">
        <f t="shared" ca="1" si="19"/>
        <v>4.16202200451571E-2</v>
      </c>
      <c r="AV10" s="87">
        <f t="shared" ca="1" si="20"/>
        <v>2.164776964310982E-2</v>
      </c>
    </row>
    <row r="11" spans="1:50" ht="15.95" customHeight="1" outlineLevel="1">
      <c r="A11" s="89" t="s">
        <v>217</v>
      </c>
      <c r="B11" s="111" t="s">
        <v>79</v>
      </c>
      <c r="C11" s="90">
        <f ca="1">IF(ISERROR(VLOOKUP($B11,OFFSET(INDIRECT(""&amp;$B$3&amp;"!$A$4"),0,0,200,100),MATCH(C$4,INDIRECT(""&amp;$B$3&amp;"!$A$4"):INDIRECT(""&amp;$B$3&amp;"!$o$4"),0),FALSE)),"",VLOOKUP($B11,OFFSET(INDIRECT(""&amp;$B$3&amp;"!$A$4"),0,0,200,100),MATCH(C$4,INDIRECT(""&amp;$B$3&amp;"!$A$4"):INDIRECT(""&amp;$B$3&amp;"!$o$4"),0),FALSE))</f>
        <v>4543.95244</v>
      </c>
      <c r="D11" s="90">
        <f ca="1">IF(ISERROR(VLOOKUP($B11,OFFSET(INDIRECT(""&amp;$B$3&amp;"!$A$4"),0,0,200,100),MATCH(D$4,INDIRECT(""&amp;$B$3&amp;"!$A$4"):INDIRECT(""&amp;$B$3&amp;"!$o$4"),0),FALSE)),"",VLOOKUP($B11,OFFSET(INDIRECT(""&amp;$B$3&amp;"!$A$4"),0,0,200,100),MATCH(D$4,INDIRECT(""&amp;$B$3&amp;"!$A$4"):INDIRECT(""&amp;$B$3&amp;"!$o$4"),0),FALSE))</f>
        <v>30364.305607999999</v>
      </c>
      <c r="E11" s="90">
        <f ca="1">IF(ISERROR(VLOOKUP($B11,OFFSET(INDIRECT(""&amp;$B$3&amp;"!$A$4"),0,0,200,100),MATCH(E$4,INDIRECT(""&amp;$B$3&amp;"!$A$4"):INDIRECT(""&amp;$B$3&amp;"!$o$4"),0),FALSE)),"",VLOOKUP($B11,OFFSET(INDIRECT(""&amp;$B$3&amp;"!$A$4"),0,0,200,100),MATCH(E$4,INDIRECT(""&amp;$B$3&amp;"!$A$4"):INDIRECT(""&amp;$B$3&amp;"!$o$4"),0),FALSE))</f>
        <v>13802.272322999999</v>
      </c>
      <c r="F11" s="90">
        <f ca="1">IF(ISERROR(VLOOKUP($B11,OFFSET(INDIRECT(""&amp;$B$3&amp;"!$A$4"),0,0,200,100),MATCH(F$4,INDIRECT(""&amp;$B$3&amp;"!$A$4"):INDIRECT(""&amp;$B$3&amp;"!$o$4"),0),FALSE)),"",VLOOKUP($B11,OFFSET(INDIRECT(""&amp;$B$3&amp;"!$A$4"),0,0,200,100),MATCH(F$4,INDIRECT(""&amp;$B$3&amp;"!$A$4"):INDIRECT(""&amp;$B$3&amp;"!$o$4"),0),FALSE))</f>
        <v>3079.331126</v>
      </c>
      <c r="G11" s="90">
        <f ca="1">IF(ISERROR(VLOOKUP($B11,OFFSET(INDIRECT(""&amp;$B$3&amp;"!$A$4"),0,0,200,100),MATCH(G$4,INDIRECT(""&amp;$B$3&amp;"!$A$4"):INDIRECT(""&amp;$B$3&amp;"!$o$4"),0),FALSE)),"",VLOOKUP($B11,OFFSET(INDIRECT(""&amp;$B$3&amp;"!$A$4"),0,0,200,100),MATCH(G$4,INDIRECT(""&amp;$B$3&amp;"!$A$4"):INDIRECT(""&amp;$B$3&amp;"!$o$4"),0),FALSE))</f>
        <v>13572.220249</v>
      </c>
      <c r="H11" s="90">
        <f ca="1">IF(ISERROR(VLOOKUP($B11,OFFSET(INDIRECT(""&amp;$B$3&amp;"!$A$4"),0,0,200,100),MATCH(H$4,INDIRECT(""&amp;$B$3&amp;"!$A$4"):INDIRECT(""&amp;$B$3&amp;"!$o$4"),0),FALSE)),"",VLOOKUP($B11,OFFSET(INDIRECT(""&amp;$B$3&amp;"!$A$4"),0,0,200,100),MATCH(H$4,INDIRECT(""&amp;$B$3&amp;"!$A$4"):INDIRECT(""&amp;$B$3&amp;"!$o$4"),0),FALSE))</f>
        <v>6684.653405</v>
      </c>
      <c r="I11" s="90">
        <f ca="1">IF(ISERROR(VLOOKUP($B11,OFFSET(INDIRECT(""&amp;$B$3&amp;"!$A$4"),0,0,200,100),MATCH(I$4,INDIRECT(""&amp;$B$3&amp;"!$A$4"):INDIRECT(""&amp;$B$3&amp;"!$o$4"),0),FALSE)),"",VLOOKUP($B11,OFFSET(INDIRECT(""&amp;$B$3&amp;"!$A$4"),0,0,200,100),MATCH(I$4,INDIRECT(""&amp;$B$3&amp;"!$A$4"):INDIRECT(""&amp;$B$3&amp;"!$o$4"),0),FALSE))</f>
        <v>-6835.4874289999998</v>
      </c>
      <c r="J11" s="90">
        <f ca="1">IF(ISERROR(VLOOKUP($B11,OFFSET(INDIRECT(""&amp;$B$3&amp;"!$A$4"),0,0,200,100),MATCH(J$4,INDIRECT(""&amp;$B$3&amp;"!$A$4"):INDIRECT(""&amp;$B$3&amp;"!$o$4"),0),FALSE)),"",VLOOKUP($B11,OFFSET(INDIRECT(""&amp;$B$3&amp;"!$A$4"),0,0,200,100),MATCH(J$4,INDIRECT(""&amp;$B$3&amp;"!$A$4"):INDIRECT(""&amp;$B$3&amp;"!$o$4"),0),FALSE))</f>
        <v>-2319.3397249999998</v>
      </c>
      <c r="K11" s="91" t="s">
        <v>79</v>
      </c>
      <c r="L11" s="90">
        <f ca="1">IF(ISERROR(VLOOKUP($K11,OFFSET(INDIRECT(""&amp;$S$3&amp;"!$A$4"),0,0,200,100),MATCH(L$4,INDIRECT(""&amp;$S$3&amp;"!$A$4"):INDIRECT(""&amp;$S$3&amp;"!$AD$4"),0),FALSE)),"",VLOOKUP($K11,OFFSET(INDIRECT(""&amp;$S$3&amp;"!$A$4"),0,0,200,100),MATCH(L$4,INDIRECT(""&amp;$S$3&amp;"!$A$4"):INDIRECT(""&amp;$S$3&amp;"!$AD$4"),0),FALSE))</f>
        <v>0</v>
      </c>
      <c r="M11" s="90">
        <f ca="1">IF(ISERROR(VLOOKUP($K11,OFFSET(INDIRECT(""&amp;$S$3&amp;"!$A$4"),0,0,200,100),MATCH(M$4,INDIRECT(""&amp;$S$3&amp;"!$A$4"):INDIRECT(""&amp;$S$3&amp;"!$AD$4"),0),FALSE)),"",VLOOKUP($K11,OFFSET(INDIRECT(""&amp;$S$3&amp;"!$A$4"),0,0,200,100),MATCH(M$4,INDIRECT(""&amp;$S$3&amp;"!$A$4"):INDIRECT(""&amp;$S$3&amp;"!$AD$4"),0),FALSE))</f>
        <v>1075.7504160000001</v>
      </c>
      <c r="N11" s="90">
        <f ca="1">IF(ISERROR(VLOOKUP($K11,OFFSET(INDIRECT(""&amp;$S$3&amp;"!$A$4"),0,0,200,100),MATCH(N$4,INDIRECT(""&amp;$S$3&amp;"!$A$4"):INDIRECT(""&amp;$S$3&amp;"!$AD$4"),0),FALSE)),"",VLOOKUP($K11,OFFSET(INDIRECT(""&amp;$S$3&amp;"!$A$4"),0,0,200,100),MATCH(N$4,INDIRECT(""&amp;$S$3&amp;"!$A$4"):INDIRECT(""&amp;$S$3&amp;"!$AD$4"),0),FALSE))</f>
        <v>393.96727800000002</v>
      </c>
      <c r="O11" s="90">
        <f ca="1">IF(ISERROR(VLOOKUP($K11,OFFSET(INDIRECT(""&amp;$S$3&amp;"!$A$4"),0,0,200,100),MATCH(O$4,INDIRECT(""&amp;$S$3&amp;"!$A$4"):INDIRECT(""&amp;$S$3&amp;"!$AD$4"),0),FALSE)),"",VLOOKUP($K11,OFFSET(INDIRECT(""&amp;$S$3&amp;"!$A$4"),0,0,200,100),MATCH(O$4,INDIRECT(""&amp;$S$3&amp;"!$A$4"):INDIRECT(""&amp;$S$3&amp;"!$AD$4"),0),FALSE))</f>
        <v>1609.6134320000001</v>
      </c>
      <c r="P11" s="90">
        <f ca="1">IF(ISERROR(VLOOKUP($K11,OFFSET(INDIRECT(""&amp;$S$3&amp;"!$A$4"),0,0,200,100),MATCH(P$4,INDIRECT(""&amp;$S$3&amp;"!$A$4"):INDIRECT(""&amp;$S$3&amp;"!$AD$4"),0),FALSE)),"",VLOOKUP($K11,OFFSET(INDIRECT(""&amp;$S$3&amp;"!$A$4"),0,0,200,100),MATCH(P$4,INDIRECT(""&amp;$S$3&amp;"!$A$4"):INDIRECT(""&amp;$S$3&amp;"!$AD$4"),0),FALSE))</f>
        <v>1597.5611429999999</v>
      </c>
      <c r="Q11" s="90">
        <f ca="1">IF(ISERROR(VLOOKUP($K11,OFFSET(INDIRECT(""&amp;$S$3&amp;"!$A$4"),0,0,200,100),MATCH(Q$4,INDIRECT(""&amp;$S$3&amp;"!$A$4"):INDIRECT(""&amp;$S$3&amp;"!$AD$4"),0),FALSE)),"",VLOOKUP($K11,OFFSET(INDIRECT(""&amp;$S$3&amp;"!$A$4"),0,0,200,100),MATCH(Q$4,INDIRECT(""&amp;$S$3&amp;"!$A$4"):INDIRECT(""&amp;$S$3&amp;"!$AD$4"),0),FALSE))</f>
        <v>3120.0564979999999</v>
      </c>
      <c r="R11" s="90">
        <f ca="1">IF(ISERROR(VLOOKUP($K11,OFFSET(INDIRECT(""&amp;$S$3&amp;"!$A$4"),0,0,200,100),MATCH(R$4,INDIRECT(""&amp;$S$3&amp;"!$A$4"):INDIRECT(""&amp;$S$3&amp;"!$AD$4"),0),FALSE)),"",VLOOKUP($K11,OFFSET(INDIRECT(""&amp;$S$3&amp;"!$A$4"),0,0,200,100),MATCH(R$4,INDIRECT(""&amp;$S$3&amp;"!$A$4"):INDIRECT(""&amp;$S$3&amp;"!$AD$4"),0),FALSE))</f>
        <v>2458.6218359999998</v>
      </c>
      <c r="S11" s="90">
        <f ca="1">IF(ISERROR(VLOOKUP($K11,OFFSET(INDIRECT(""&amp;$S$3&amp;"!$A$4"),0,0,200,100),MATCH(S$4,INDIRECT(""&amp;$S$3&amp;"!$A$4"):INDIRECT(""&amp;$S$3&amp;"!$AD$4"),0),FALSE)),"",VLOOKUP($K11,OFFSET(INDIRECT(""&amp;$S$3&amp;"!$A$4"),0,0,200,100),MATCH(S$4,INDIRECT(""&amp;$S$3&amp;"!$A$4"):INDIRECT(""&amp;$S$3&amp;"!$AD$4"),0),FALSE))</f>
        <v>2577.721403</v>
      </c>
      <c r="T11" s="90">
        <f ca="1">IF(ISERROR(VLOOKUP($K11,OFFSET(INDIRECT(""&amp;$S$3&amp;"!$A$4"),0,0,200,100),MATCH(T$4,INDIRECT(""&amp;$S$3&amp;"!$A$4"):INDIRECT(""&amp;$S$3&amp;"!$AD$4"),0),FALSE)),"",VLOOKUP($K11,OFFSET(INDIRECT(""&amp;$S$3&amp;"!$A$4"),0,0,200,100),MATCH(T$4,INDIRECT(""&amp;$S$3&amp;"!$A$4"):INDIRECT(""&amp;$S$3&amp;"!$AD$4"),0),FALSE))</f>
        <v>1323.1563510000001</v>
      </c>
      <c r="U11" s="90">
        <f ca="1">IF(ISERROR(VLOOKUP($K11,OFFSET(INDIRECT(""&amp;$S$3&amp;"!$A$4"),0,0,200,100),MATCH(U$4,INDIRECT(""&amp;$S$3&amp;"!$A$4"):INDIRECT(""&amp;$S$3&amp;"!$AD$4"),0),FALSE)),"",VLOOKUP($K11,OFFSET(INDIRECT(""&amp;$S$3&amp;"!$A$4"),0,0,200,100),MATCH(U$4,INDIRECT(""&amp;$S$3&amp;"!$A$4"):INDIRECT(""&amp;$S$3&amp;"!$AD$4"),0),FALSE))</f>
        <v>547.04597100000001</v>
      </c>
      <c r="V11" s="90">
        <f ca="1">IF(ISERROR(VLOOKUP($K11,OFFSET(INDIRECT(""&amp;$S$3&amp;"!$A$4"),0,0,200,100),MATCH(V$4,INDIRECT(""&amp;$S$3&amp;"!$A$4"):INDIRECT(""&amp;$S$3&amp;"!$AD$4"),0),FALSE)),"",VLOOKUP($K11,OFFSET(INDIRECT(""&amp;$S$3&amp;"!$A$4"),0,0,200,100),MATCH(V$4,INDIRECT(""&amp;$S$3&amp;"!$A$4"):INDIRECT(""&amp;$S$3&amp;"!$AD$4"),0),FALSE))</f>
        <v>1416.7469140000001</v>
      </c>
      <c r="W11" s="90">
        <f ca="1">IF(ISERROR(VLOOKUP($K11,OFFSET(INDIRECT(""&amp;$S$3&amp;"!$A$4"),0,0,200,100),MATCH(W$4,INDIRECT(""&amp;$S$3&amp;"!$A$4"):INDIRECT(""&amp;$S$3&amp;"!$AD$4"),0),FALSE)),"",VLOOKUP($K11,OFFSET(INDIRECT(""&amp;$S$3&amp;"!$A$4"),0,0,200,100),MATCH(W$4,INDIRECT(""&amp;$S$3&amp;"!$A$4"):INDIRECT(""&amp;$S$3&amp;"!$AD$4"),0),FALSE))</f>
        <v>728.13343099999997</v>
      </c>
      <c r="X11" s="90">
        <f ca="1">IF(ISERROR(VLOOKUP($K11,OFFSET(INDIRECT(""&amp;$S$3&amp;"!$A$4"),0,0,200,100),MATCH(X$4,INDIRECT(""&amp;$S$3&amp;"!$A$4"):INDIRECT(""&amp;$S$3&amp;"!$AD$4"),0),FALSE)),"",VLOOKUP($K11,OFFSET(INDIRECT(""&amp;$S$3&amp;"!$A$4"),0,0,200,100),MATCH(X$4,INDIRECT(""&amp;$S$3&amp;"!$A$4"):INDIRECT(""&amp;$S$3&amp;"!$AD$4"),0),FALSE))</f>
        <v>2525.2130200000001</v>
      </c>
      <c r="Y11" s="90">
        <f ca="1">IF(ISERROR(VLOOKUP($K11,OFFSET(INDIRECT(""&amp;$S$3&amp;"!$A$4"),0,0,200,100),MATCH(Y$4,INDIRECT(""&amp;$S$3&amp;"!$A$4"):INDIRECT(""&amp;$S$3&amp;"!$AD$4"),0),FALSE)),"",VLOOKUP($K11,OFFSET(INDIRECT(""&amp;$S$3&amp;"!$A$4"),0,0,200,100),MATCH(Y$4,INDIRECT(""&amp;$S$3&amp;"!$A$4"):INDIRECT(""&amp;$S$3&amp;"!$AD$4"),0),FALSE))</f>
        <v>-1737.6673579999999</v>
      </c>
      <c r="Z11" s="90">
        <f ca="1">IF(ISERROR(VLOOKUP($K11,OFFSET(INDIRECT(""&amp;$S$3&amp;"!$A$4"),0,0,200,100),MATCH(Z$4,INDIRECT(""&amp;$S$3&amp;"!$A$4"):INDIRECT(""&amp;$S$3&amp;"!$AD$4"),0),FALSE)),"",VLOOKUP($K11,OFFSET(INDIRECT(""&amp;$S$3&amp;"!$A$4"),0,0,200,100),MATCH(Z$4,INDIRECT(""&amp;$S$3&amp;"!$A$4"):INDIRECT(""&amp;$S$3&amp;"!$AD$4"),0),FALSE))</f>
        <v>-492.76418200000001</v>
      </c>
      <c r="AA11" s="90">
        <f t="shared" ca="1" si="21"/>
        <v>4670.0933650000006</v>
      </c>
      <c r="AB11" s="92"/>
      <c r="AC11" s="87">
        <f t="shared" ca="1" si="4"/>
        <v>7.1660395582063385E-2</v>
      </c>
      <c r="AD11" s="87">
        <f t="shared" ca="1" si="5"/>
        <v>1.3030990405365468E-2</v>
      </c>
      <c r="AE11" s="87">
        <f t="shared" ca="1" si="6"/>
        <v>6.18393086067879E-2</v>
      </c>
      <c r="AF11" s="87">
        <f t="shared" ca="1" si="7"/>
        <v>3.0947555848954925E-2</v>
      </c>
      <c r="AG11" s="87">
        <f t="shared" ca="1" si="8"/>
        <v>-4.6145685018466248E-2</v>
      </c>
      <c r="AH11" s="87">
        <f t="shared" ca="1" si="8"/>
        <v>-1.3554649445465894E-2</v>
      </c>
      <c r="AI11" s="145"/>
      <c r="AJ11" s="87">
        <f t="shared" ca="1" si="9"/>
        <v>2.8057038296797551E-2</v>
      </c>
      <c r="AK11" s="87">
        <f t="shared" ca="1" si="10"/>
        <v>3.4093305620333234E-2</v>
      </c>
      <c r="AL11" s="87">
        <f t="shared" ca="1" si="11"/>
        <v>4.460292189957641E-2</v>
      </c>
      <c r="AM11" s="87">
        <f t="shared" ca="1" si="12"/>
        <v>4.5702665396635388E-2</v>
      </c>
      <c r="AN11" s="87">
        <f t="shared" ca="1" si="13"/>
        <v>5.2747312040031018E-2</v>
      </c>
      <c r="AO11" s="87">
        <f t="shared" ca="1" si="14"/>
        <v>2.6868910470917155E-2</v>
      </c>
      <c r="AP11" s="87">
        <f t="shared" ca="1" si="15"/>
        <v>8.8734862050383126E-3</v>
      </c>
      <c r="AQ11" s="87">
        <f t="shared" ca="1" si="16"/>
        <v>2.5774278329598544E-2</v>
      </c>
      <c r="AR11" s="87">
        <f t="shared" ca="1" si="17"/>
        <v>1.4522718257042495E-2</v>
      </c>
      <c r="AS11" s="87">
        <f t="shared" ca="1" si="18"/>
        <v>6.8871601059390428E-2</v>
      </c>
      <c r="AT11" s="87">
        <f t="shared" ca="1" si="19"/>
        <v>-4.8629216984156495E-2</v>
      </c>
      <c r="AU11" s="87">
        <f t="shared" ca="1" si="19"/>
        <v>-1.4019794071128451E-2</v>
      </c>
      <c r="AV11" s="87">
        <f t="shared" ca="1" si="20"/>
        <v>3.2941212732350234E-2</v>
      </c>
    </row>
    <row r="12" spans="1:50" ht="15.95" customHeight="1" outlineLevel="1">
      <c r="A12" s="98" t="s">
        <v>218</v>
      </c>
      <c r="B12" s="117" t="s">
        <v>99</v>
      </c>
      <c r="C12" s="90">
        <f ca="1">IF(ISERROR(VLOOKUP($B12,OFFSET(INDIRECT(""&amp;$B$3&amp;"!$A$4"),0,0,200,100),MATCH(C$4,INDIRECT(""&amp;$B$3&amp;"!$A$4"):INDIRECT(""&amp;$B$3&amp;"!$o$4"),0),FALSE)),"",VLOOKUP($B12,OFFSET(INDIRECT(""&amp;$B$3&amp;"!$A$4"),0,0,200,100),MATCH(C$4,INDIRECT(""&amp;$B$3&amp;"!$A$4"):INDIRECT(""&amp;$B$3&amp;"!$o$4"),0),FALSE))</f>
        <v>107.537215</v>
      </c>
      <c r="D12" s="90">
        <f ca="1">IF(ISERROR(VLOOKUP($B12,OFFSET(INDIRECT(""&amp;$B$3&amp;"!$A$4"),0,0,200,100),MATCH(D$4,INDIRECT(""&amp;$B$3&amp;"!$A$4"):INDIRECT(""&amp;$B$3&amp;"!$o$4"),0),FALSE)),"",VLOOKUP($B12,OFFSET(INDIRECT(""&amp;$B$3&amp;"!$A$4"),0,0,200,100),MATCH(D$4,INDIRECT(""&amp;$B$3&amp;"!$A$4"):INDIRECT(""&amp;$B$3&amp;"!$o$4"),0),FALSE))</f>
        <v>164.89819299999999</v>
      </c>
      <c r="E12" s="90">
        <f ca="1">IF(ISERROR(VLOOKUP($B12,OFFSET(INDIRECT(""&amp;$B$3&amp;"!$A$4"),0,0,200,100),MATCH(E$4,INDIRECT(""&amp;$B$3&amp;"!$A$4"):INDIRECT(""&amp;$B$3&amp;"!$o$4"),0),FALSE)),"",VLOOKUP($B12,OFFSET(INDIRECT(""&amp;$B$3&amp;"!$A$4"),0,0,200,100),MATCH(E$4,INDIRECT(""&amp;$B$3&amp;"!$A$4"):INDIRECT(""&amp;$B$3&amp;"!$o$4"),0),FALSE))</f>
        <v>614.61596299999997</v>
      </c>
      <c r="F12" s="90">
        <f ca="1">IF(ISERROR(VLOOKUP($B12,OFFSET(INDIRECT(""&amp;$B$3&amp;"!$A$4"),0,0,200,100),MATCH(F$4,INDIRECT(""&amp;$B$3&amp;"!$A$4"):INDIRECT(""&amp;$B$3&amp;"!$o$4"),0),FALSE)),"",VLOOKUP($B12,OFFSET(INDIRECT(""&amp;$B$3&amp;"!$A$4"),0,0,200,100),MATCH(F$4,INDIRECT(""&amp;$B$3&amp;"!$A$4"):INDIRECT(""&amp;$B$3&amp;"!$o$4"),0),FALSE))</f>
        <v>1283.5399990000001</v>
      </c>
      <c r="G12" s="90">
        <f ca="1">IF(ISERROR(VLOOKUP($B12,OFFSET(INDIRECT(""&amp;$B$3&amp;"!$A$4"),0,0,200,100),MATCH(G$4,INDIRECT(""&amp;$B$3&amp;"!$A$4"):INDIRECT(""&amp;$B$3&amp;"!$o$4"),0),FALSE)),"",VLOOKUP($B12,OFFSET(INDIRECT(""&amp;$B$3&amp;"!$A$4"),0,0,200,100),MATCH(G$4,INDIRECT(""&amp;$B$3&amp;"!$A$4"):INDIRECT(""&amp;$B$3&amp;"!$o$4"),0),FALSE))</f>
        <v>8090.7236329999996</v>
      </c>
      <c r="H12" s="90">
        <f ca="1">IF(ISERROR(VLOOKUP($B12,OFFSET(INDIRECT(""&amp;$B$3&amp;"!$A$4"),0,0,200,100),MATCH(H$4,INDIRECT(""&amp;$B$3&amp;"!$A$4"):INDIRECT(""&amp;$B$3&amp;"!$o$4"),0),FALSE)),"",VLOOKUP($B12,OFFSET(INDIRECT(""&amp;$B$3&amp;"!$A$4"),0,0,200,100),MATCH(H$4,INDIRECT(""&amp;$B$3&amp;"!$A$4"):INDIRECT(""&amp;$B$3&amp;"!$o$4"),0),FALSE))</f>
        <v>4019.591238</v>
      </c>
      <c r="I12" s="90">
        <f ca="1">IF(ISERROR(VLOOKUP($B12,OFFSET(INDIRECT(""&amp;$B$3&amp;"!$A$4"),0,0,200,100),MATCH(I$4,INDIRECT(""&amp;$B$3&amp;"!$A$4"):INDIRECT(""&amp;$B$3&amp;"!$o$4"),0),FALSE)),"",VLOOKUP($B12,OFFSET(INDIRECT(""&amp;$B$3&amp;"!$A$4"),0,0,200,100),MATCH(I$4,INDIRECT(""&amp;$B$3&amp;"!$A$4"):INDIRECT(""&amp;$B$3&amp;"!$o$4"),0),FALSE))</f>
        <v>-2645.4536149999999</v>
      </c>
      <c r="J12" s="90">
        <f ca="1">IF(ISERROR(VLOOKUP($B12,OFFSET(INDIRECT(""&amp;$B$3&amp;"!$A$4"),0,0,200,100),MATCH(J$4,INDIRECT(""&amp;$B$3&amp;"!$A$4"):INDIRECT(""&amp;$B$3&amp;"!$o$4"),0),FALSE)),"",VLOOKUP($B12,OFFSET(INDIRECT(""&amp;$B$3&amp;"!$A$4"),0,0,200,100),MATCH(J$4,INDIRECT(""&amp;$B$3&amp;"!$A$4"):INDIRECT(""&amp;$B$3&amp;"!$o$4"),0),FALSE))</f>
        <v>-774.53977799999996</v>
      </c>
      <c r="K12" s="91" t="s">
        <v>99</v>
      </c>
      <c r="L12" s="90">
        <f ca="1">IF(ISERROR(VLOOKUP($K12,OFFSET(INDIRECT(""&amp;$S$3&amp;"!$A$4"),0,0,200,100),MATCH(L$4,INDIRECT(""&amp;$S$3&amp;"!$A$4"):INDIRECT(""&amp;$S$3&amp;"!$AD$4"),0),FALSE)),"",VLOOKUP($K12,OFFSET(INDIRECT(""&amp;$S$3&amp;"!$A$4"),0,0,200,100),MATCH(L$4,INDIRECT(""&amp;$S$3&amp;"!$A$4"):INDIRECT(""&amp;$S$3&amp;"!$AD$4"),0),FALSE))</f>
        <v>0</v>
      </c>
      <c r="M12" s="90">
        <f ca="1">IF(ISERROR(VLOOKUP($K12,OFFSET(INDIRECT(""&amp;$S$3&amp;"!$A$4"),0,0,200,100),MATCH(M$4,INDIRECT(""&amp;$S$3&amp;"!$A$4"):INDIRECT(""&amp;$S$3&amp;"!$AD$4"),0),FALSE)),"",VLOOKUP($K12,OFFSET(INDIRECT(""&amp;$S$3&amp;"!$A$4"),0,0,200,100),MATCH(M$4,INDIRECT(""&amp;$S$3&amp;"!$A$4"):INDIRECT(""&amp;$S$3&amp;"!$AD$4"),0),FALSE))</f>
        <v>0</v>
      </c>
      <c r="N12" s="90">
        <f ca="1">IF(ISERROR(VLOOKUP($K12,OFFSET(INDIRECT(""&amp;$S$3&amp;"!$A$4"),0,0,200,100),MATCH(N$4,INDIRECT(""&amp;$S$3&amp;"!$A$4"):INDIRECT(""&amp;$S$3&amp;"!$AD$4"),0),FALSE)),"",VLOOKUP($K12,OFFSET(INDIRECT(""&amp;$S$3&amp;"!$A$4"),0,0,200,100),MATCH(N$4,INDIRECT(""&amp;$S$3&amp;"!$A$4"):INDIRECT(""&amp;$S$3&amp;"!$AD$4"),0),FALSE))</f>
        <v>0</v>
      </c>
      <c r="O12" s="90">
        <f ca="1">IF(ISERROR(VLOOKUP($K12,OFFSET(INDIRECT(""&amp;$S$3&amp;"!$A$4"),0,0,200,100),MATCH(O$4,INDIRECT(""&amp;$S$3&amp;"!$A$4"):INDIRECT(""&amp;$S$3&amp;"!$AD$4"),0),FALSE)),"",VLOOKUP($K12,OFFSET(INDIRECT(""&amp;$S$3&amp;"!$A$4"),0,0,200,100),MATCH(O$4,INDIRECT(""&amp;$S$3&amp;"!$A$4"):INDIRECT(""&amp;$S$3&amp;"!$AD$4"),0),FALSE))</f>
        <v>885.97222099999999</v>
      </c>
      <c r="P12" s="90">
        <f ca="1">IF(ISERROR(VLOOKUP($K12,OFFSET(INDIRECT(""&amp;$S$3&amp;"!$A$4"),0,0,200,100),MATCH(P$4,INDIRECT(""&amp;$S$3&amp;"!$A$4"):INDIRECT(""&amp;$S$3&amp;"!$AD$4"),0),FALSE)),"",VLOOKUP($K12,OFFSET(INDIRECT(""&amp;$S$3&amp;"!$A$4"),0,0,200,100),MATCH(P$4,INDIRECT(""&amp;$S$3&amp;"!$A$4"):INDIRECT(""&amp;$S$3&amp;"!$AD$4"),0),FALSE))</f>
        <v>1594.1666680000001</v>
      </c>
      <c r="Q12" s="90">
        <f ca="1">IF(ISERROR(VLOOKUP($K12,OFFSET(INDIRECT(""&amp;$S$3&amp;"!$A$4"),0,0,200,100),MATCH(Q$4,INDIRECT(""&amp;$S$3&amp;"!$A$4"):INDIRECT(""&amp;$S$3&amp;"!$AD$4"),0),FALSE)),"",VLOOKUP($K12,OFFSET(INDIRECT(""&amp;$S$3&amp;"!$A$4"),0,0,200,100),MATCH(Q$4,INDIRECT(""&amp;$S$3&amp;"!$A$4"):INDIRECT(""&amp;$S$3&amp;"!$AD$4"),0),FALSE))</f>
        <v>2162.1290979999999</v>
      </c>
      <c r="R12" s="90">
        <f ca="1">IF(ISERROR(VLOOKUP($K12,OFFSET(INDIRECT(""&amp;$S$3&amp;"!$A$4"),0,0,200,100),MATCH(R$4,INDIRECT(""&amp;$S$3&amp;"!$A$4"):INDIRECT(""&amp;$S$3&amp;"!$AD$4"),0),FALSE)),"",VLOOKUP($K12,OFFSET(INDIRECT(""&amp;$S$3&amp;"!$A$4"),0,0,200,100),MATCH(R$4,INDIRECT(""&amp;$S$3&amp;"!$A$4"):INDIRECT(""&amp;$S$3&amp;"!$AD$4"),0),FALSE))</f>
        <v>2456.387025</v>
      </c>
      <c r="S12" s="90">
        <f ca="1">IF(ISERROR(VLOOKUP($K12,OFFSET(INDIRECT(""&amp;$S$3&amp;"!$A$4"),0,0,200,100),MATCH(S$4,INDIRECT(""&amp;$S$3&amp;"!$A$4"):INDIRECT(""&amp;$S$3&amp;"!$AD$4"),0),FALSE)),"",VLOOKUP($K12,OFFSET(INDIRECT(""&amp;$S$3&amp;"!$A$4"),0,0,200,100),MATCH(S$4,INDIRECT(""&amp;$S$3&amp;"!$A$4"):INDIRECT(""&amp;$S$3&amp;"!$AD$4"),0),FALSE))</f>
        <v>2385.4611399999999</v>
      </c>
      <c r="T12" s="90">
        <f ca="1">IF(ISERROR(VLOOKUP($K12,OFFSET(INDIRECT(""&amp;$S$3&amp;"!$A$4"),0,0,200,100),MATCH(T$4,INDIRECT(""&amp;$S$3&amp;"!$A$4"):INDIRECT(""&amp;$S$3&amp;"!$AD$4"),0),FALSE)),"",VLOOKUP($K12,OFFSET(INDIRECT(""&amp;$S$3&amp;"!$A$4"),0,0,200,100),MATCH(T$4,INDIRECT(""&amp;$S$3&amp;"!$A$4"):INDIRECT(""&amp;$S$3&amp;"!$AD$4"),0),FALSE))</f>
        <v>1316.467067</v>
      </c>
      <c r="U12" s="90">
        <f ca="1">IF(ISERROR(VLOOKUP($K12,OFFSET(INDIRECT(""&amp;$S$3&amp;"!$A$4"),0,0,200,100),MATCH(U$4,INDIRECT(""&amp;$S$3&amp;"!$A$4"):INDIRECT(""&amp;$S$3&amp;"!$AD$4"),0),FALSE)),"",VLOOKUP($K12,OFFSET(INDIRECT(""&amp;$S$3&amp;"!$A$4"),0,0,200,100),MATCH(U$4,INDIRECT(""&amp;$S$3&amp;"!$A$4"):INDIRECT(""&amp;$S$3&amp;"!$AD$4"),0),FALSE))</f>
        <v>1286.3569620000001</v>
      </c>
      <c r="V12" s="90">
        <f ca="1">IF(ISERROR(VLOOKUP($K12,OFFSET(INDIRECT(""&amp;$S$3&amp;"!$A$4"),0,0,200,100),MATCH(V$4,INDIRECT(""&amp;$S$3&amp;"!$A$4"):INDIRECT(""&amp;$S$3&amp;"!$AD$4"),0),FALSE)),"",VLOOKUP($K12,OFFSET(INDIRECT(""&amp;$S$3&amp;"!$A$4"),0,0,200,100),MATCH(V$4,INDIRECT(""&amp;$S$3&amp;"!$A$4"):INDIRECT(""&amp;$S$3&amp;"!$AD$4"),0),FALSE))</f>
        <v>1415.3841030000001</v>
      </c>
      <c r="W12" s="90">
        <f ca="1">IF(ISERROR(VLOOKUP($K12,OFFSET(INDIRECT(""&amp;$S$3&amp;"!$A$4"),0,0,200,100),MATCH(W$4,INDIRECT(""&amp;$S$3&amp;"!$A$4"):INDIRECT(""&amp;$S$3&amp;"!$AD$4"),0),FALSE)),"",VLOOKUP($K12,OFFSET(INDIRECT(""&amp;$S$3&amp;"!$A$4"),0,0,200,100),MATCH(W$4,INDIRECT(""&amp;$S$3&amp;"!$A$4"):INDIRECT(""&amp;$S$3&amp;"!$AD$4"),0),FALSE))</f>
        <v>152.980763</v>
      </c>
      <c r="X12" s="90">
        <f ca="1">IF(ISERROR(VLOOKUP($K12,OFFSET(INDIRECT(""&amp;$S$3&amp;"!$A$4"),0,0,200,100),MATCH(X$4,INDIRECT(""&amp;$S$3&amp;"!$A$4"):INDIRECT(""&amp;$S$3&amp;"!$AD$4"),0),FALSE)),"",VLOOKUP($K12,OFFSET(INDIRECT(""&amp;$S$3&amp;"!$A$4"),0,0,200,100),MATCH(X$4,INDIRECT(""&amp;$S$3&amp;"!$A$4"):INDIRECT(""&amp;$S$3&amp;"!$AD$4"),0),FALSE))</f>
        <v>889.84662700000001</v>
      </c>
      <c r="Y12" s="90">
        <f ca="1">IF(ISERROR(VLOOKUP($K12,OFFSET(INDIRECT(""&amp;$S$3&amp;"!$A$4"),0,0,200,100),MATCH(Y$4,INDIRECT(""&amp;$S$3&amp;"!$A$4"):INDIRECT(""&amp;$S$3&amp;"!$AD$4"),0),FALSE)),"",VLOOKUP($K12,OFFSET(INDIRECT(""&amp;$S$3&amp;"!$A$4"),0,0,200,100),MATCH(Y$4,INDIRECT(""&amp;$S$3&amp;"!$A$4"):INDIRECT(""&amp;$S$3&amp;"!$AD$4"),0),FALSE))</f>
        <v>-927.52747199999999</v>
      </c>
      <c r="Z12" s="90">
        <f ca="1">IF(ISERROR(VLOOKUP($K12,OFFSET(INDIRECT(""&amp;$S$3&amp;"!$A$4"),0,0,200,100),MATCH(Z$4,INDIRECT(""&amp;$S$3&amp;"!$A$4"):INDIRECT(""&amp;$S$3&amp;"!$AD$4"),0),FALSE)),"",VLOOKUP($K12,OFFSET(INDIRECT(""&amp;$S$3&amp;"!$A$4"),0,0,200,100),MATCH(Z$4,INDIRECT(""&amp;$S$3&amp;"!$A$4"):INDIRECT(""&amp;$S$3&amp;"!$AD$4"),0),FALSE))</f>
        <v>-483.41521499999999</v>
      </c>
      <c r="AA12" s="90">
        <f t="shared" ca="1" si="21"/>
        <v>2458.2114930000002</v>
      </c>
      <c r="AB12" s="92"/>
      <c r="AC12" s="87">
        <f t="shared" ca="1" si="4"/>
        <v>3.1910414465766541E-3</v>
      </c>
      <c r="AD12" s="87">
        <f t="shared" ca="1" si="5"/>
        <v>5.4316332760219709E-3</v>
      </c>
      <c r="AE12" s="87">
        <f t="shared" ca="1" si="6"/>
        <v>3.6863884199800176E-2</v>
      </c>
      <c r="AF12" s="87">
        <f t="shared" ca="1" si="7"/>
        <v>1.8609270636968031E-2</v>
      </c>
      <c r="AG12" s="87">
        <f t="shared" ca="1" si="8"/>
        <v>-1.7859190074849141E-2</v>
      </c>
      <c r="AH12" s="87">
        <f t="shared" ca="1" si="8"/>
        <v>-4.5265534234571764E-3</v>
      </c>
      <c r="AI12" s="145"/>
      <c r="AJ12" s="87">
        <f t="shared" ca="1" si="9"/>
        <v>1.5443308337461601E-2</v>
      </c>
      <c r="AK12" s="87">
        <f t="shared" ca="1" si="10"/>
        <v>3.4020864653611767E-2</v>
      </c>
      <c r="AL12" s="87">
        <f t="shared" ca="1" si="11"/>
        <v>3.090882340006126E-2</v>
      </c>
      <c r="AM12" s="87">
        <f t="shared" ca="1" si="12"/>
        <v>4.5661123091160757E-2</v>
      </c>
      <c r="AN12" s="87">
        <f t="shared" ca="1" si="13"/>
        <v>4.8813135106264276E-2</v>
      </c>
      <c r="AO12" s="87">
        <f t="shared" ca="1" si="14"/>
        <v>2.6733073332112885E-2</v>
      </c>
      <c r="AP12" s="87">
        <f t="shared" ca="1" si="15"/>
        <v>2.0865651813861897E-2</v>
      </c>
      <c r="AQ12" s="87">
        <f t="shared" ca="1" si="16"/>
        <v>2.5749485284575799E-2</v>
      </c>
      <c r="AR12" s="87">
        <f t="shared" ca="1" si="17"/>
        <v>3.0512216926301123E-3</v>
      </c>
      <c r="AS12" s="87">
        <f t="shared" ca="1" si="18"/>
        <v>2.4269303782850051E-2</v>
      </c>
      <c r="AT12" s="87">
        <f t="shared" ca="1" si="19"/>
        <v>-2.595717441948641E-2</v>
      </c>
      <c r="AU12" s="87">
        <f t="shared" ca="1" si="19"/>
        <v>-1.3753803569169087E-2</v>
      </c>
      <c r="AV12" s="87">
        <f t="shared" ca="1" si="20"/>
        <v>1.7339368060368805E-2</v>
      </c>
    </row>
    <row r="13" spans="1:50" ht="15.95" customHeight="1" outlineLevel="1">
      <c r="A13" s="89" t="s">
        <v>219</v>
      </c>
      <c r="B13" s="111" t="s">
        <v>80</v>
      </c>
      <c r="C13" s="90">
        <f ca="1">IF(ISERROR(VLOOKUP($B13,OFFSET(INDIRECT(""&amp;$B$3&amp;"!$A$4"),0,0,200,100),MATCH(C$4,INDIRECT(""&amp;$B$3&amp;"!$A$4"):INDIRECT(""&amp;$B$3&amp;"!$o$4"),0),FALSE)),"",VLOOKUP($B13,OFFSET(INDIRECT(""&amp;$B$3&amp;"!$A$4"),0,0,200,100),MATCH(C$4,INDIRECT(""&amp;$B$3&amp;"!$A$4"):INDIRECT(""&amp;$B$3&amp;"!$o$4"),0),FALSE))</f>
        <v>4196.9246949999997</v>
      </c>
      <c r="D13" s="90">
        <f ca="1">IF(ISERROR(VLOOKUP($B13,OFFSET(INDIRECT(""&amp;$B$3&amp;"!$A$4"),0,0,200,100),MATCH(D$4,INDIRECT(""&amp;$B$3&amp;"!$A$4"):INDIRECT(""&amp;$B$3&amp;"!$o$4"),0),FALSE)),"",VLOOKUP($B13,OFFSET(INDIRECT(""&amp;$B$3&amp;"!$A$4"),0,0,200,100),MATCH(D$4,INDIRECT(""&amp;$B$3&amp;"!$A$4"):INDIRECT(""&amp;$B$3&amp;"!$o$4"),0),FALSE))</f>
        <v>6090.890856</v>
      </c>
      <c r="E13" s="90">
        <f ca="1">IF(ISERROR(VLOOKUP($B13,OFFSET(INDIRECT(""&amp;$B$3&amp;"!$A$4"),0,0,200,100),MATCH(E$4,INDIRECT(""&amp;$B$3&amp;"!$A$4"):INDIRECT(""&amp;$B$3&amp;"!$o$4"),0),FALSE)),"",VLOOKUP($B13,OFFSET(INDIRECT(""&amp;$B$3&amp;"!$A$4"),0,0,200,100),MATCH(E$4,INDIRECT(""&amp;$B$3&amp;"!$A$4"):INDIRECT(""&amp;$B$3&amp;"!$o$4"),0),FALSE))</f>
        <v>6792.0959249999996</v>
      </c>
      <c r="F13" s="90">
        <f ca="1">IF(ISERROR(VLOOKUP($B13,OFFSET(INDIRECT(""&amp;$B$3&amp;"!$A$4"),0,0,200,100),MATCH(F$4,INDIRECT(""&amp;$B$3&amp;"!$A$4"):INDIRECT(""&amp;$B$3&amp;"!$o$4"),0),FALSE)),"",VLOOKUP($B13,OFFSET(INDIRECT(""&amp;$B$3&amp;"!$A$4"),0,0,200,100),MATCH(F$4,INDIRECT(""&amp;$B$3&amp;"!$A$4"):INDIRECT(""&amp;$B$3&amp;"!$o$4"),0),FALSE))</f>
        <v>8542.2622790000005</v>
      </c>
      <c r="G13" s="90">
        <f ca="1">IF(ISERROR(VLOOKUP($B13,OFFSET(INDIRECT(""&amp;$B$3&amp;"!$A$4"),0,0,200,100),MATCH(G$4,INDIRECT(""&amp;$B$3&amp;"!$A$4"):INDIRECT(""&amp;$B$3&amp;"!$o$4"),0),FALSE)),"",VLOOKUP($B13,OFFSET(INDIRECT(""&amp;$B$3&amp;"!$A$4"),0,0,200,100),MATCH(G$4,INDIRECT(""&amp;$B$3&amp;"!$A$4"):INDIRECT(""&amp;$B$3&amp;"!$o$4"),0),FALSE))</f>
        <v>6528.2653300000002</v>
      </c>
      <c r="H13" s="90">
        <f ca="1">IF(ISERROR(VLOOKUP($B13,OFFSET(INDIRECT(""&amp;$B$3&amp;"!$A$4"),0,0,200,100),MATCH(H$4,INDIRECT(""&amp;$B$3&amp;"!$A$4"):INDIRECT(""&amp;$B$3&amp;"!$o$4"),0),FALSE)),"",VLOOKUP($B13,OFFSET(INDIRECT(""&amp;$B$3&amp;"!$A$4"),0,0,200,100),MATCH(H$4,INDIRECT(""&amp;$B$3&amp;"!$A$4"):INDIRECT(""&amp;$B$3&amp;"!$o$4"),0),FALSE))</f>
        <v>3817.5390520000001</v>
      </c>
      <c r="I13" s="90">
        <f ca="1">IF(ISERROR(VLOOKUP($B13,OFFSET(INDIRECT(""&amp;$B$3&amp;"!$A$4"),0,0,200,100),MATCH(I$4,INDIRECT(""&amp;$B$3&amp;"!$A$4"):INDIRECT(""&amp;$B$3&amp;"!$o$4"),0),FALSE)),"",VLOOKUP($B13,OFFSET(INDIRECT(""&amp;$B$3&amp;"!$A$4"),0,0,200,100),MATCH(I$4,INDIRECT(""&amp;$B$3&amp;"!$A$4"):INDIRECT(""&amp;$B$3&amp;"!$o$4"),0),FALSE))</f>
        <v>-1221.3484289999999</v>
      </c>
      <c r="J13" s="90">
        <f ca="1">IF(ISERROR(VLOOKUP($B13,OFFSET(INDIRECT(""&amp;$B$3&amp;"!$A$4"),0,0,200,100),MATCH(J$4,INDIRECT(""&amp;$B$3&amp;"!$A$4"):INDIRECT(""&amp;$B$3&amp;"!$o$4"),0),FALSE)),"",VLOOKUP($B13,OFFSET(INDIRECT(""&amp;$B$3&amp;"!$A$4"),0,0,200,100),MATCH(J$4,INDIRECT(""&amp;$B$3&amp;"!$A$4"):INDIRECT(""&amp;$B$3&amp;"!$o$4"),0),FALSE))</f>
        <v>-321.48605800000001</v>
      </c>
      <c r="K13" s="94" t="s">
        <v>80</v>
      </c>
      <c r="L13" s="90">
        <f ca="1">IF(ISERROR(VLOOKUP($K13,OFFSET(INDIRECT(""&amp;$S$3&amp;"!$A$4"),0,0,200,100),MATCH(L$4,INDIRECT(""&amp;$S$3&amp;"!$A$4"):INDIRECT(""&amp;$S$3&amp;"!$AD$4"),0),FALSE)),"",VLOOKUP($K13,OFFSET(INDIRECT(""&amp;$S$3&amp;"!$A$4"),0,0,200,100),MATCH(L$4,INDIRECT(""&amp;$S$3&amp;"!$A$4"):INDIRECT(""&amp;$S$3&amp;"!$AD$4"),0),FALSE))</f>
        <v>1989.1643630000001</v>
      </c>
      <c r="M13" s="90">
        <f ca="1">IF(ISERROR(VLOOKUP($K13,OFFSET(INDIRECT(""&amp;$S$3&amp;"!$A$4"),0,0,200,100),MATCH(M$4,INDIRECT(""&amp;$S$3&amp;"!$A$4"):INDIRECT(""&amp;$S$3&amp;"!$AD$4"),0),FALSE)),"",VLOOKUP($K13,OFFSET(INDIRECT(""&amp;$S$3&amp;"!$A$4"),0,0,200,100),MATCH(M$4,INDIRECT(""&amp;$S$3&amp;"!$A$4"):INDIRECT(""&amp;$S$3&amp;"!$AD$4"),0),FALSE))</f>
        <v>2547.0555730000001</v>
      </c>
      <c r="N13" s="90">
        <f ca="1">IF(ISERROR(VLOOKUP($K13,OFFSET(INDIRECT(""&amp;$S$3&amp;"!$A$4"),0,0,200,100),MATCH(N$4,INDIRECT(""&amp;$S$3&amp;"!$A$4"):INDIRECT(""&amp;$S$3&amp;"!$AD$4"),0),FALSE)),"",VLOOKUP($K13,OFFSET(INDIRECT(""&amp;$S$3&amp;"!$A$4"),0,0,200,100),MATCH(N$4,INDIRECT(""&amp;$S$3&amp;"!$A$4"):INDIRECT(""&amp;$S$3&amp;"!$AD$4"),0),FALSE))</f>
        <v>1986.1069210000001</v>
      </c>
      <c r="O13" s="90">
        <f ca="1">IF(ISERROR(VLOOKUP($K13,OFFSET(INDIRECT(""&amp;$S$3&amp;"!$A$4"),0,0,200,100),MATCH(O$4,INDIRECT(""&amp;$S$3&amp;"!$A$4"):INDIRECT(""&amp;$S$3&amp;"!$AD$4"),0),FALSE)),"",VLOOKUP($K13,OFFSET(INDIRECT(""&amp;$S$3&amp;"!$A$4"),0,0,200,100),MATCH(O$4,INDIRECT(""&amp;$S$3&amp;"!$A$4"):INDIRECT(""&amp;$S$3&amp;"!$AD$4"),0),FALSE))</f>
        <v>2019.935422</v>
      </c>
      <c r="P13" s="90">
        <f ca="1">IF(ISERROR(VLOOKUP($K13,OFFSET(INDIRECT(""&amp;$S$3&amp;"!$A$4"),0,0,200,100),MATCH(P$4,INDIRECT(""&amp;$S$3&amp;"!$A$4"):INDIRECT(""&amp;$S$3&amp;"!$AD$4"),0),FALSE)),"",VLOOKUP($K13,OFFSET(INDIRECT(""&amp;$S$3&amp;"!$A$4"),0,0,200,100),MATCH(P$4,INDIRECT(""&amp;$S$3&amp;"!$A$4"):INDIRECT(""&amp;$S$3&amp;"!$AD$4"),0),FALSE))</f>
        <v>1360.3542629999999</v>
      </c>
      <c r="Q13" s="90">
        <f ca="1">IF(ISERROR(VLOOKUP($K13,OFFSET(INDIRECT(""&amp;$S$3&amp;"!$A$4"),0,0,200,100),MATCH(Q$4,INDIRECT(""&amp;$S$3&amp;"!$A$4"):INDIRECT(""&amp;$S$3&amp;"!$AD$4"),0),FALSE)),"",VLOOKUP($K13,OFFSET(INDIRECT(""&amp;$S$3&amp;"!$A$4"),0,0,200,100),MATCH(Q$4,INDIRECT(""&amp;$S$3&amp;"!$A$4"):INDIRECT(""&amp;$S$3&amp;"!$AD$4"),0),FALSE))</f>
        <v>2235.5278979999998</v>
      </c>
      <c r="R13" s="90">
        <f ca="1">IF(ISERROR(VLOOKUP($K13,OFFSET(INDIRECT(""&amp;$S$3&amp;"!$A$4"),0,0,200,100),MATCH(R$4,INDIRECT(""&amp;$S$3&amp;"!$A$4"):INDIRECT(""&amp;$S$3&amp;"!$AD$4"),0),FALSE)),"",VLOOKUP($K13,OFFSET(INDIRECT(""&amp;$S$3&amp;"!$A$4"),0,0,200,100),MATCH(R$4,INDIRECT(""&amp;$S$3&amp;"!$A$4"):INDIRECT(""&amp;$S$3&amp;"!$AD$4"),0),FALSE))</f>
        <v>1510.08998</v>
      </c>
      <c r="S13" s="90">
        <f ca="1">IF(ISERROR(VLOOKUP($K13,OFFSET(INDIRECT(""&amp;$S$3&amp;"!$A$4"),0,0,200,100),MATCH(S$4,INDIRECT(""&amp;$S$3&amp;"!$A$4"):INDIRECT(""&amp;$S$3&amp;"!$AD$4"),0),FALSE)),"",VLOOKUP($K13,OFFSET(INDIRECT(""&amp;$S$3&amp;"!$A$4"),0,0,200,100),MATCH(S$4,INDIRECT(""&amp;$S$3&amp;"!$A$4"):INDIRECT(""&amp;$S$3&amp;"!$AD$4"),0),FALSE))</f>
        <v>1422.293189</v>
      </c>
      <c r="T13" s="90">
        <f ca="1">IF(ISERROR(VLOOKUP($K13,OFFSET(INDIRECT(""&amp;$S$3&amp;"!$A$4"),0,0,200,100),MATCH(T$4,INDIRECT(""&amp;$S$3&amp;"!$A$4"):INDIRECT(""&amp;$S$3&amp;"!$AD$4"),0),FALSE)),"",VLOOKUP($K13,OFFSET(INDIRECT(""&amp;$S$3&amp;"!$A$4"),0,0,200,100),MATCH(T$4,INDIRECT(""&amp;$S$3&amp;"!$A$4"):INDIRECT(""&amp;$S$3&amp;"!$AD$4"),0),FALSE))</f>
        <v>1094.561406</v>
      </c>
      <c r="U13" s="90">
        <f ca="1">IF(ISERROR(VLOOKUP($K13,OFFSET(INDIRECT(""&amp;$S$3&amp;"!$A$4"),0,0,200,100),MATCH(U$4,INDIRECT(""&amp;$S$3&amp;"!$A$4"):INDIRECT(""&amp;$S$3&amp;"!$AD$4"),0),FALSE)),"",VLOOKUP($K13,OFFSET(INDIRECT(""&amp;$S$3&amp;"!$A$4"),0,0,200,100),MATCH(U$4,INDIRECT(""&amp;$S$3&amp;"!$A$4"):INDIRECT(""&amp;$S$3&amp;"!$AD$4"),0),FALSE))</f>
        <v>1219.7867940000001</v>
      </c>
      <c r="V13" s="90">
        <f ca="1">IF(ISERROR(VLOOKUP($K13,OFFSET(INDIRECT(""&amp;$S$3&amp;"!$A$4"),0,0,200,100),MATCH(V$4,INDIRECT(""&amp;$S$3&amp;"!$A$4"):INDIRECT(""&amp;$S$3&amp;"!$AD$4"),0),FALSE)),"",VLOOKUP($K13,OFFSET(INDIRECT(""&amp;$S$3&amp;"!$A$4"),0,0,200,100),MATCH(V$4,INDIRECT(""&amp;$S$3&amp;"!$A$4"):INDIRECT(""&amp;$S$3&amp;"!$AD$4"),0),FALSE))</f>
        <v>872.76149499999997</v>
      </c>
      <c r="W13" s="90">
        <f ca="1">IF(ISERROR(VLOOKUP($K13,OFFSET(INDIRECT(""&amp;$S$3&amp;"!$A$4"),0,0,200,100),MATCH(W$4,INDIRECT(""&amp;$S$3&amp;"!$A$4"):INDIRECT(""&amp;$S$3&amp;"!$AD$4"),0),FALSE)),"",VLOOKUP($K13,OFFSET(INDIRECT(""&amp;$S$3&amp;"!$A$4"),0,0,200,100),MATCH(W$4,INDIRECT(""&amp;$S$3&amp;"!$A$4"):INDIRECT(""&amp;$S$3&amp;"!$AD$4"),0),FALSE))</f>
        <v>630.42935699999998</v>
      </c>
      <c r="X13" s="90">
        <f ca="1">IF(ISERROR(VLOOKUP($K13,OFFSET(INDIRECT(""&amp;$S$3&amp;"!$A$4"),0,0,200,100),MATCH(X$4,INDIRECT(""&amp;$S$3&amp;"!$A$4"):INDIRECT(""&amp;$S$3&amp;"!$AD$4"),0),FALSE)),"",VLOOKUP($K13,OFFSET(INDIRECT(""&amp;$S$3&amp;"!$A$4"),0,0,200,100),MATCH(X$4,INDIRECT(""&amp;$S$3&amp;"!$A$4"):INDIRECT(""&amp;$S$3&amp;"!$AD$4"),0),FALSE))</f>
        <v>699.73728800000004</v>
      </c>
      <c r="Y13" s="90">
        <f ca="1">IF(ISERROR(VLOOKUP($K13,OFFSET(INDIRECT(""&amp;$S$3&amp;"!$A$4"),0,0,200,100),MATCH(Y$4,INDIRECT(""&amp;$S$3&amp;"!$A$4"):INDIRECT(""&amp;$S$3&amp;"!$AD$4"),0),FALSE)),"",VLOOKUP($K13,OFFSET(INDIRECT(""&amp;$S$3&amp;"!$A$4"),0,0,200,100),MATCH(Y$4,INDIRECT(""&amp;$S$3&amp;"!$A$4"):INDIRECT(""&amp;$S$3&amp;"!$AD$4"),0),FALSE))</f>
        <v>-412.240341</v>
      </c>
      <c r="Z13" s="90">
        <f ca="1">IF(ISERROR(VLOOKUP($K13,OFFSET(INDIRECT(""&amp;$S$3&amp;"!$A$4"),0,0,200,100),MATCH(Z$4,INDIRECT(""&amp;$S$3&amp;"!$A$4"):INDIRECT(""&amp;$S$3&amp;"!$AD$4"),0),FALSE)),"",VLOOKUP($K13,OFFSET(INDIRECT(""&amp;$S$3&amp;"!$A$4"),0,0,200,100),MATCH(Z$4,INDIRECT(""&amp;$S$3&amp;"!$A$4"):INDIRECT(""&amp;$S$3&amp;"!$AD$4"),0),FALSE))</f>
        <v>-1.818182</v>
      </c>
      <c r="AA13" s="90">
        <f t="shared" ca="1" si="21"/>
        <v>2202.92814</v>
      </c>
      <c r="AB13" s="95"/>
      <c r="AC13" s="258">
        <f t="shared" ca="1" si="4"/>
        <v>3.5264068801609365E-2</v>
      </c>
      <c r="AD13" s="258">
        <f t="shared" ca="1" si="5"/>
        <v>3.6148804153569407E-2</v>
      </c>
      <c r="AE13" s="258">
        <f t="shared" ca="1" si="6"/>
        <v>2.9744832238381109E-2</v>
      </c>
      <c r="AF13" s="258">
        <f t="shared" ca="1" si="7"/>
        <v>1.7673841238944003E-2</v>
      </c>
      <c r="AG13" s="258">
        <f t="shared" ca="1" si="8"/>
        <v>-8.2451998468056273E-3</v>
      </c>
      <c r="AH13" s="258">
        <f t="shared" ca="1" si="8"/>
        <v>-1.8788238613016109E-3</v>
      </c>
      <c r="AI13" s="145"/>
      <c r="AJ13" s="87">
        <f t="shared" ca="1" si="9"/>
        <v>3.5209326888937097E-2</v>
      </c>
      <c r="AK13" s="87">
        <f t="shared" ca="1" si="10"/>
        <v>2.9031110229239081E-2</v>
      </c>
      <c r="AL13" s="87">
        <f t="shared" ca="1" si="11"/>
        <v>3.1958099573752723E-2</v>
      </c>
      <c r="AM13" s="87">
        <f t="shared" ca="1" si="12"/>
        <v>2.8070659775410789E-2</v>
      </c>
      <c r="AN13" s="87">
        <f t="shared" ca="1" si="13"/>
        <v>2.9104053900193265E-2</v>
      </c>
      <c r="AO13" s="87">
        <f t="shared" ca="1" si="14"/>
        <v>2.2226906442695375E-2</v>
      </c>
      <c r="AP13" s="87">
        <f t="shared" ca="1" si="15"/>
        <v>1.9785834945207758E-2</v>
      </c>
      <c r="AQ13" s="87">
        <f t="shared" ca="1" si="16"/>
        <v>1.5877781320853844E-2</v>
      </c>
      <c r="AR13" s="87">
        <f t="shared" ca="1" si="17"/>
        <v>1.2573997488489801E-2</v>
      </c>
      <c r="AS13" s="87">
        <f t="shared" ca="1" si="18"/>
        <v>1.9084341385787639E-2</v>
      </c>
      <c r="AT13" s="87">
        <f t="shared" ca="1" si="19"/>
        <v>-1.1536687329607801E-2</v>
      </c>
      <c r="AU13" s="87">
        <f t="shared" ca="1" si="19"/>
        <v>-5.1729687657842932E-5</v>
      </c>
      <c r="AV13" s="87">
        <f t="shared" ca="1" si="20"/>
        <v>1.5538688163640301E-2</v>
      </c>
    </row>
    <row r="14" spans="1:50" ht="15.95" customHeight="1" outlineLevel="1">
      <c r="A14" s="89" t="s">
        <v>220</v>
      </c>
      <c r="B14" s="111" t="s">
        <v>100</v>
      </c>
      <c r="C14" s="90">
        <f ca="1">IF(ISERROR(VLOOKUP($B14,OFFSET(INDIRECT(""&amp;$B$3&amp;"!$A$4"),0,0,200,100),MATCH(C$4,INDIRECT(""&amp;$B$3&amp;"!$A$4"):INDIRECT(""&amp;$B$3&amp;"!$o$4"),0),FALSE)),"",VLOOKUP($B14,OFFSET(INDIRECT(""&amp;$B$3&amp;"!$A$4"),0,0,200,100),MATCH(C$4,INDIRECT(""&amp;$B$3&amp;"!$A$4"):INDIRECT(""&amp;$B$3&amp;"!$o$4"),0),FALSE))</f>
        <v>5739.9459900000002</v>
      </c>
      <c r="D14" s="90">
        <f ca="1">IF(ISERROR(VLOOKUP($B14,OFFSET(INDIRECT(""&amp;$B$3&amp;"!$A$4"),0,0,200,100),MATCH(D$4,INDIRECT(""&amp;$B$3&amp;"!$A$4"):INDIRECT(""&amp;$B$3&amp;"!$o$4"),0),FALSE)),"",VLOOKUP($B14,OFFSET(INDIRECT(""&amp;$B$3&amp;"!$A$4"),0,0,200,100),MATCH(D$4,INDIRECT(""&amp;$B$3&amp;"!$A$4"):INDIRECT(""&amp;$B$3&amp;"!$o$4"),0),FALSE))</f>
        <v>7917.8678659999996</v>
      </c>
      <c r="E14" s="90">
        <f ca="1">IF(ISERROR(VLOOKUP($B14,OFFSET(INDIRECT(""&amp;$B$3&amp;"!$A$4"),0,0,200,100),MATCH(E$4,INDIRECT(""&amp;$B$3&amp;"!$A$4"):INDIRECT(""&amp;$B$3&amp;"!$o$4"),0),FALSE)),"",VLOOKUP($B14,OFFSET(INDIRECT(""&amp;$B$3&amp;"!$A$4"),0,0,200,100),MATCH(E$4,INDIRECT(""&amp;$B$3&amp;"!$A$4"):INDIRECT(""&amp;$B$3&amp;"!$o$4"),0),FALSE))</f>
        <v>13555.379512</v>
      </c>
      <c r="F14" s="90">
        <f ca="1">IF(ISERROR(VLOOKUP($B14,OFFSET(INDIRECT(""&amp;$B$3&amp;"!$A$4"),0,0,200,100),MATCH(F$4,INDIRECT(""&amp;$B$3&amp;"!$A$4"):INDIRECT(""&amp;$B$3&amp;"!$o$4"),0),FALSE)),"",VLOOKUP($B14,OFFSET(INDIRECT(""&amp;$B$3&amp;"!$A$4"),0,0,200,100),MATCH(F$4,INDIRECT(""&amp;$B$3&amp;"!$A$4"):INDIRECT(""&amp;$B$3&amp;"!$o$4"),0),FALSE))</f>
        <v>18302.965</v>
      </c>
      <c r="G14" s="90">
        <f ca="1">IF(ISERROR(VLOOKUP($B14,OFFSET(INDIRECT(""&amp;$B$3&amp;"!$A$4"),0,0,200,100),MATCH(G$4,INDIRECT(""&amp;$B$3&amp;"!$A$4"):INDIRECT(""&amp;$B$3&amp;"!$o$4"),0),FALSE)),"",VLOOKUP($B14,OFFSET(INDIRECT(""&amp;$B$3&amp;"!$A$4"),0,0,200,100),MATCH(G$4,INDIRECT(""&amp;$B$3&amp;"!$A$4"):INDIRECT(""&amp;$B$3&amp;"!$o$4"),0),FALSE))</f>
        <v>20905.802082999999</v>
      </c>
      <c r="H14" s="90">
        <f ca="1">IF(ISERROR(VLOOKUP($B14,OFFSET(INDIRECT(""&amp;$B$3&amp;"!$A$4"),0,0,200,100),MATCH(H$4,INDIRECT(""&amp;$B$3&amp;"!$A$4"):INDIRECT(""&amp;$B$3&amp;"!$o$4"),0),FALSE)),"",VLOOKUP($B14,OFFSET(INDIRECT(""&amp;$B$3&amp;"!$A$4"),0,0,200,100),MATCH(H$4,INDIRECT(""&amp;$B$3&amp;"!$A$4"):INDIRECT(""&amp;$B$3&amp;"!$o$4"),0),FALSE))</f>
        <v>16871.68778</v>
      </c>
      <c r="I14" s="90">
        <f ca="1">IF(ISERROR(VLOOKUP($B14,OFFSET(INDIRECT(""&amp;$B$3&amp;"!$A$4"),0,0,200,100),MATCH(I$4,INDIRECT(""&amp;$B$3&amp;"!$A$4"):INDIRECT(""&amp;$B$3&amp;"!$o$4"),0),FALSE)),"",VLOOKUP($B14,OFFSET(INDIRECT(""&amp;$B$3&amp;"!$A$4"),0,0,200,100),MATCH(I$4,INDIRECT(""&amp;$B$3&amp;"!$A$4"):INDIRECT(""&amp;$B$3&amp;"!$o$4"),0),FALSE))</f>
        <v>-7321.2759269999997</v>
      </c>
      <c r="J14" s="90">
        <f ca="1">IF(ISERROR(VLOOKUP($B14,OFFSET(INDIRECT(""&amp;$B$3&amp;"!$A$4"),0,0,200,100),MATCH(J$4,INDIRECT(""&amp;$B$3&amp;"!$A$4"):INDIRECT(""&amp;$B$3&amp;"!$o$4"),0),FALSE)),"",VLOOKUP($B14,OFFSET(INDIRECT(""&amp;$B$3&amp;"!$A$4"),0,0,200,100),MATCH(J$4,INDIRECT(""&amp;$B$3&amp;"!$A$4"):INDIRECT(""&amp;$B$3&amp;"!$o$4"),0),FALSE))</f>
        <v>-10559.548016000001</v>
      </c>
      <c r="K14" s="94" t="s">
        <v>100</v>
      </c>
      <c r="L14" s="90">
        <f ca="1">IF(ISERROR(VLOOKUP($K14,OFFSET(INDIRECT(""&amp;$S$3&amp;"!$A$4"),0,0,200,100),MATCH(L$4,INDIRECT(""&amp;$S$3&amp;"!$A$4"):INDIRECT(""&amp;$S$3&amp;"!$AD$4"),0),FALSE)),"",VLOOKUP($K14,OFFSET(INDIRECT(""&amp;$S$3&amp;"!$A$4"),0,0,200,100),MATCH(L$4,INDIRECT(""&amp;$S$3&amp;"!$A$4"):INDIRECT(""&amp;$S$3&amp;"!$AD$4"),0),FALSE))</f>
        <v>2899.0846110000002</v>
      </c>
      <c r="M14" s="90">
        <f ca="1">IF(ISERROR(VLOOKUP($K14,OFFSET(INDIRECT(""&amp;$S$3&amp;"!$A$4"),0,0,200,100),MATCH(M$4,INDIRECT(""&amp;$S$3&amp;"!$A$4"):INDIRECT(""&amp;$S$3&amp;"!$AD$4"),0),FALSE)),"",VLOOKUP($K14,OFFSET(INDIRECT(""&amp;$S$3&amp;"!$A$4"),0,0,200,100),MATCH(M$4,INDIRECT(""&amp;$S$3&amp;"!$A$4"):INDIRECT(""&amp;$S$3&amp;"!$AD$4"),0),FALSE))</f>
        <v>5032.5884470000001</v>
      </c>
      <c r="N14" s="90">
        <f ca="1">IF(ISERROR(VLOOKUP($K14,OFFSET(INDIRECT(""&amp;$S$3&amp;"!$A$4"),0,0,200,100),MATCH(N$4,INDIRECT(""&amp;$S$3&amp;"!$A$4"):INDIRECT(""&amp;$S$3&amp;"!$AD$4"),0),FALSE)),"",VLOOKUP($K14,OFFSET(INDIRECT(""&amp;$S$3&amp;"!$A$4"),0,0,200,100),MATCH(N$4,INDIRECT(""&amp;$S$3&amp;"!$A$4"):INDIRECT(""&amp;$S$3&amp;"!$AD$4"),0),FALSE))</f>
        <v>4103.2710319999996</v>
      </c>
      <c r="O14" s="90">
        <f ca="1">IF(ISERROR(VLOOKUP($K14,OFFSET(INDIRECT(""&amp;$S$3&amp;"!$A$4"),0,0,200,100),MATCH(O$4,INDIRECT(""&amp;$S$3&amp;"!$A$4"):INDIRECT(""&amp;$S$3&amp;"!$AD$4"),0),FALSE)),"",VLOOKUP($K14,OFFSET(INDIRECT(""&amp;$S$3&amp;"!$A$4"),0,0,200,100),MATCH(O$4,INDIRECT(""&amp;$S$3&amp;"!$A$4"):INDIRECT(""&amp;$S$3&amp;"!$AD$4"),0),FALSE))</f>
        <v>5231.6112540000004</v>
      </c>
      <c r="P14" s="90">
        <f ca="1">IF(ISERROR(VLOOKUP($K14,OFFSET(INDIRECT(""&amp;$S$3&amp;"!$A$4"),0,0,200,100),MATCH(P$4,INDIRECT(""&amp;$S$3&amp;"!$A$4"):INDIRECT(""&amp;$S$3&amp;"!$AD$4"),0),FALSE)),"",VLOOKUP($K14,OFFSET(INDIRECT(""&amp;$S$3&amp;"!$A$4"),0,0,200,100),MATCH(P$4,INDIRECT(""&amp;$S$3&amp;"!$A$4"):INDIRECT(""&amp;$S$3&amp;"!$AD$4"),0),FALSE))</f>
        <v>3588.708842</v>
      </c>
      <c r="Q14" s="90">
        <f ca="1">IF(ISERROR(VLOOKUP($K14,OFFSET(INDIRECT(""&amp;$S$3&amp;"!$A$4"),0,0,200,100),MATCH(Q$4,INDIRECT(""&amp;$S$3&amp;"!$A$4"):INDIRECT(""&amp;$S$3&amp;"!$AD$4"),0),FALSE)),"",VLOOKUP($K14,OFFSET(INDIRECT(""&amp;$S$3&amp;"!$A$4"),0,0,200,100),MATCH(Q$4,INDIRECT(""&amp;$S$3&amp;"!$A$4"):INDIRECT(""&amp;$S$3&amp;"!$AD$4"),0),FALSE))</f>
        <v>6568.9543249999997</v>
      </c>
      <c r="R14" s="90">
        <f ca="1">IF(ISERROR(VLOOKUP($K14,OFFSET(INDIRECT(""&amp;$S$3&amp;"!$A$4"),0,0,200,100),MATCH(R$4,INDIRECT(""&amp;$S$3&amp;"!$A$4"):INDIRECT(""&amp;$S$3&amp;"!$AD$4"),0),FALSE)),"",VLOOKUP($K14,OFFSET(INDIRECT(""&amp;$S$3&amp;"!$A$4"),0,0,200,100),MATCH(R$4,INDIRECT(""&amp;$S$3&amp;"!$A$4"):INDIRECT(""&amp;$S$3&amp;"!$AD$4"),0),FALSE))</f>
        <v>4265.1486779999996</v>
      </c>
      <c r="S14" s="90">
        <f ca="1">IF(ISERROR(VLOOKUP($K14,OFFSET(INDIRECT(""&amp;$S$3&amp;"!$A$4"),0,0,200,100),MATCH(S$4,INDIRECT(""&amp;$S$3&amp;"!$A$4"):INDIRECT(""&amp;$S$3&amp;"!$AD$4"),0),FALSE)),"",VLOOKUP($K14,OFFSET(INDIRECT(""&amp;$S$3&amp;"!$A$4"),0,0,200,100),MATCH(S$4,INDIRECT(""&amp;$S$3&amp;"!$A$4"):INDIRECT(""&amp;$S$3&amp;"!$AD$4"),0),FALSE))</f>
        <v>3149.9408060000001</v>
      </c>
      <c r="T14" s="90">
        <f ca="1">IF(ISERROR(VLOOKUP($K14,OFFSET(INDIRECT(""&amp;$S$3&amp;"!$A$4"),0,0,200,100),MATCH(T$4,INDIRECT(""&amp;$S$3&amp;"!$A$4"):INDIRECT(""&amp;$S$3&amp;"!$AD$4"),0),FALSE)),"",VLOOKUP($K14,OFFSET(INDIRECT(""&amp;$S$3&amp;"!$A$4"),0,0,200,100),MATCH(T$4,INDIRECT(""&amp;$S$3&amp;"!$A$4"):INDIRECT(""&amp;$S$3&amp;"!$AD$4"),0),FALSE))</f>
        <v>2369.2594180000001</v>
      </c>
      <c r="U14" s="90">
        <f ca="1">IF(ISERROR(VLOOKUP($K14,OFFSET(INDIRECT(""&amp;$S$3&amp;"!$A$4"),0,0,200,100),MATCH(U$4,INDIRECT(""&amp;$S$3&amp;"!$A$4"):INDIRECT(""&amp;$S$3&amp;"!$AD$4"),0),FALSE)),"",VLOOKUP($K14,OFFSET(INDIRECT(""&amp;$S$3&amp;"!$A$4"),0,0,200,100),MATCH(U$4,INDIRECT(""&amp;$S$3&amp;"!$A$4"):INDIRECT(""&amp;$S$3&amp;"!$AD$4"),0),FALSE))</f>
        <v>3508.3826089999998</v>
      </c>
      <c r="V14" s="90">
        <f ca="1">IF(ISERROR(VLOOKUP($K14,OFFSET(INDIRECT(""&amp;$S$3&amp;"!$A$4"),0,0,200,100),MATCH(V$4,INDIRECT(""&amp;$S$3&amp;"!$A$4"):INDIRECT(""&amp;$S$3&amp;"!$AD$4"),0),FALSE)),"",VLOOKUP($K14,OFFSET(INDIRECT(""&amp;$S$3&amp;"!$A$4"),0,0,200,100),MATCH(V$4,INDIRECT(""&amp;$S$3&amp;"!$A$4"):INDIRECT(""&amp;$S$3&amp;"!$AD$4"),0),FALSE))</f>
        <v>1856.2408350000001</v>
      </c>
      <c r="W14" s="90">
        <f ca="1">IF(ISERROR(VLOOKUP($K14,OFFSET(INDIRECT(""&amp;$S$3&amp;"!$A$4"),0,0,200,100),MATCH(W$4,INDIRECT(""&amp;$S$3&amp;"!$A$4"):INDIRECT(""&amp;$S$3&amp;"!$AD$4"),0),FALSE)),"",VLOOKUP($K14,OFFSET(INDIRECT(""&amp;$S$3&amp;"!$A$4"),0,0,200,100),MATCH(W$4,INDIRECT(""&amp;$S$3&amp;"!$A$4"):INDIRECT(""&amp;$S$3&amp;"!$AD$4"),0),FALSE))</f>
        <v>4029.7642740000001</v>
      </c>
      <c r="X14" s="90">
        <f ca="1">IF(ISERROR(VLOOKUP($K14,OFFSET(INDIRECT(""&amp;$S$3&amp;"!$A$4"),0,0,200,100),MATCH(X$4,INDIRECT(""&amp;$S$3&amp;"!$A$4"):INDIRECT(""&amp;$S$3&amp;"!$AD$4"),0),FALSE)),"",VLOOKUP($K14,OFFSET(INDIRECT(""&amp;$S$3&amp;"!$A$4"),0,0,200,100),MATCH(X$4,INDIRECT(""&amp;$S$3&amp;"!$A$4"):INDIRECT(""&amp;$S$3&amp;"!$AD$4"),0),FALSE))</f>
        <v>1679.7226760000001</v>
      </c>
      <c r="Y14" s="90">
        <f ca="1">IF(ISERROR(VLOOKUP($K14,OFFSET(INDIRECT(""&amp;$S$3&amp;"!$A$4"),0,0,200,100),MATCH(Y$4,INDIRECT(""&amp;$S$3&amp;"!$A$4"):INDIRECT(""&amp;$S$3&amp;"!$AD$4"),0),FALSE)),"",VLOOKUP($K14,OFFSET(INDIRECT(""&amp;$S$3&amp;"!$A$4"),0,0,200,100),MATCH(Y$4,INDIRECT(""&amp;$S$3&amp;"!$A$4"):INDIRECT(""&amp;$S$3&amp;"!$AD$4"),0),FALSE))</f>
        <v>-2299.9888019999999</v>
      </c>
      <c r="Z14" s="90">
        <f ca="1">IF(ISERROR(VLOOKUP($K14,OFFSET(INDIRECT(""&amp;$S$3&amp;"!$A$4"),0,0,200,100),MATCH(Z$4,INDIRECT(""&amp;$S$3&amp;"!$A$4"):INDIRECT(""&amp;$S$3&amp;"!$AD$4"),0),FALSE)),"",VLOOKUP($K14,OFFSET(INDIRECT(""&amp;$S$3&amp;"!$A$4"),0,0,200,100),MATCH(Z$4,INDIRECT(""&amp;$S$3&amp;"!$A$4"):INDIRECT(""&amp;$S$3&amp;"!$AD$4"),0),FALSE))</f>
        <v>-1745.8568600000001</v>
      </c>
      <c r="AA14" s="90">
        <f t="shared" ca="1" si="21"/>
        <v>7565.727785</v>
      </c>
      <c r="AB14" s="95"/>
      <c r="AC14" s="257">
        <f t="shared" ca="1" si="4"/>
        <v>7.0378546036670417E-2</v>
      </c>
      <c r="AD14" s="257">
        <f t="shared" ca="1" si="5"/>
        <v>7.745375587930195E-2</v>
      </c>
      <c r="AE14" s="257">
        <f t="shared" ca="1" si="6"/>
        <v>9.5253416387662854E-2</v>
      </c>
      <c r="AF14" s="257">
        <f t="shared" ca="1" si="7"/>
        <v>7.81098836698296E-2</v>
      </c>
      <c r="AG14" s="257">
        <f t="shared" ca="1" si="8"/>
        <v>-4.9425194087445889E-2</v>
      </c>
      <c r="AH14" s="257">
        <f t="shared" ca="1" si="8"/>
        <v>-6.1711947636064787E-2</v>
      </c>
      <c r="AI14" s="145"/>
      <c r="AJ14" s="87">
        <f t="shared" ca="1" si="9"/>
        <v>9.1191782069718133E-2</v>
      </c>
      <c r="AK14" s="87">
        <f t="shared" ca="1" si="10"/>
        <v>7.6586081145501542E-2</v>
      </c>
      <c r="AL14" s="87">
        <f t="shared" ca="1" si="11"/>
        <v>9.3906811273344992E-2</v>
      </c>
      <c r="AM14" s="87">
        <f t="shared" ca="1" si="12"/>
        <v>7.9283710916140976E-2</v>
      </c>
      <c r="AN14" s="87">
        <f t="shared" ca="1" si="13"/>
        <v>6.44565042631602E-2</v>
      </c>
      <c r="AO14" s="87">
        <f t="shared" ca="1" si="14"/>
        <v>4.8111789008538179E-2</v>
      </c>
      <c r="AP14" s="87">
        <f t="shared" ca="1" si="15"/>
        <v>5.6908534809331078E-2</v>
      </c>
      <c r="AQ14" s="87">
        <f t="shared" ca="1" si="16"/>
        <v>3.3769805640851677E-2</v>
      </c>
      <c r="AR14" s="87">
        <f t="shared" ca="1" si="17"/>
        <v>8.0374185145191332E-2</v>
      </c>
      <c r="AS14" s="87">
        <f t="shared" ca="1" si="18"/>
        <v>4.5812051940031469E-2</v>
      </c>
      <c r="AT14" s="87">
        <f t="shared" ca="1" si="19"/>
        <v>-6.4365975454772933E-2</v>
      </c>
      <c r="AU14" s="87">
        <f t="shared" ca="1" si="19"/>
        <v>-4.9671941567512173E-2</v>
      </c>
      <c r="AV14" s="87">
        <f t="shared" ca="1" si="20"/>
        <v>5.3366009833668043E-2</v>
      </c>
    </row>
    <row r="15" spans="1:50" ht="15.95" customHeight="1" outlineLevel="1">
      <c r="A15" s="85" t="s">
        <v>221</v>
      </c>
      <c r="B15" s="116" t="s">
        <v>101</v>
      </c>
      <c r="C15" s="76">
        <f ca="1">IF(ISERROR(VLOOKUP($B15,OFFSET(INDIRECT(""&amp;$B$3&amp;"!$A$4"),0,0,200,100),MATCH(C$4,INDIRECT(""&amp;$B$3&amp;"!$A$4"):INDIRECT(""&amp;$B$3&amp;"!$o$4"),0),FALSE)),"",VLOOKUP($B15,OFFSET(INDIRECT(""&amp;$B$3&amp;"!$A$4"),0,0,200,100),MATCH(C$4,INDIRECT(""&amp;$B$3&amp;"!$A$4"):INDIRECT(""&amp;$B$3&amp;"!$o$4"),0),FALSE))</f>
        <v>47574.547602999999</v>
      </c>
      <c r="D15" s="76">
        <f ca="1">IF(ISERROR(VLOOKUP($B15,OFFSET(INDIRECT(""&amp;$B$3&amp;"!$A$4"),0,0,200,100),MATCH(D$4,INDIRECT(""&amp;$B$3&amp;"!$A$4"):INDIRECT(""&amp;$B$3&amp;"!$o$4"),0),FALSE)),"",VLOOKUP($B15,OFFSET(INDIRECT(""&amp;$B$3&amp;"!$A$4"),0,0,200,100),MATCH(D$4,INDIRECT(""&amp;$B$3&amp;"!$A$4"):INDIRECT(""&amp;$B$3&amp;"!$o$4"),0),FALSE))</f>
        <v>48426.440063000002</v>
      </c>
      <c r="E15" s="76">
        <f ca="1">IF(ISERROR(VLOOKUP($B15,OFFSET(INDIRECT(""&amp;$B$3&amp;"!$A$4"),0,0,200,100),MATCH(E$4,INDIRECT(""&amp;$B$3&amp;"!$A$4"):INDIRECT(""&amp;$B$3&amp;"!$o$4"),0),FALSE)),"",VLOOKUP($B15,OFFSET(INDIRECT(""&amp;$B$3&amp;"!$A$4"),0,0,200,100),MATCH(E$4,INDIRECT(""&amp;$B$3&amp;"!$A$4"):INDIRECT(""&amp;$B$3&amp;"!$o$4"),0),FALSE))</f>
        <v>81831.908953000006</v>
      </c>
      <c r="F15" s="76">
        <f ca="1">IF(ISERROR(VLOOKUP($B15,OFFSET(INDIRECT(""&amp;$B$3&amp;"!$A$4"),0,0,200,100),MATCH(F$4,INDIRECT(""&amp;$B$3&amp;"!$A$4"):INDIRECT(""&amp;$B$3&amp;"!$o$4"),0),FALSE)),"",VLOOKUP($B15,OFFSET(INDIRECT(""&amp;$B$3&amp;"!$A$4"),0,0,200,100),MATCH(F$4,INDIRECT(""&amp;$B$3&amp;"!$A$4"):INDIRECT(""&amp;$B$3&amp;"!$o$4"),0),FALSE))</f>
        <v>70492.482109000004</v>
      </c>
      <c r="G15" s="76">
        <f ca="1">IF(ISERROR(VLOOKUP($B15,OFFSET(INDIRECT(""&amp;$B$3&amp;"!$A$4"),0,0,200,100),MATCH(G$4,INDIRECT(""&amp;$B$3&amp;"!$A$4"):INDIRECT(""&amp;$B$3&amp;"!$o$4"),0),FALSE)),"",VLOOKUP($B15,OFFSET(INDIRECT(""&amp;$B$3&amp;"!$A$4"),0,0,200,100),MATCH(G$4,INDIRECT(""&amp;$B$3&amp;"!$A$4"):INDIRECT(""&amp;$B$3&amp;"!$o$4"),0),FALSE))</f>
        <v>49592.871485999996</v>
      </c>
      <c r="H15" s="76">
        <f ca="1">IF(ISERROR(VLOOKUP($B15,OFFSET(INDIRECT(""&amp;$B$3&amp;"!$A$4"),0,0,200,100),MATCH(H$4,INDIRECT(""&amp;$B$3&amp;"!$A$4"):INDIRECT(""&amp;$B$3&amp;"!$o$4"),0),FALSE)),"",VLOOKUP($B15,OFFSET(INDIRECT(""&amp;$B$3&amp;"!$A$4"),0,0,200,100),MATCH(H$4,INDIRECT(""&amp;$B$3&amp;"!$A$4"):INDIRECT(""&amp;$B$3&amp;"!$o$4"),0),FALSE))</f>
        <v>16966.815546000002</v>
      </c>
      <c r="I15" s="76">
        <f ca="1">IF(ISERROR(VLOOKUP($B15,OFFSET(INDIRECT(""&amp;$B$3&amp;"!$A$4"),0,0,200,100),MATCH(I$4,INDIRECT(""&amp;$B$3&amp;"!$A$4"):INDIRECT(""&amp;$B$3&amp;"!$o$4"),0),FALSE)),"",VLOOKUP($B15,OFFSET(INDIRECT(""&amp;$B$3&amp;"!$A$4"),0,0,200,100),MATCH(I$4,INDIRECT(""&amp;$B$3&amp;"!$A$4"):INDIRECT(""&amp;$B$3&amp;"!$o$4"),0),FALSE))</f>
        <v>9526.0110949999998</v>
      </c>
      <c r="J15" s="76">
        <f ca="1">IF(ISERROR(VLOOKUP($B15,OFFSET(INDIRECT(""&amp;$B$3&amp;"!$A$4"),0,0,200,100),MATCH(J$4,INDIRECT(""&amp;$B$3&amp;"!$A$4"):INDIRECT(""&amp;$B$3&amp;"!$o$4"),0),FALSE)),"",VLOOKUP($B15,OFFSET(INDIRECT(""&amp;$B$3&amp;"!$A$4"),0,0,200,100),MATCH(J$4,INDIRECT(""&amp;$B$3&amp;"!$A$4"):INDIRECT(""&amp;$B$3&amp;"!$o$4"),0),FALSE))</f>
        <v>18680.128037999999</v>
      </c>
      <c r="K15" s="91" t="s">
        <v>101</v>
      </c>
      <c r="L15" s="76">
        <f ca="1">IF(ISERROR(VLOOKUP($K15,OFFSET(INDIRECT(""&amp;$S$3&amp;"!$A$4"),0,0,200,100),MATCH(L$4,INDIRECT(""&amp;$S$3&amp;"!$A$4"):INDIRECT(""&amp;$S$3&amp;"!$AD$4"),0),FALSE)),"",VLOOKUP($K15,OFFSET(INDIRECT(""&amp;$S$3&amp;"!$A$4"),0,0,200,100),MATCH(L$4,INDIRECT(""&amp;$S$3&amp;"!$A$4"):INDIRECT(""&amp;$S$3&amp;"!$AD$4"),0),FALSE))</f>
        <v>17113.882771000001</v>
      </c>
      <c r="M15" s="76">
        <f ca="1">IF(ISERROR(VLOOKUP($K15,OFFSET(INDIRECT(""&amp;$S$3&amp;"!$A$4"),0,0,200,100),MATCH(M$4,INDIRECT(""&amp;$S$3&amp;"!$A$4"):INDIRECT(""&amp;$S$3&amp;"!$AD$4"),0),FALSE)),"",VLOOKUP($K15,OFFSET(INDIRECT(""&amp;$S$3&amp;"!$A$4"),0,0,200,100),MATCH(M$4,INDIRECT(""&amp;$S$3&amp;"!$A$4"):INDIRECT(""&amp;$S$3&amp;"!$AD$4"),0),FALSE))</f>
        <v>28969.008980999999</v>
      </c>
      <c r="N15" s="76">
        <f ca="1">IF(ISERROR(VLOOKUP($K15,OFFSET(INDIRECT(""&amp;$S$3&amp;"!$A$4"),0,0,200,100),MATCH(N$4,INDIRECT(""&amp;$S$3&amp;"!$A$4"):INDIRECT(""&amp;$S$3&amp;"!$AD$4"),0),FALSE)),"",VLOOKUP($K15,OFFSET(INDIRECT(""&amp;$S$3&amp;"!$A$4"),0,0,200,100),MATCH(N$4,INDIRECT(""&amp;$S$3&amp;"!$A$4"):INDIRECT(""&amp;$S$3&amp;"!$AD$4"),0),FALSE))</f>
        <v>16202.502726000001</v>
      </c>
      <c r="O15" s="76">
        <f ca="1">IF(ISERROR(VLOOKUP($K15,OFFSET(INDIRECT(""&amp;$S$3&amp;"!$A$4"),0,0,200,100),MATCH(O$4,INDIRECT(""&amp;$S$3&amp;"!$A$4"):INDIRECT(""&amp;$S$3&amp;"!$AD$4"),0),FALSE)),"",VLOOKUP($K15,OFFSET(INDIRECT(""&amp;$S$3&amp;"!$A$4"),0,0,200,100),MATCH(O$4,INDIRECT(""&amp;$S$3&amp;"!$A$4"):INDIRECT(""&amp;$S$3&amp;"!$AD$4"),0),FALSE))</f>
        <v>8436.9339980000004</v>
      </c>
      <c r="P15" s="76">
        <f ca="1">IF(ISERROR(VLOOKUP($K15,OFFSET(INDIRECT(""&amp;$S$3&amp;"!$A$4"),0,0,200,100),MATCH(P$4,INDIRECT(""&amp;$S$3&amp;"!$A$4"):INDIRECT(""&amp;$S$3&amp;"!$AD$4"),0),FALSE)),"",VLOOKUP($K15,OFFSET(INDIRECT(""&amp;$S$3&amp;"!$A$4"),0,0,200,100),MATCH(P$4,INDIRECT(""&amp;$S$3&amp;"!$A$4"):INDIRECT(""&amp;$S$3&amp;"!$AD$4"),0),FALSE))</f>
        <v>14566.372235999999</v>
      </c>
      <c r="Q15" s="76">
        <f ca="1">IF(ISERROR(VLOOKUP($K15,OFFSET(INDIRECT(""&amp;$S$3&amp;"!$A$4"),0,0,200,100),MATCH(Q$4,INDIRECT(""&amp;$S$3&amp;"!$A$4"):INDIRECT(""&amp;$S$3&amp;"!$AD$4"),0),FALSE)),"",VLOOKUP($K15,OFFSET(INDIRECT(""&amp;$S$3&amp;"!$A$4"),0,0,200,100),MATCH(Q$4,INDIRECT(""&amp;$S$3&amp;"!$A$4"):INDIRECT(""&amp;$S$3&amp;"!$AD$4"),0),FALSE))</f>
        <v>18029.826669999999</v>
      </c>
      <c r="R15" s="76">
        <f ca="1">IF(ISERROR(VLOOKUP($K15,OFFSET(INDIRECT(""&amp;$S$3&amp;"!$A$4"),0,0,200,100),MATCH(R$4,INDIRECT(""&amp;$S$3&amp;"!$A$4"):INDIRECT(""&amp;$S$3&amp;"!$AD$4"),0),FALSE)),"",VLOOKUP($K15,OFFSET(INDIRECT(""&amp;$S$3&amp;"!$A$4"),0,0,200,100),MATCH(R$4,INDIRECT(""&amp;$S$3&amp;"!$A$4"):INDIRECT(""&amp;$S$3&amp;"!$AD$4"),0),FALSE))</f>
        <v>9751.5266659999998</v>
      </c>
      <c r="S15" s="76">
        <f ca="1">IF(ISERROR(VLOOKUP($K15,OFFSET(INDIRECT(""&amp;$S$3&amp;"!$A$4"),0,0,200,100),MATCH(S$4,INDIRECT(""&amp;$S$3&amp;"!$A$4"):INDIRECT(""&amp;$S$3&amp;"!$AD$4"),0),FALSE)),"",VLOOKUP($K15,OFFSET(INDIRECT(""&amp;$S$3&amp;"!$A$4"),0,0,200,100),MATCH(S$4,INDIRECT(""&amp;$S$3&amp;"!$A$4"):INDIRECT(""&amp;$S$3&amp;"!$AD$4"),0),FALSE))</f>
        <v>13408.94498</v>
      </c>
      <c r="T15" s="76">
        <f ca="1">IF(ISERROR(VLOOKUP($K15,OFFSET(INDIRECT(""&amp;$S$3&amp;"!$A$4"),0,0,200,100),MATCH(T$4,INDIRECT(""&amp;$S$3&amp;"!$A$4"):INDIRECT(""&amp;$S$3&amp;"!$AD$4"),0),FALSE)),"",VLOOKUP($K15,OFFSET(INDIRECT(""&amp;$S$3&amp;"!$A$4"),0,0,200,100),MATCH(T$4,INDIRECT(""&amp;$S$3&amp;"!$A$4"):INDIRECT(""&amp;$S$3&amp;"!$AD$4"),0),FALSE))</f>
        <v>1747.949267</v>
      </c>
      <c r="U15" s="76">
        <f ca="1">IF(ISERROR(VLOOKUP($K15,OFFSET(INDIRECT(""&amp;$S$3&amp;"!$A$4"),0,0,200,100),MATCH(U$4,INDIRECT(""&amp;$S$3&amp;"!$A$4"):INDIRECT(""&amp;$S$3&amp;"!$AD$4"),0),FALSE)),"",VLOOKUP($K15,OFFSET(INDIRECT(""&amp;$S$3&amp;"!$A$4"),0,0,200,100),MATCH(U$4,INDIRECT(""&amp;$S$3&amp;"!$A$4"):INDIRECT(""&amp;$S$3&amp;"!$AD$4"),0),FALSE))</f>
        <v>9318.0087440000007</v>
      </c>
      <c r="V15" s="76">
        <f ca="1">IF(ISERROR(VLOOKUP($K15,OFFSET(INDIRECT(""&amp;$S$3&amp;"!$A$4"),0,0,200,100),MATCH(V$4,INDIRECT(""&amp;$S$3&amp;"!$A$4"):INDIRECT(""&amp;$S$3&amp;"!$AD$4"),0),FALSE)),"",VLOOKUP($K15,OFFSET(INDIRECT(""&amp;$S$3&amp;"!$A$4"),0,0,200,100),MATCH(V$4,INDIRECT(""&amp;$S$3&amp;"!$A$4"):INDIRECT(""&amp;$S$3&amp;"!$AD$4"),0),FALSE))</f>
        <v>6995.537816</v>
      </c>
      <c r="W15" s="76">
        <f ca="1">IF(ISERROR(VLOOKUP($K15,OFFSET(INDIRECT(""&amp;$S$3&amp;"!$A$4"),0,0,200,100),MATCH(W$4,INDIRECT(""&amp;$S$3&amp;"!$A$4"):INDIRECT(""&amp;$S$3&amp;"!$AD$4"),0),FALSE)),"",VLOOKUP($K15,OFFSET(INDIRECT(""&amp;$S$3&amp;"!$A$4"),0,0,200,100),MATCH(W$4,INDIRECT(""&amp;$S$3&amp;"!$A$4"):INDIRECT(""&amp;$S$3&amp;"!$AD$4"),0),FALSE))</f>
        <v>667.52824899999996</v>
      </c>
      <c r="X15" s="76">
        <f ca="1">IF(ISERROR(VLOOKUP($K15,OFFSET(INDIRECT(""&amp;$S$3&amp;"!$A$4"),0,0,200,100),MATCH(X$4,INDIRECT(""&amp;$S$3&amp;"!$A$4"):INDIRECT(""&amp;$S$3&amp;"!$AD$4"),0),FALSE)),"",VLOOKUP($K15,OFFSET(INDIRECT(""&amp;$S$3&amp;"!$A$4"),0,0,200,100),MATCH(X$4,INDIRECT(""&amp;$S$3&amp;"!$A$4"):INDIRECT(""&amp;$S$3&amp;"!$AD$4"),0),FALSE))</f>
        <v>2403.3920480000002</v>
      </c>
      <c r="Y15" s="76">
        <f ca="1">IF(ISERROR(VLOOKUP($K15,OFFSET(INDIRECT(""&amp;$S$3&amp;"!$A$4"),0,0,200,100),MATCH(Y$4,INDIRECT(""&amp;$S$3&amp;"!$A$4"):INDIRECT(""&amp;$S$3&amp;"!$AD$4"),0),FALSE)),"",VLOOKUP($K15,OFFSET(INDIRECT(""&amp;$S$3&amp;"!$A$4"),0,0,200,100),MATCH(Y$4,INDIRECT(""&amp;$S$3&amp;"!$A$4"):INDIRECT(""&amp;$S$3&amp;"!$AD$4"),0),FALSE))</f>
        <v>-4383.2380439999997</v>
      </c>
      <c r="Z15" s="76">
        <f ca="1">IF(ISERROR(VLOOKUP($K15,OFFSET(INDIRECT(""&amp;$S$3&amp;"!$A$4"),0,0,200,100),MATCH(Z$4,INDIRECT(""&amp;$S$3&amp;"!$A$4"):INDIRECT(""&amp;$S$3&amp;"!$AD$4"),0),FALSE)),"",VLOOKUP($K15,OFFSET(INDIRECT(""&amp;$S$3&amp;"!$A$4"),0,0,200,100),MATCH(Z$4,INDIRECT(""&amp;$S$3&amp;"!$A$4"):INDIRECT(""&amp;$S$3&amp;"!$AD$4"),0),FALSE))</f>
        <v>8481.9004060000007</v>
      </c>
      <c r="AA15" s="76">
        <f t="shared" ca="1" si="21"/>
        <v>10066.458113000001</v>
      </c>
      <c r="AB15" s="92"/>
      <c r="AC15" s="87">
        <f t="shared" ca="1" si="4"/>
        <v>0.42486532866298199</v>
      </c>
      <c r="AD15" s="87">
        <f t="shared" ca="1" si="5"/>
        <v>0.29830726882756681</v>
      </c>
      <c r="AE15" s="87">
        <f t="shared" ca="1" si="6"/>
        <v>0.22596073658217317</v>
      </c>
      <c r="AF15" s="87">
        <f t="shared" ca="1" si="7"/>
        <v>7.8550291223176999E-2</v>
      </c>
      <c r="AG15" s="87">
        <f t="shared" ca="1" si="8"/>
        <v>6.4309138454021544E-2</v>
      </c>
      <c r="AH15" s="87">
        <f t="shared" ca="1" si="8"/>
        <v>0.10917011614221742</v>
      </c>
      <c r="AI15" s="144"/>
      <c r="AJ15" s="87">
        <f t="shared" ca="1" si="9"/>
        <v>0.14706349710023994</v>
      </c>
      <c r="AK15" s="87">
        <f t="shared" ca="1" si="10"/>
        <v>0.3108587002115667</v>
      </c>
      <c r="AL15" s="87">
        <f t="shared" ca="1" si="11"/>
        <v>0.25774627842168962</v>
      </c>
      <c r="AM15" s="87">
        <f t="shared" ca="1" si="12"/>
        <v>0.18126852767550442</v>
      </c>
      <c r="AN15" s="87">
        <f t="shared" ca="1" si="13"/>
        <v>0.2743841146543281</v>
      </c>
      <c r="AO15" s="87">
        <f t="shared" ca="1" si="14"/>
        <v>3.5495043595742272E-2</v>
      </c>
      <c r="AP15" s="87">
        <f t="shared" ca="1" si="15"/>
        <v>0.15114492461605272</v>
      </c>
      <c r="AQ15" s="87">
        <f t="shared" ca="1" si="16"/>
        <v>0.1272668653470001</v>
      </c>
      <c r="AR15" s="87">
        <f t="shared" ca="1" si="17"/>
        <v>1.3313939830409887E-2</v>
      </c>
      <c r="AS15" s="87">
        <f t="shared" ca="1" si="18"/>
        <v>6.5549106949863323E-2</v>
      </c>
      <c r="AT15" s="87">
        <f t="shared" ca="1" si="19"/>
        <v>-0.12266641998743563</v>
      </c>
      <c r="AU15" s="87">
        <f t="shared" ca="1" si="19"/>
        <v>0.24132130817889033</v>
      </c>
      <c r="AV15" s="87">
        <f t="shared" ca="1" si="20"/>
        <v>7.1005290953455244E-2</v>
      </c>
    </row>
    <row r="16" spans="1:50" ht="15.95" customHeight="1" outlineLevel="1">
      <c r="A16" s="89" t="s">
        <v>222</v>
      </c>
      <c r="B16" s="111" t="s">
        <v>81</v>
      </c>
      <c r="C16" s="90">
        <f ca="1">IF(ISERROR(VLOOKUP($B16,OFFSET(INDIRECT(""&amp;$B$3&amp;"!$A$4"),0,0,200,100),MATCH(C$4,INDIRECT(""&amp;$B$3&amp;"!$A$4"):INDIRECT(""&amp;$B$3&amp;"!$o$4"),0),FALSE)),"",VLOOKUP($B16,OFFSET(INDIRECT(""&amp;$B$3&amp;"!$A$4"),0,0,200,100),MATCH(C$4,INDIRECT(""&amp;$B$3&amp;"!$A$4"):INDIRECT(""&amp;$B$3&amp;"!$o$4"),0),FALSE))</f>
        <v>0</v>
      </c>
      <c r="D16" s="90">
        <f ca="1">IF(ISERROR(VLOOKUP($B16,OFFSET(INDIRECT(""&amp;$B$3&amp;"!$A$4"),0,0,200,100),MATCH(D$4,INDIRECT(""&amp;$B$3&amp;"!$A$4"):INDIRECT(""&amp;$B$3&amp;"!$o$4"),0),FALSE)),"",VLOOKUP($B16,OFFSET(INDIRECT(""&amp;$B$3&amp;"!$A$4"),0,0,200,100),MATCH(D$4,INDIRECT(""&amp;$B$3&amp;"!$A$4"):INDIRECT(""&amp;$B$3&amp;"!$o$4"),0),FALSE))</f>
        <v>120</v>
      </c>
      <c r="E16" s="90">
        <f ca="1">IF(ISERROR(VLOOKUP($B16,OFFSET(INDIRECT(""&amp;$B$3&amp;"!$A$4"),0,0,200,100),MATCH(E$4,INDIRECT(""&amp;$B$3&amp;"!$A$4"):INDIRECT(""&amp;$B$3&amp;"!$o$4"),0),FALSE)),"",VLOOKUP($B16,OFFSET(INDIRECT(""&amp;$B$3&amp;"!$A$4"),0,0,200,100),MATCH(E$4,INDIRECT(""&amp;$B$3&amp;"!$A$4"):INDIRECT(""&amp;$B$3&amp;"!$o$4"),0),FALSE))</f>
        <v>0</v>
      </c>
      <c r="F16" s="90">
        <f ca="1">IF(ISERROR(VLOOKUP($B16,OFFSET(INDIRECT(""&amp;$B$3&amp;"!$A$4"),0,0,200,100),MATCH(F$4,INDIRECT(""&amp;$B$3&amp;"!$A$4"):INDIRECT(""&amp;$B$3&amp;"!$o$4"),0),FALSE)),"",VLOOKUP($B16,OFFSET(INDIRECT(""&amp;$B$3&amp;"!$A$4"),0,0,200,100),MATCH(F$4,INDIRECT(""&amp;$B$3&amp;"!$A$4"):INDIRECT(""&amp;$B$3&amp;"!$o$4"),0),FALSE))</f>
        <v>0</v>
      </c>
      <c r="G16" s="90">
        <f ca="1">IF(ISERROR(VLOOKUP($B16,OFFSET(INDIRECT(""&amp;$B$3&amp;"!$A$4"),0,0,200,100),MATCH(G$4,INDIRECT(""&amp;$B$3&amp;"!$A$4"):INDIRECT(""&amp;$B$3&amp;"!$o$4"),0),FALSE)),"",VLOOKUP($B16,OFFSET(INDIRECT(""&amp;$B$3&amp;"!$A$4"),0,0,200,100),MATCH(G$4,INDIRECT(""&amp;$B$3&amp;"!$A$4"):INDIRECT(""&amp;$B$3&amp;"!$o$4"),0),FALSE))</f>
        <v>133.35718199999999</v>
      </c>
      <c r="H16" s="90">
        <f ca="1">IF(ISERROR(VLOOKUP($B16,OFFSET(INDIRECT(""&amp;$B$3&amp;"!$A$4"),0,0,200,100),MATCH(H$4,INDIRECT(""&amp;$B$3&amp;"!$A$4"):INDIRECT(""&amp;$B$3&amp;"!$o$4"),0),FALSE)),"",VLOOKUP($B16,OFFSET(INDIRECT(""&amp;$B$3&amp;"!$A$4"),0,0,200,100),MATCH(H$4,INDIRECT(""&amp;$B$3&amp;"!$A$4"):INDIRECT(""&amp;$B$3&amp;"!$o$4"),0),FALSE))</f>
        <v>1979.0279760000001</v>
      </c>
      <c r="I16" s="90">
        <f ca="1">IF(ISERROR(VLOOKUP($B16,OFFSET(INDIRECT(""&amp;$B$3&amp;"!$A$4"),0,0,200,100),MATCH(I$4,INDIRECT(""&amp;$B$3&amp;"!$A$4"):INDIRECT(""&amp;$B$3&amp;"!$o$4"),0),FALSE)),"",VLOOKUP($B16,OFFSET(INDIRECT(""&amp;$B$3&amp;"!$A$4"),0,0,200,100),MATCH(I$4,INDIRECT(""&amp;$B$3&amp;"!$A$4"):INDIRECT(""&amp;$B$3&amp;"!$o$4"),0),FALSE))</f>
        <v>1307.9475930000001</v>
      </c>
      <c r="J16" s="90">
        <f ca="1">IF(ISERROR(VLOOKUP($B16,OFFSET(INDIRECT(""&amp;$B$3&amp;"!$A$4"),0,0,200,100),MATCH(J$4,INDIRECT(""&amp;$B$3&amp;"!$A$4"):INDIRECT(""&amp;$B$3&amp;"!$o$4"),0),FALSE)),"",VLOOKUP($B16,OFFSET(INDIRECT(""&amp;$B$3&amp;"!$A$4"),0,0,200,100),MATCH(J$4,INDIRECT(""&amp;$B$3&amp;"!$A$4"):INDIRECT(""&amp;$B$3&amp;"!$o$4"),0),FALSE))</f>
        <v>618.18181800000002</v>
      </c>
      <c r="K16" s="91" t="s">
        <v>81</v>
      </c>
      <c r="L16" s="90">
        <f ca="1">IF(ISERROR(VLOOKUP($K16,OFFSET(INDIRECT(""&amp;$S$3&amp;"!$A$4"),0,0,200,100),MATCH(L$4,INDIRECT(""&amp;$S$3&amp;"!$A$4"):INDIRECT(""&amp;$S$3&amp;"!$AD$4"),0),FALSE)),"",VLOOKUP($K16,OFFSET(INDIRECT(""&amp;$S$3&amp;"!$A$4"),0,0,200,100),MATCH(L$4,INDIRECT(""&amp;$S$3&amp;"!$A$4"):INDIRECT(""&amp;$S$3&amp;"!$AD$4"),0),FALSE))</f>
        <v>0</v>
      </c>
      <c r="M16" s="90">
        <f ca="1">IF(ISERROR(VLOOKUP($K16,OFFSET(INDIRECT(""&amp;$S$3&amp;"!$A$4"),0,0,200,100),MATCH(M$4,INDIRECT(""&amp;$S$3&amp;"!$A$4"):INDIRECT(""&amp;$S$3&amp;"!$AD$4"),0),FALSE)),"",VLOOKUP($K16,OFFSET(INDIRECT(""&amp;$S$3&amp;"!$A$4"),0,0,200,100),MATCH(M$4,INDIRECT(""&amp;$S$3&amp;"!$A$4"):INDIRECT(""&amp;$S$3&amp;"!$AD$4"),0),FALSE))</f>
        <v>0</v>
      </c>
      <c r="N16" s="90">
        <f ca="1">IF(ISERROR(VLOOKUP($K16,OFFSET(INDIRECT(""&amp;$S$3&amp;"!$A$4"),0,0,200,100),MATCH(N$4,INDIRECT(""&amp;$S$3&amp;"!$A$4"):INDIRECT(""&amp;$S$3&amp;"!$AD$4"),0),FALSE)),"",VLOOKUP($K16,OFFSET(INDIRECT(""&amp;$S$3&amp;"!$A$4"),0,0,200,100),MATCH(N$4,INDIRECT(""&amp;$S$3&amp;"!$A$4"):INDIRECT(""&amp;$S$3&amp;"!$AD$4"),0),FALSE))</f>
        <v>0</v>
      </c>
      <c r="O16" s="90">
        <f ca="1">IF(ISERROR(VLOOKUP($K16,OFFSET(INDIRECT(""&amp;$S$3&amp;"!$A$4"),0,0,200,100),MATCH(O$4,INDIRECT(""&amp;$S$3&amp;"!$A$4"):INDIRECT(""&amp;$S$3&amp;"!$AD$4"),0),FALSE)),"",VLOOKUP($K16,OFFSET(INDIRECT(""&amp;$S$3&amp;"!$A$4"),0,0,200,100),MATCH(O$4,INDIRECT(""&amp;$S$3&amp;"!$A$4"):INDIRECT(""&amp;$S$3&amp;"!$AD$4"),0),FALSE))</f>
        <v>0</v>
      </c>
      <c r="P16" s="90">
        <f ca="1">IF(ISERROR(VLOOKUP($K16,OFFSET(INDIRECT(""&amp;$S$3&amp;"!$A$4"),0,0,200,100),MATCH(P$4,INDIRECT(""&amp;$S$3&amp;"!$A$4"):INDIRECT(""&amp;$S$3&amp;"!$AD$4"),0),FALSE)),"",VLOOKUP($K16,OFFSET(INDIRECT(""&amp;$S$3&amp;"!$A$4"),0,0,200,100),MATCH(P$4,INDIRECT(""&amp;$S$3&amp;"!$A$4"):INDIRECT(""&amp;$S$3&amp;"!$AD$4"),0),FALSE))</f>
        <v>0</v>
      </c>
      <c r="Q16" s="90">
        <f ca="1">IF(ISERROR(VLOOKUP($K16,OFFSET(INDIRECT(""&amp;$S$3&amp;"!$A$4"),0,0,200,100),MATCH(Q$4,INDIRECT(""&amp;$S$3&amp;"!$A$4"):INDIRECT(""&amp;$S$3&amp;"!$AD$4"),0),FALSE)),"",VLOOKUP($K16,OFFSET(INDIRECT(""&amp;$S$3&amp;"!$A$4"),0,0,200,100),MATCH(Q$4,INDIRECT(""&amp;$S$3&amp;"!$A$4"):INDIRECT(""&amp;$S$3&amp;"!$AD$4"),0),FALSE))</f>
        <v>0</v>
      </c>
      <c r="R16" s="90">
        <f ca="1">IF(ISERROR(VLOOKUP($K16,OFFSET(INDIRECT(""&amp;$S$3&amp;"!$A$4"),0,0,200,100),MATCH(R$4,INDIRECT(""&amp;$S$3&amp;"!$A$4"):INDIRECT(""&amp;$S$3&amp;"!$AD$4"),0),FALSE)),"",VLOOKUP($K16,OFFSET(INDIRECT(""&amp;$S$3&amp;"!$A$4"),0,0,200,100),MATCH(R$4,INDIRECT(""&amp;$S$3&amp;"!$A$4"):INDIRECT(""&amp;$S$3&amp;"!$AD$4"),0),FALSE))</f>
        <v>0</v>
      </c>
      <c r="S16" s="90">
        <f ca="1">IF(ISERROR(VLOOKUP($K16,OFFSET(INDIRECT(""&amp;$S$3&amp;"!$A$4"),0,0,200,100),MATCH(S$4,INDIRECT(""&amp;$S$3&amp;"!$A$4"):INDIRECT(""&amp;$S$3&amp;"!$AD$4"),0),FALSE)),"",VLOOKUP($K16,OFFSET(INDIRECT(""&amp;$S$3&amp;"!$A$4"),0,0,200,100),MATCH(S$4,INDIRECT(""&amp;$S$3&amp;"!$A$4"):INDIRECT(""&amp;$S$3&amp;"!$AD$4"),0),FALSE))</f>
        <v>133.35718199999999</v>
      </c>
      <c r="T16" s="90">
        <f ca="1">IF(ISERROR(VLOOKUP($K16,OFFSET(INDIRECT(""&amp;$S$3&amp;"!$A$4"),0,0,200,100),MATCH(T$4,INDIRECT(""&amp;$S$3&amp;"!$A$4"):INDIRECT(""&amp;$S$3&amp;"!$AD$4"),0),FALSE)),"",VLOOKUP($K16,OFFSET(INDIRECT(""&amp;$S$3&amp;"!$A$4"),0,0,200,100),MATCH(T$4,INDIRECT(""&amp;$S$3&amp;"!$A$4"):INDIRECT(""&amp;$S$3&amp;"!$AD$4"),0),FALSE))</f>
        <v>0</v>
      </c>
      <c r="U16" s="90">
        <f ca="1">IF(ISERROR(VLOOKUP($K16,OFFSET(INDIRECT(""&amp;$S$3&amp;"!$A$4"),0,0,200,100),MATCH(U$4,INDIRECT(""&amp;$S$3&amp;"!$A$4"):INDIRECT(""&amp;$S$3&amp;"!$AD$4"),0),FALSE)),"",VLOOKUP($K16,OFFSET(INDIRECT(""&amp;$S$3&amp;"!$A$4"),0,0,200,100),MATCH(U$4,INDIRECT(""&amp;$S$3&amp;"!$A$4"):INDIRECT(""&amp;$S$3&amp;"!$AD$4"),0),FALSE))</f>
        <v>0</v>
      </c>
      <c r="V16" s="90">
        <f ca="1">IF(ISERROR(VLOOKUP($K16,OFFSET(INDIRECT(""&amp;$S$3&amp;"!$A$4"),0,0,200,100),MATCH(V$4,INDIRECT(""&amp;$S$3&amp;"!$A$4"):INDIRECT(""&amp;$S$3&amp;"!$AD$4"),0),FALSE)),"",VLOOKUP($K16,OFFSET(INDIRECT(""&amp;$S$3&amp;"!$A$4"),0,0,200,100),MATCH(V$4,INDIRECT(""&amp;$S$3&amp;"!$A$4"):INDIRECT(""&amp;$S$3&amp;"!$AD$4"),0),FALSE))</f>
        <v>0</v>
      </c>
      <c r="W16" s="90">
        <f ca="1">IF(ISERROR(VLOOKUP($K16,OFFSET(INDIRECT(""&amp;$S$3&amp;"!$A$4"),0,0,200,100),MATCH(W$4,INDIRECT(""&amp;$S$3&amp;"!$A$4"):INDIRECT(""&amp;$S$3&amp;"!$AD$4"),0),FALSE)),"",VLOOKUP($K16,OFFSET(INDIRECT(""&amp;$S$3&amp;"!$A$4"),0,0,200,100),MATCH(W$4,INDIRECT(""&amp;$S$3&amp;"!$A$4"):INDIRECT(""&amp;$S$3&amp;"!$AD$4"),0),FALSE))</f>
        <v>1979.0279760000001</v>
      </c>
      <c r="X16" s="90">
        <f ca="1">IF(ISERROR(VLOOKUP($K16,OFFSET(INDIRECT(""&amp;$S$3&amp;"!$A$4"),0,0,200,100),MATCH(X$4,INDIRECT(""&amp;$S$3&amp;"!$A$4"):INDIRECT(""&amp;$S$3&amp;"!$AD$4"),0),FALSE)),"",VLOOKUP($K16,OFFSET(INDIRECT(""&amp;$S$3&amp;"!$A$4"),0,0,200,100),MATCH(X$4,INDIRECT(""&amp;$S$3&amp;"!$A$4"):INDIRECT(""&amp;$S$3&amp;"!$AD$4"),0),FALSE))</f>
        <v>0</v>
      </c>
      <c r="Y16" s="90">
        <f ca="1">IF(ISERROR(VLOOKUP($K16,OFFSET(INDIRECT(""&amp;$S$3&amp;"!$A$4"),0,0,200,100),MATCH(Y$4,INDIRECT(""&amp;$S$3&amp;"!$A$4"):INDIRECT(""&amp;$S$3&amp;"!$AD$4"),0),FALSE)),"",VLOOKUP($K16,OFFSET(INDIRECT(""&amp;$S$3&amp;"!$A$4"),0,0,200,100),MATCH(Y$4,INDIRECT(""&amp;$S$3&amp;"!$A$4"):INDIRECT(""&amp;$S$3&amp;"!$AD$4"),0),FALSE))</f>
        <v>2817.8184769999998</v>
      </c>
      <c r="Z16" s="90">
        <f ca="1">IF(ISERROR(VLOOKUP($K16,OFFSET(INDIRECT(""&amp;$S$3&amp;"!$A$4"),0,0,200,100),MATCH(Z$4,INDIRECT(""&amp;$S$3&amp;"!$A$4"):INDIRECT(""&amp;$S$3&amp;"!$AD$4"),0),FALSE)),"",VLOOKUP($K16,OFFSET(INDIRECT(""&amp;$S$3&amp;"!$A$4"),0,0,200,100),MATCH(Z$4,INDIRECT(""&amp;$S$3&amp;"!$A$4"):INDIRECT(""&amp;$S$3&amp;"!$AD$4"),0),FALSE))</f>
        <v>0</v>
      </c>
      <c r="AA16" s="90">
        <f t="shared" ca="1" si="21"/>
        <v>1979.0279760000001</v>
      </c>
      <c r="AB16" s="92"/>
      <c r="AC16" s="87">
        <f t="shared" ca="1" si="4"/>
        <v>0</v>
      </c>
      <c r="AD16" s="87">
        <f t="shared" ca="1" si="5"/>
        <v>0</v>
      </c>
      <c r="AE16" s="87">
        <f t="shared" ca="1" si="6"/>
        <v>6.0761730809940229E-4</v>
      </c>
      <c r="AF16" s="87">
        <f t="shared" ca="1" si="7"/>
        <v>9.1621921292274131E-3</v>
      </c>
      <c r="AG16" s="87">
        <f t="shared" ca="1" si="8"/>
        <v>8.8298220535340689E-3</v>
      </c>
      <c r="AH16" s="87">
        <f t="shared" ca="1" si="8"/>
        <v>3.612768645417307E-3</v>
      </c>
      <c r="AI16" s="145"/>
      <c r="AJ16" s="87">
        <f t="shared" ca="1" si="9"/>
        <v>0</v>
      </c>
      <c r="AK16" s="87">
        <f t="shared" ca="1" si="10"/>
        <v>0</v>
      </c>
      <c r="AL16" s="87">
        <f t="shared" ca="1" si="11"/>
        <v>0</v>
      </c>
      <c r="AM16" s="87">
        <f t="shared" ca="1" si="12"/>
        <v>0</v>
      </c>
      <c r="AN16" s="87">
        <f t="shared" ca="1" si="13"/>
        <v>2.7288569212897238E-3</v>
      </c>
      <c r="AO16" s="87">
        <f t="shared" ca="1" si="14"/>
        <v>0</v>
      </c>
      <c r="AP16" s="87">
        <f t="shared" ca="1" si="15"/>
        <v>0</v>
      </c>
      <c r="AQ16" s="87">
        <f t="shared" ca="1" si="16"/>
        <v>0</v>
      </c>
      <c r="AR16" s="87">
        <f t="shared" ca="1" si="17"/>
        <v>3.9471976556248879E-2</v>
      </c>
      <c r="AS16" s="87">
        <f t="shared" ca="1" si="18"/>
        <v>0</v>
      </c>
      <c r="AT16" s="87">
        <f t="shared" ca="1" si="19"/>
        <v>7.8857616510511888E-2</v>
      </c>
      <c r="AU16" s="87">
        <f t="shared" ca="1" si="19"/>
        <v>0</v>
      </c>
      <c r="AV16" s="87">
        <f t="shared" ca="1" si="20"/>
        <v>1.3959374356253048E-2</v>
      </c>
    </row>
    <row r="17" spans="1:50" ht="15.95" customHeight="1" outlineLevel="1">
      <c r="A17" s="89" t="s">
        <v>223</v>
      </c>
      <c r="B17" s="111" t="s">
        <v>82</v>
      </c>
      <c r="C17" s="90">
        <f ca="1">IF(ISERROR(VLOOKUP($B17,OFFSET(INDIRECT(""&amp;$B$3&amp;"!$A$4"),0,0,200,100),MATCH(C$4,INDIRECT(""&amp;$B$3&amp;"!$A$4"):INDIRECT(""&amp;$B$3&amp;"!$o$4"),0),FALSE)),"",VLOOKUP($B17,OFFSET(INDIRECT(""&amp;$B$3&amp;"!$A$4"),0,0,200,100),MATCH(C$4,INDIRECT(""&amp;$B$3&amp;"!$A$4"):INDIRECT(""&amp;$B$3&amp;"!$o$4"),0),FALSE))</f>
        <v>0</v>
      </c>
      <c r="D17" s="90">
        <f ca="1">IF(ISERROR(VLOOKUP($B17,OFFSET(INDIRECT(""&amp;$B$3&amp;"!$A$4"),0,0,200,100),MATCH(D$4,INDIRECT(""&amp;$B$3&amp;"!$A$4"):INDIRECT(""&amp;$B$3&amp;"!$o$4"),0),FALSE)),"",VLOOKUP($B17,OFFSET(INDIRECT(""&amp;$B$3&amp;"!$A$4"),0,0,200,100),MATCH(D$4,INDIRECT(""&amp;$B$3&amp;"!$A$4"):INDIRECT(""&amp;$B$3&amp;"!$o$4"),0),FALSE))</f>
        <v>0</v>
      </c>
      <c r="E17" s="90">
        <f ca="1">IF(ISERROR(VLOOKUP($B17,OFFSET(INDIRECT(""&amp;$B$3&amp;"!$A$4"),0,0,200,100),MATCH(E$4,INDIRECT(""&amp;$B$3&amp;"!$A$4"):INDIRECT(""&amp;$B$3&amp;"!$o$4"),0),FALSE)),"",VLOOKUP($B17,OFFSET(INDIRECT(""&amp;$B$3&amp;"!$A$4"),0,0,200,100),MATCH(E$4,INDIRECT(""&amp;$B$3&amp;"!$A$4"):INDIRECT(""&amp;$B$3&amp;"!$o$4"),0),FALSE))</f>
        <v>0</v>
      </c>
      <c r="F17" s="90">
        <f ca="1">IF(ISERROR(VLOOKUP($B17,OFFSET(INDIRECT(""&amp;$B$3&amp;"!$A$4"),0,0,200,100),MATCH(F$4,INDIRECT(""&amp;$B$3&amp;"!$A$4"):INDIRECT(""&amp;$B$3&amp;"!$o$4"),0),FALSE)),"",VLOOKUP($B17,OFFSET(INDIRECT(""&amp;$B$3&amp;"!$A$4"),0,0,200,100),MATCH(F$4,INDIRECT(""&amp;$B$3&amp;"!$A$4"):INDIRECT(""&amp;$B$3&amp;"!$o$4"),0),FALSE))</f>
        <v>0</v>
      </c>
      <c r="G17" s="90">
        <f ca="1">IF(ISERROR(VLOOKUP($B17,OFFSET(INDIRECT(""&amp;$B$3&amp;"!$A$4"),0,0,200,100),MATCH(G$4,INDIRECT(""&amp;$B$3&amp;"!$A$4"):INDIRECT(""&amp;$B$3&amp;"!$o$4"),0),FALSE)),"",VLOOKUP($B17,OFFSET(INDIRECT(""&amp;$B$3&amp;"!$A$4"),0,0,200,100),MATCH(G$4,INDIRECT(""&amp;$B$3&amp;"!$A$4"):INDIRECT(""&amp;$B$3&amp;"!$o$4"),0),FALSE))</f>
        <v>2686.13915</v>
      </c>
      <c r="H17" s="90">
        <f ca="1">IF(ISERROR(VLOOKUP($B17,OFFSET(INDIRECT(""&amp;$B$3&amp;"!$A$4"),0,0,200,100),MATCH(H$4,INDIRECT(""&amp;$B$3&amp;"!$A$4"):INDIRECT(""&amp;$B$3&amp;"!$o$4"),0),FALSE)),"",VLOOKUP($B17,OFFSET(INDIRECT(""&amp;$B$3&amp;"!$A$4"),0,0,200,100),MATCH(H$4,INDIRECT(""&amp;$B$3&amp;"!$A$4"):INDIRECT(""&amp;$B$3&amp;"!$o$4"),0),FALSE))</f>
        <v>103.373361</v>
      </c>
      <c r="I17" s="90">
        <f ca="1">IF(ISERROR(VLOOKUP($B17,OFFSET(INDIRECT(""&amp;$B$3&amp;"!$A$4"),0,0,200,100),MATCH(I$4,INDIRECT(""&amp;$B$3&amp;"!$A$4"):INDIRECT(""&amp;$B$3&amp;"!$o$4"),0),FALSE)),"",VLOOKUP($B17,OFFSET(INDIRECT(""&amp;$B$3&amp;"!$A$4"),0,0,200,100),MATCH(I$4,INDIRECT(""&amp;$B$3&amp;"!$A$4"):INDIRECT(""&amp;$B$3&amp;"!$o$4"),0),FALSE))</f>
        <v>-103.266244</v>
      </c>
      <c r="J17" s="90">
        <f ca="1">IF(ISERROR(VLOOKUP($B17,OFFSET(INDIRECT(""&amp;$B$3&amp;"!$A$4"),0,0,200,100),MATCH(J$4,INDIRECT(""&amp;$B$3&amp;"!$A$4"):INDIRECT(""&amp;$B$3&amp;"!$o$4"),0),FALSE)),"",VLOOKUP($B17,OFFSET(INDIRECT(""&amp;$B$3&amp;"!$A$4"),0,0,200,100),MATCH(J$4,INDIRECT(""&amp;$B$3&amp;"!$A$4"):INDIRECT(""&amp;$B$3&amp;"!$o$4"),0),FALSE))</f>
        <v>-375.56659300000001</v>
      </c>
      <c r="K17" s="91" t="s">
        <v>82</v>
      </c>
      <c r="L17" s="90">
        <f ca="1">IF(ISERROR(VLOOKUP($K17,OFFSET(INDIRECT(""&amp;$S$3&amp;"!$A$4"),0,0,200,100),MATCH(L$4,INDIRECT(""&amp;$S$3&amp;"!$A$4"):INDIRECT(""&amp;$S$3&amp;"!$AD$4"),0),FALSE)),"",VLOOKUP($K17,OFFSET(INDIRECT(""&amp;$S$3&amp;"!$A$4"),0,0,200,100),MATCH(L$4,INDIRECT(""&amp;$S$3&amp;"!$A$4"):INDIRECT(""&amp;$S$3&amp;"!$AD$4"),0),FALSE))</f>
        <v>0</v>
      </c>
      <c r="M17" s="90">
        <f ca="1">IF(ISERROR(VLOOKUP($K17,OFFSET(INDIRECT(""&amp;$S$3&amp;"!$A$4"),0,0,200,100),MATCH(M$4,INDIRECT(""&amp;$S$3&amp;"!$A$4"):INDIRECT(""&amp;$S$3&amp;"!$AD$4"),0),FALSE)),"",VLOOKUP($K17,OFFSET(INDIRECT(""&amp;$S$3&amp;"!$A$4"),0,0,200,100),MATCH(M$4,INDIRECT(""&amp;$S$3&amp;"!$A$4"):INDIRECT(""&amp;$S$3&amp;"!$AD$4"),0),FALSE))</f>
        <v>0</v>
      </c>
      <c r="N17" s="90">
        <f ca="1">IF(ISERROR(VLOOKUP($K17,OFFSET(INDIRECT(""&amp;$S$3&amp;"!$A$4"),0,0,200,100),MATCH(N$4,INDIRECT(""&amp;$S$3&amp;"!$A$4"):INDIRECT(""&amp;$S$3&amp;"!$AD$4"),0),FALSE)),"",VLOOKUP($K17,OFFSET(INDIRECT(""&amp;$S$3&amp;"!$A$4"),0,0,200,100),MATCH(N$4,INDIRECT(""&amp;$S$3&amp;"!$A$4"):INDIRECT(""&amp;$S$3&amp;"!$AD$4"),0),FALSE))</f>
        <v>0</v>
      </c>
      <c r="O17" s="90">
        <f ca="1">IF(ISERROR(VLOOKUP($K17,OFFSET(INDIRECT(""&amp;$S$3&amp;"!$A$4"),0,0,200,100),MATCH(O$4,INDIRECT(""&amp;$S$3&amp;"!$A$4"):INDIRECT(""&amp;$S$3&amp;"!$AD$4"),0),FALSE)),"",VLOOKUP($K17,OFFSET(INDIRECT(""&amp;$S$3&amp;"!$A$4"),0,0,200,100),MATCH(O$4,INDIRECT(""&amp;$S$3&amp;"!$A$4"):INDIRECT(""&amp;$S$3&amp;"!$AD$4"),0),FALSE))</f>
        <v>0</v>
      </c>
      <c r="P17" s="90">
        <f ca="1">IF(ISERROR(VLOOKUP($K17,OFFSET(INDIRECT(""&amp;$S$3&amp;"!$A$4"),0,0,200,100),MATCH(P$4,INDIRECT(""&amp;$S$3&amp;"!$A$4"):INDIRECT(""&amp;$S$3&amp;"!$AD$4"),0),FALSE)),"",VLOOKUP($K17,OFFSET(INDIRECT(""&amp;$S$3&amp;"!$A$4"),0,0,200,100),MATCH(P$4,INDIRECT(""&amp;$S$3&amp;"!$A$4"):INDIRECT(""&amp;$S$3&amp;"!$AD$4"),0),FALSE))</f>
        <v>0</v>
      </c>
      <c r="Q17" s="90">
        <f ca="1">IF(ISERROR(VLOOKUP($K17,OFFSET(INDIRECT(""&amp;$S$3&amp;"!$A$4"),0,0,200,100),MATCH(Q$4,INDIRECT(""&amp;$S$3&amp;"!$A$4"):INDIRECT(""&amp;$S$3&amp;"!$AD$4"),0),FALSE)),"",VLOOKUP($K17,OFFSET(INDIRECT(""&amp;$S$3&amp;"!$A$4"),0,0,200,100),MATCH(Q$4,INDIRECT(""&amp;$S$3&amp;"!$A$4"):INDIRECT(""&amp;$S$3&amp;"!$AD$4"),0),FALSE))</f>
        <v>1681.7680580000001</v>
      </c>
      <c r="R17" s="90">
        <f ca="1">IF(ISERROR(VLOOKUP($K17,OFFSET(INDIRECT(""&amp;$S$3&amp;"!$A$4"),0,0,200,100),MATCH(R$4,INDIRECT(""&amp;$S$3&amp;"!$A$4"):INDIRECT(""&amp;$S$3&amp;"!$AD$4"),0),FALSE)),"",VLOOKUP($K17,OFFSET(INDIRECT(""&amp;$S$3&amp;"!$A$4"),0,0,200,100),MATCH(R$4,INDIRECT(""&amp;$S$3&amp;"!$A$4"):INDIRECT(""&amp;$S$3&amp;"!$AD$4"),0),FALSE))</f>
        <v>0</v>
      </c>
      <c r="S17" s="90">
        <f ca="1">IF(ISERROR(VLOOKUP($K17,OFFSET(INDIRECT(""&amp;$S$3&amp;"!$A$4"),0,0,200,100),MATCH(S$4,INDIRECT(""&amp;$S$3&amp;"!$A$4"):INDIRECT(""&amp;$S$3&amp;"!$AD$4"),0),FALSE)),"",VLOOKUP($K17,OFFSET(INDIRECT(""&amp;$S$3&amp;"!$A$4"),0,0,200,100),MATCH(S$4,INDIRECT(""&amp;$S$3&amp;"!$A$4"):INDIRECT(""&amp;$S$3&amp;"!$AD$4"),0),FALSE))</f>
        <v>0</v>
      </c>
      <c r="T17" s="90">
        <f ca="1">IF(ISERROR(VLOOKUP($K17,OFFSET(INDIRECT(""&amp;$S$3&amp;"!$A$4"),0,0,200,100),MATCH(T$4,INDIRECT(""&amp;$S$3&amp;"!$A$4"):INDIRECT(""&amp;$S$3&amp;"!$AD$4"),0),FALSE)),"",VLOOKUP($K17,OFFSET(INDIRECT(""&amp;$S$3&amp;"!$A$4"),0,0,200,100),MATCH(T$4,INDIRECT(""&amp;$S$3&amp;"!$A$4"):INDIRECT(""&amp;$S$3&amp;"!$AD$4"),0),FALSE))</f>
        <v>0</v>
      </c>
      <c r="U17" s="90">
        <f ca="1">IF(ISERROR(VLOOKUP($K17,OFFSET(INDIRECT(""&amp;$S$3&amp;"!$A$4"),0,0,200,100),MATCH(U$4,INDIRECT(""&amp;$S$3&amp;"!$A$4"):INDIRECT(""&amp;$S$3&amp;"!$AD$4"),0),FALSE)),"",VLOOKUP($K17,OFFSET(INDIRECT(""&amp;$S$3&amp;"!$A$4"),0,0,200,100),MATCH(U$4,INDIRECT(""&amp;$S$3&amp;"!$A$4"):INDIRECT(""&amp;$S$3&amp;"!$AD$4"),0),FALSE))</f>
        <v>36.087899999999998</v>
      </c>
      <c r="V17" s="90">
        <f ca="1">IF(ISERROR(VLOOKUP($K17,OFFSET(INDIRECT(""&amp;$S$3&amp;"!$A$4"),0,0,200,100),MATCH(V$4,INDIRECT(""&amp;$S$3&amp;"!$A$4"):INDIRECT(""&amp;$S$3&amp;"!$AD$4"),0),FALSE)),"",VLOOKUP($K17,OFFSET(INDIRECT(""&amp;$S$3&amp;"!$A$4"),0,0,200,100),MATCH(V$4,INDIRECT(""&amp;$S$3&amp;"!$A$4"):INDIRECT(""&amp;$S$3&amp;"!$AD$4"),0),FALSE))</f>
        <v>0</v>
      </c>
      <c r="W17" s="90">
        <f ca="1">IF(ISERROR(VLOOKUP($K17,OFFSET(INDIRECT(""&amp;$S$3&amp;"!$A$4"),0,0,200,100),MATCH(W$4,INDIRECT(""&amp;$S$3&amp;"!$A$4"):INDIRECT(""&amp;$S$3&amp;"!$AD$4"),0),FALSE)),"",VLOOKUP($K17,OFFSET(INDIRECT(""&amp;$S$3&amp;"!$A$4"),0,0,200,100),MATCH(W$4,INDIRECT(""&amp;$S$3&amp;"!$A$4"):INDIRECT(""&amp;$S$3&amp;"!$AD$4"),0),FALSE))</f>
        <v>0</v>
      </c>
      <c r="X17" s="90">
        <f ca="1">IF(ISERROR(VLOOKUP($K17,OFFSET(INDIRECT(""&amp;$S$3&amp;"!$A$4"),0,0,200,100),MATCH(X$4,INDIRECT(""&amp;$S$3&amp;"!$A$4"):INDIRECT(""&amp;$S$3&amp;"!$AD$4"),0),FALSE)),"",VLOOKUP($K17,OFFSET(INDIRECT(""&amp;$S$3&amp;"!$A$4"),0,0,200,100),MATCH(X$4,INDIRECT(""&amp;$S$3&amp;"!$A$4"):INDIRECT(""&amp;$S$3&amp;"!$AD$4"),0),FALSE))</f>
        <v>0</v>
      </c>
      <c r="Y17" s="90">
        <f ca="1">IF(ISERROR(VLOOKUP($K17,OFFSET(INDIRECT(""&amp;$S$3&amp;"!$A$4"),0,0,200,100),MATCH(Y$4,INDIRECT(""&amp;$S$3&amp;"!$A$4"):INDIRECT(""&amp;$S$3&amp;"!$AD$4"),0),FALSE)),"",VLOOKUP($K17,OFFSET(INDIRECT(""&amp;$S$3&amp;"!$A$4"),0,0,200,100),MATCH(Y$4,INDIRECT(""&amp;$S$3&amp;"!$A$4"):INDIRECT(""&amp;$S$3&amp;"!$AD$4"),0),FALSE))</f>
        <v>0</v>
      </c>
      <c r="Z17" s="90">
        <f ca="1">IF(ISERROR(VLOOKUP($K17,OFFSET(INDIRECT(""&amp;$S$3&amp;"!$A$4"),0,0,200,100),MATCH(Z$4,INDIRECT(""&amp;$S$3&amp;"!$A$4"):INDIRECT(""&amp;$S$3&amp;"!$AD$4"),0),FALSE)),"",VLOOKUP($K17,OFFSET(INDIRECT(""&amp;$S$3&amp;"!$A$4"),0,0,200,100),MATCH(Z$4,INDIRECT(""&amp;$S$3&amp;"!$A$4"):INDIRECT(""&amp;$S$3&amp;"!$AD$4"),0),FALSE))</f>
        <v>0</v>
      </c>
      <c r="AA17" s="90">
        <f t="shared" ca="1" si="21"/>
        <v>0</v>
      </c>
      <c r="AB17" s="92"/>
      <c r="AC17" s="87">
        <f t="shared" ca="1" si="4"/>
        <v>0</v>
      </c>
      <c r="AD17" s="87">
        <f t="shared" ca="1" si="5"/>
        <v>0</v>
      </c>
      <c r="AE17" s="87">
        <f t="shared" ca="1" si="6"/>
        <v>1.2238895686198714E-2</v>
      </c>
      <c r="AF17" s="87">
        <f t="shared" ca="1" si="7"/>
        <v>4.7858171082569074E-4</v>
      </c>
      <c r="AG17" s="87">
        <f t="shared" ca="1" si="8"/>
        <v>-6.9713997987137257E-4</v>
      </c>
      <c r="AH17" s="87">
        <f t="shared" ca="1" si="8"/>
        <v>-2.1948804897665283E-3</v>
      </c>
      <c r="AI17" s="145"/>
      <c r="AJ17" s="87">
        <f t="shared" ca="1" si="9"/>
        <v>0</v>
      </c>
      <c r="AK17" s="87">
        <f t="shared" ca="1" si="10"/>
        <v>0</v>
      </c>
      <c r="AL17" s="87">
        <f t="shared" ca="1" si="11"/>
        <v>2.404179840725958E-2</v>
      </c>
      <c r="AM17" s="87">
        <f t="shared" ca="1" si="12"/>
        <v>0</v>
      </c>
      <c r="AN17" s="87">
        <f t="shared" ca="1" si="13"/>
        <v>0</v>
      </c>
      <c r="AO17" s="87">
        <f t="shared" ca="1" si="14"/>
        <v>0</v>
      </c>
      <c r="AP17" s="87">
        <f t="shared" ca="1" si="15"/>
        <v>5.8537216211176901E-4</v>
      </c>
      <c r="AQ17" s="87">
        <f t="shared" ca="1" si="16"/>
        <v>0</v>
      </c>
      <c r="AR17" s="87">
        <f t="shared" ca="1" si="17"/>
        <v>0</v>
      </c>
      <c r="AS17" s="87">
        <f t="shared" ca="1" si="18"/>
        <v>0</v>
      </c>
      <c r="AT17" s="87">
        <f t="shared" ca="1" si="19"/>
        <v>0</v>
      </c>
      <c r="AU17" s="87">
        <f t="shared" ca="1" si="19"/>
        <v>0</v>
      </c>
      <c r="AV17" s="87">
        <f t="shared" ca="1" si="20"/>
        <v>0</v>
      </c>
    </row>
    <row r="18" spans="1:50" ht="15.95" customHeight="1" outlineLevel="1">
      <c r="A18" s="89" t="s">
        <v>224</v>
      </c>
      <c r="B18" s="111" t="s">
        <v>102</v>
      </c>
      <c r="C18" s="90">
        <f ca="1">IF(ISERROR(VLOOKUP($B18,OFFSET(INDIRECT(""&amp;$B$3&amp;"!$A$4"),0,0,200,100),MATCH(C$4,INDIRECT(""&amp;$B$3&amp;"!$A$4"):INDIRECT(""&amp;$B$3&amp;"!$o$4"),0),FALSE)),"",VLOOKUP($B18,OFFSET(INDIRECT(""&amp;$B$3&amp;"!$A$4"),0,0,200,100),MATCH(C$4,INDIRECT(""&amp;$B$3&amp;"!$A$4"):INDIRECT(""&amp;$B$3&amp;"!$o$4"),0),FALSE))</f>
        <v>0</v>
      </c>
      <c r="D18" s="90">
        <f ca="1">IF(ISERROR(VLOOKUP($B18,OFFSET(INDIRECT(""&amp;$B$3&amp;"!$A$4"),0,0,200,100),MATCH(D$4,INDIRECT(""&amp;$B$3&amp;"!$A$4"):INDIRECT(""&amp;$B$3&amp;"!$o$4"),0),FALSE)),"",VLOOKUP($B18,OFFSET(INDIRECT(""&amp;$B$3&amp;"!$A$4"),0,0,200,100),MATCH(D$4,INDIRECT(""&amp;$B$3&amp;"!$A$4"):INDIRECT(""&amp;$B$3&amp;"!$o$4"),0),FALSE))</f>
        <v>120</v>
      </c>
      <c r="E18" s="90">
        <f ca="1">IF(ISERROR(VLOOKUP($B18,OFFSET(INDIRECT(""&amp;$B$3&amp;"!$A$4"),0,0,200,100),MATCH(E$4,INDIRECT(""&amp;$B$3&amp;"!$A$4"):INDIRECT(""&amp;$B$3&amp;"!$o$4"),0),FALSE)),"",VLOOKUP($B18,OFFSET(INDIRECT(""&amp;$B$3&amp;"!$A$4"),0,0,200,100),MATCH(E$4,INDIRECT(""&amp;$B$3&amp;"!$A$4"):INDIRECT(""&amp;$B$3&amp;"!$o$4"),0),FALSE))</f>
        <v>0</v>
      </c>
      <c r="F18" s="90">
        <f ca="1">IF(ISERROR(VLOOKUP($B18,OFFSET(INDIRECT(""&amp;$B$3&amp;"!$A$4"),0,0,200,100),MATCH(F$4,INDIRECT(""&amp;$B$3&amp;"!$A$4"):INDIRECT(""&amp;$B$3&amp;"!$o$4"),0),FALSE)),"",VLOOKUP($B18,OFFSET(INDIRECT(""&amp;$B$3&amp;"!$A$4"),0,0,200,100),MATCH(F$4,INDIRECT(""&amp;$B$3&amp;"!$A$4"):INDIRECT(""&amp;$B$3&amp;"!$o$4"),0),FALSE))</f>
        <v>0</v>
      </c>
      <c r="G18" s="90">
        <f ca="1">IF(ISERROR(VLOOKUP($B18,OFFSET(INDIRECT(""&amp;$B$3&amp;"!$A$4"),0,0,200,100),MATCH(G$4,INDIRECT(""&amp;$B$3&amp;"!$A$4"):INDIRECT(""&amp;$B$3&amp;"!$o$4"),0),FALSE)),"",VLOOKUP($B18,OFFSET(INDIRECT(""&amp;$B$3&amp;"!$A$4"),0,0,200,100),MATCH(G$4,INDIRECT(""&amp;$B$3&amp;"!$A$4"):INDIRECT(""&amp;$B$3&amp;"!$o$4"),0),FALSE))</f>
        <v>2552.7819679999998</v>
      </c>
      <c r="H18" s="90">
        <f ca="1">IF(ISERROR(VLOOKUP($B18,OFFSET(INDIRECT(""&amp;$B$3&amp;"!$A$4"),0,0,200,100),MATCH(H$4,INDIRECT(""&amp;$B$3&amp;"!$A$4"):INDIRECT(""&amp;$B$3&amp;"!$o$4"),0),FALSE)),"",VLOOKUP($B18,OFFSET(INDIRECT(""&amp;$B$3&amp;"!$A$4"),0,0,200,100),MATCH(H$4,INDIRECT(""&amp;$B$3&amp;"!$A$4"):INDIRECT(""&amp;$B$3&amp;"!$o$4"),0),FALSE))</f>
        <v>1875.6546149999999</v>
      </c>
      <c r="I18" s="90">
        <f ca="1">IF(ISERROR(VLOOKUP($B18,OFFSET(INDIRECT(""&amp;$B$3&amp;"!$A$4"),0,0,200,100),MATCH(I$4,INDIRECT(""&amp;$B$3&amp;"!$A$4"):INDIRECT(""&amp;$B$3&amp;"!$o$4"),0),FALSE)),"",VLOOKUP($B18,OFFSET(INDIRECT(""&amp;$B$3&amp;"!$A$4"),0,0,200,100),MATCH(I$4,INDIRECT(""&amp;$B$3&amp;"!$A$4"):INDIRECT(""&amp;$B$3&amp;"!$o$4"),0),FALSE))</f>
        <v>1204.681349</v>
      </c>
      <c r="J18" s="90">
        <f ca="1">IF(ISERROR(VLOOKUP($B18,OFFSET(INDIRECT(""&amp;$B$3&amp;"!$A$4"),0,0,200,100),MATCH(J$4,INDIRECT(""&amp;$B$3&amp;"!$A$4"):INDIRECT(""&amp;$B$3&amp;"!$o$4"),0),FALSE)),"",VLOOKUP($B18,OFFSET(INDIRECT(""&amp;$B$3&amp;"!$A$4"),0,0,200,100),MATCH(J$4,INDIRECT(""&amp;$B$3&amp;"!$A$4"):INDIRECT(""&amp;$B$3&amp;"!$o$4"),0),FALSE))</f>
        <v>242.61522500000001</v>
      </c>
      <c r="K18" s="91" t="s">
        <v>102</v>
      </c>
      <c r="L18" s="90">
        <f ca="1">IF(ISERROR(VLOOKUP($K18,OFFSET(INDIRECT(""&amp;$S$3&amp;"!$A$4"),0,0,200,100),MATCH(L$4,INDIRECT(""&amp;$S$3&amp;"!$A$4"):INDIRECT(""&amp;$S$3&amp;"!$AD$4"),0),FALSE)),"",VLOOKUP($K18,OFFSET(INDIRECT(""&amp;$S$3&amp;"!$A$4"),0,0,200,100),MATCH(L$4,INDIRECT(""&amp;$S$3&amp;"!$A$4"):INDIRECT(""&amp;$S$3&amp;"!$AD$4"),0),FALSE))</f>
        <v>0</v>
      </c>
      <c r="M18" s="90">
        <f ca="1">IF(ISERROR(VLOOKUP($K18,OFFSET(INDIRECT(""&amp;$S$3&amp;"!$A$4"),0,0,200,100),MATCH(M$4,INDIRECT(""&amp;$S$3&amp;"!$A$4"):INDIRECT(""&amp;$S$3&amp;"!$AD$4"),0),FALSE)),"",VLOOKUP($K18,OFFSET(INDIRECT(""&amp;$S$3&amp;"!$A$4"),0,0,200,100),MATCH(M$4,INDIRECT(""&amp;$S$3&amp;"!$A$4"):INDIRECT(""&amp;$S$3&amp;"!$AD$4"),0),FALSE))</f>
        <v>0</v>
      </c>
      <c r="N18" s="90">
        <f ca="1">IF(ISERROR(VLOOKUP($K18,OFFSET(INDIRECT(""&amp;$S$3&amp;"!$A$4"),0,0,200,100),MATCH(N$4,INDIRECT(""&amp;$S$3&amp;"!$A$4"):INDIRECT(""&amp;$S$3&amp;"!$AD$4"),0),FALSE)),"",VLOOKUP($K18,OFFSET(INDIRECT(""&amp;$S$3&amp;"!$A$4"),0,0,200,100),MATCH(N$4,INDIRECT(""&amp;$S$3&amp;"!$A$4"):INDIRECT(""&amp;$S$3&amp;"!$AD$4"),0),FALSE))</f>
        <v>0</v>
      </c>
      <c r="O18" s="90">
        <f ca="1">IF(ISERROR(VLOOKUP($K18,OFFSET(INDIRECT(""&amp;$S$3&amp;"!$A$4"),0,0,200,100),MATCH(O$4,INDIRECT(""&amp;$S$3&amp;"!$A$4"):INDIRECT(""&amp;$S$3&amp;"!$AD$4"),0),FALSE)),"",VLOOKUP($K18,OFFSET(INDIRECT(""&amp;$S$3&amp;"!$A$4"),0,0,200,100),MATCH(O$4,INDIRECT(""&amp;$S$3&amp;"!$A$4"):INDIRECT(""&amp;$S$3&amp;"!$AD$4"),0),FALSE))</f>
        <v>0</v>
      </c>
      <c r="P18" s="90">
        <f ca="1">IF(ISERROR(VLOOKUP($K18,OFFSET(INDIRECT(""&amp;$S$3&amp;"!$A$4"),0,0,200,100),MATCH(P$4,INDIRECT(""&amp;$S$3&amp;"!$A$4"):INDIRECT(""&amp;$S$3&amp;"!$AD$4"),0),FALSE)),"",VLOOKUP($K18,OFFSET(INDIRECT(""&amp;$S$3&amp;"!$A$4"),0,0,200,100),MATCH(P$4,INDIRECT(""&amp;$S$3&amp;"!$A$4"):INDIRECT(""&amp;$S$3&amp;"!$AD$4"),0),FALSE))</f>
        <v>0</v>
      </c>
      <c r="Q18" s="90">
        <f ca="1">IF(ISERROR(VLOOKUP($K18,OFFSET(INDIRECT(""&amp;$S$3&amp;"!$A$4"),0,0,200,100),MATCH(Q$4,INDIRECT(""&amp;$S$3&amp;"!$A$4"):INDIRECT(""&amp;$S$3&amp;"!$AD$4"),0),FALSE)),"",VLOOKUP($K18,OFFSET(INDIRECT(""&amp;$S$3&amp;"!$A$4"),0,0,200,100),MATCH(Q$4,INDIRECT(""&amp;$S$3&amp;"!$A$4"):INDIRECT(""&amp;$S$3&amp;"!$AD$4"),0),FALSE))</f>
        <v>1681.7680580000001</v>
      </c>
      <c r="R18" s="90">
        <f ca="1">IF(ISERROR(VLOOKUP($K18,OFFSET(INDIRECT(""&amp;$S$3&amp;"!$A$4"),0,0,200,100),MATCH(R$4,INDIRECT(""&amp;$S$3&amp;"!$A$4"):INDIRECT(""&amp;$S$3&amp;"!$AD$4"),0),FALSE)),"",VLOOKUP($K18,OFFSET(INDIRECT(""&amp;$S$3&amp;"!$A$4"),0,0,200,100),MATCH(R$4,INDIRECT(""&amp;$S$3&amp;"!$A$4"):INDIRECT(""&amp;$S$3&amp;"!$AD$4"),0),FALSE))</f>
        <v>0</v>
      </c>
      <c r="S18" s="90">
        <f ca="1">IF(ISERROR(VLOOKUP($K18,OFFSET(INDIRECT(""&amp;$S$3&amp;"!$A$4"),0,0,200,100),MATCH(S$4,INDIRECT(""&amp;$S$3&amp;"!$A$4"):INDIRECT(""&amp;$S$3&amp;"!$AD$4"),0),FALSE)),"",VLOOKUP($K18,OFFSET(INDIRECT(""&amp;$S$3&amp;"!$A$4"),0,0,200,100),MATCH(S$4,INDIRECT(""&amp;$S$3&amp;"!$A$4"):INDIRECT(""&amp;$S$3&amp;"!$AD$4"),0),FALSE))</f>
        <v>133.35718199999999</v>
      </c>
      <c r="T18" s="90">
        <f ca="1">IF(ISERROR(VLOOKUP($K18,OFFSET(INDIRECT(""&amp;$S$3&amp;"!$A$4"),0,0,200,100),MATCH(T$4,INDIRECT(""&amp;$S$3&amp;"!$A$4"):INDIRECT(""&amp;$S$3&amp;"!$AD$4"),0),FALSE)),"",VLOOKUP($K18,OFFSET(INDIRECT(""&amp;$S$3&amp;"!$A$4"),0,0,200,100),MATCH(T$4,INDIRECT(""&amp;$S$3&amp;"!$A$4"):INDIRECT(""&amp;$S$3&amp;"!$AD$4"),0),FALSE))</f>
        <v>0</v>
      </c>
      <c r="U18" s="90">
        <f ca="1">IF(ISERROR(VLOOKUP($K18,OFFSET(INDIRECT(""&amp;$S$3&amp;"!$A$4"),0,0,200,100),MATCH(U$4,INDIRECT(""&amp;$S$3&amp;"!$A$4"):INDIRECT(""&amp;$S$3&amp;"!$AD$4"),0),FALSE)),"",VLOOKUP($K18,OFFSET(INDIRECT(""&amp;$S$3&amp;"!$A$4"),0,0,200,100),MATCH(U$4,INDIRECT(""&amp;$S$3&amp;"!$A$4"):INDIRECT(""&amp;$S$3&amp;"!$AD$4"),0),FALSE))</f>
        <v>36.087899999999998</v>
      </c>
      <c r="V18" s="90">
        <f ca="1">IF(ISERROR(VLOOKUP($K18,OFFSET(INDIRECT(""&amp;$S$3&amp;"!$A$4"),0,0,200,100),MATCH(V$4,INDIRECT(""&amp;$S$3&amp;"!$A$4"):INDIRECT(""&amp;$S$3&amp;"!$AD$4"),0),FALSE)),"",VLOOKUP($K18,OFFSET(INDIRECT(""&amp;$S$3&amp;"!$A$4"),0,0,200,100),MATCH(V$4,INDIRECT(""&amp;$S$3&amp;"!$A$4"):INDIRECT(""&amp;$S$3&amp;"!$AD$4"),0),FALSE))</f>
        <v>0</v>
      </c>
      <c r="W18" s="90">
        <f ca="1">IF(ISERROR(VLOOKUP($K18,OFFSET(INDIRECT(""&amp;$S$3&amp;"!$A$4"),0,0,200,100),MATCH(W$4,INDIRECT(""&amp;$S$3&amp;"!$A$4"):INDIRECT(""&amp;$S$3&amp;"!$AD$4"),0),FALSE)),"",VLOOKUP($K18,OFFSET(INDIRECT(""&amp;$S$3&amp;"!$A$4"),0,0,200,100),MATCH(W$4,INDIRECT(""&amp;$S$3&amp;"!$A$4"):INDIRECT(""&amp;$S$3&amp;"!$AD$4"),0),FALSE))</f>
        <v>1979.0279760000001</v>
      </c>
      <c r="X18" s="90">
        <f ca="1">IF(ISERROR(VLOOKUP($K18,OFFSET(INDIRECT(""&amp;$S$3&amp;"!$A$4"),0,0,200,100),MATCH(X$4,INDIRECT(""&amp;$S$3&amp;"!$A$4"):INDIRECT(""&amp;$S$3&amp;"!$AD$4"),0),FALSE)),"",VLOOKUP($K18,OFFSET(INDIRECT(""&amp;$S$3&amp;"!$A$4"),0,0,200,100),MATCH(X$4,INDIRECT(""&amp;$S$3&amp;"!$A$4"):INDIRECT(""&amp;$S$3&amp;"!$AD$4"),0),FALSE))</f>
        <v>0</v>
      </c>
      <c r="Y18" s="90">
        <f ca="1">IF(ISERROR(VLOOKUP($K18,OFFSET(INDIRECT(""&amp;$S$3&amp;"!$A$4"),0,0,200,100),MATCH(Y$4,INDIRECT(""&amp;$S$3&amp;"!$A$4"):INDIRECT(""&amp;$S$3&amp;"!$AD$4"),0),FALSE)),"",VLOOKUP($K18,OFFSET(INDIRECT(""&amp;$S$3&amp;"!$A$4"),0,0,200,100),MATCH(Y$4,INDIRECT(""&amp;$S$3&amp;"!$A$4"):INDIRECT(""&amp;$S$3&amp;"!$AD$4"),0),FALSE))</f>
        <v>2817.8184769999998</v>
      </c>
      <c r="Z18" s="90">
        <f ca="1">IF(ISERROR(VLOOKUP($K18,OFFSET(INDIRECT(""&amp;$S$3&amp;"!$A$4"),0,0,200,100),MATCH(Z$4,INDIRECT(""&amp;$S$3&amp;"!$A$4"):INDIRECT(""&amp;$S$3&amp;"!$AD$4"),0),FALSE)),"",VLOOKUP($K18,OFFSET(INDIRECT(""&amp;$S$3&amp;"!$A$4"),0,0,200,100),MATCH(Z$4,INDIRECT(""&amp;$S$3&amp;"!$A$4"):INDIRECT(""&amp;$S$3&amp;"!$AD$4"),0),FALSE))</f>
        <v>0</v>
      </c>
      <c r="AA18" s="90">
        <f t="shared" ca="1" si="21"/>
        <v>1979.0279760000001</v>
      </c>
      <c r="AB18" s="92"/>
      <c r="AC18" s="87">
        <f t="shared" ca="1" si="4"/>
        <v>0</v>
      </c>
      <c r="AD18" s="87">
        <f t="shared" ca="1" si="5"/>
        <v>0</v>
      </c>
      <c r="AE18" s="87">
        <f t="shared" ca="1" si="6"/>
        <v>1.1631278378099311E-2</v>
      </c>
      <c r="AF18" s="87">
        <f t="shared" ca="1" si="7"/>
        <v>8.6836104184017226E-3</v>
      </c>
      <c r="AG18" s="87">
        <f t="shared" ca="1" si="8"/>
        <v>8.1326820736626962E-3</v>
      </c>
      <c r="AH18" s="87">
        <f t="shared" ca="1" si="8"/>
        <v>1.4178881556507783E-3</v>
      </c>
      <c r="AI18" s="145"/>
      <c r="AJ18" s="87">
        <f t="shared" ca="1" si="9"/>
        <v>0</v>
      </c>
      <c r="AK18" s="87">
        <f t="shared" ca="1" si="10"/>
        <v>0</v>
      </c>
      <c r="AL18" s="87">
        <f t="shared" ca="1" si="11"/>
        <v>2.404179840725958E-2</v>
      </c>
      <c r="AM18" s="87">
        <f t="shared" ca="1" si="12"/>
        <v>0</v>
      </c>
      <c r="AN18" s="87">
        <f t="shared" ca="1" si="13"/>
        <v>2.7288569212897238E-3</v>
      </c>
      <c r="AO18" s="87">
        <f t="shared" ca="1" si="14"/>
        <v>0</v>
      </c>
      <c r="AP18" s="87">
        <f t="shared" ca="1" si="15"/>
        <v>5.8537216211176901E-4</v>
      </c>
      <c r="AQ18" s="87">
        <f t="shared" ca="1" si="16"/>
        <v>0</v>
      </c>
      <c r="AR18" s="87">
        <f t="shared" ca="1" si="17"/>
        <v>3.9471976556248879E-2</v>
      </c>
      <c r="AS18" s="87">
        <f t="shared" ca="1" si="18"/>
        <v>0</v>
      </c>
      <c r="AT18" s="87">
        <f t="shared" ca="1" si="19"/>
        <v>7.8857616510511888E-2</v>
      </c>
      <c r="AU18" s="87">
        <f t="shared" ca="1" si="19"/>
        <v>0</v>
      </c>
      <c r="AV18" s="87">
        <f t="shared" ca="1" si="20"/>
        <v>1.3959374356253048E-2</v>
      </c>
    </row>
    <row r="19" spans="1:50" ht="15.95" customHeight="1" outlineLevel="1">
      <c r="A19" s="89" t="s">
        <v>225</v>
      </c>
      <c r="B19" s="111" t="s">
        <v>103</v>
      </c>
      <c r="C19" s="90">
        <f ca="1">IF(ISERROR(VLOOKUP($B19,OFFSET(INDIRECT(""&amp;$B$3&amp;"!$A$4"),0,0,200,100),MATCH(C$4,INDIRECT(""&amp;$B$3&amp;"!$A$4"):INDIRECT(""&amp;$B$3&amp;"!$o$4"),0),FALSE)),"",VLOOKUP($B19,OFFSET(INDIRECT(""&amp;$B$3&amp;"!$A$4"),0,0,200,100),MATCH(C$4,INDIRECT(""&amp;$B$3&amp;"!$A$4"):INDIRECT(""&amp;$B$3&amp;"!$o$4"),0),FALSE))</f>
        <v>0</v>
      </c>
      <c r="D19" s="90">
        <f ca="1">IF(ISERROR(VLOOKUP($B19,OFFSET(INDIRECT(""&amp;$B$3&amp;"!$A$4"),0,0,200,100),MATCH(D$4,INDIRECT(""&amp;$B$3&amp;"!$A$4"):INDIRECT(""&amp;$B$3&amp;"!$o$4"),0),FALSE)),"",VLOOKUP($B19,OFFSET(INDIRECT(""&amp;$B$3&amp;"!$A$4"),0,0,200,100),MATCH(D$4,INDIRECT(""&amp;$B$3&amp;"!$A$4"):INDIRECT(""&amp;$B$3&amp;"!$o$4"),0),FALSE))</f>
        <v>0</v>
      </c>
      <c r="E19" s="90">
        <f ca="1">IF(ISERROR(VLOOKUP($B19,OFFSET(INDIRECT(""&amp;$B$3&amp;"!$A$4"),0,0,200,100),MATCH(E$4,INDIRECT(""&amp;$B$3&amp;"!$A$4"):INDIRECT(""&amp;$B$3&amp;"!$o$4"),0),FALSE)),"",VLOOKUP($B19,OFFSET(INDIRECT(""&amp;$B$3&amp;"!$A$4"),0,0,200,100),MATCH(E$4,INDIRECT(""&amp;$B$3&amp;"!$A$4"):INDIRECT(""&amp;$B$3&amp;"!$o$4"),0),FALSE))</f>
        <v>0</v>
      </c>
      <c r="F19" s="90">
        <f ca="1">IF(ISERROR(VLOOKUP($B19,OFFSET(INDIRECT(""&amp;$B$3&amp;"!$A$4"),0,0,200,100),MATCH(F$4,INDIRECT(""&amp;$B$3&amp;"!$A$4"):INDIRECT(""&amp;$B$3&amp;"!$o$4"),0),FALSE)),"",VLOOKUP($B19,OFFSET(INDIRECT(""&amp;$B$3&amp;"!$A$4"),0,0,200,100),MATCH(F$4,INDIRECT(""&amp;$B$3&amp;"!$A$4"):INDIRECT(""&amp;$B$3&amp;"!$o$4"),0),FALSE))</f>
        <v>0</v>
      </c>
      <c r="G19" s="90">
        <f ca="1">IF(ISERROR(VLOOKUP($B19,OFFSET(INDIRECT(""&amp;$B$3&amp;"!$A$4"),0,0,200,100),MATCH(G$4,INDIRECT(""&amp;$B$3&amp;"!$A$4"):INDIRECT(""&amp;$B$3&amp;"!$o$4"),0),FALSE)),"",VLOOKUP($B19,OFFSET(INDIRECT(""&amp;$B$3&amp;"!$A$4"),0,0,200,100),MATCH(G$4,INDIRECT(""&amp;$B$3&amp;"!$A$4"):INDIRECT(""&amp;$B$3&amp;"!$o$4"),0),FALSE))</f>
        <v>0</v>
      </c>
      <c r="H19" s="90">
        <f ca="1">IF(ISERROR(VLOOKUP($B19,OFFSET(INDIRECT(""&amp;$B$3&amp;"!$A$4"),0,0,200,100),MATCH(H$4,INDIRECT(""&amp;$B$3&amp;"!$A$4"):INDIRECT(""&amp;$B$3&amp;"!$o$4"),0),FALSE)),"",VLOOKUP($B19,OFFSET(INDIRECT(""&amp;$B$3&amp;"!$A$4"),0,0,200,100),MATCH(H$4,INDIRECT(""&amp;$B$3&amp;"!$A$4"):INDIRECT(""&amp;$B$3&amp;"!$o$4"),0),FALSE))</f>
        <v>0</v>
      </c>
      <c r="I19" s="90">
        <f ca="1">IF(ISERROR(VLOOKUP($B19,OFFSET(INDIRECT(""&amp;$B$3&amp;"!$A$4"),0,0,200,100),MATCH(I$4,INDIRECT(""&amp;$B$3&amp;"!$A$4"):INDIRECT(""&amp;$B$3&amp;"!$o$4"),0),FALSE)),"",VLOOKUP($B19,OFFSET(INDIRECT(""&amp;$B$3&amp;"!$A$4"),0,0,200,100),MATCH(I$4,INDIRECT(""&amp;$B$3&amp;"!$A$4"):INDIRECT(""&amp;$B$3&amp;"!$o$4"),0),FALSE))</f>
        <v>0</v>
      </c>
      <c r="J19" s="90">
        <f ca="1">IF(ISERROR(VLOOKUP($B19,OFFSET(INDIRECT(""&amp;$B$3&amp;"!$A$4"),0,0,200,100),MATCH(J$4,INDIRECT(""&amp;$B$3&amp;"!$A$4"):INDIRECT(""&amp;$B$3&amp;"!$o$4"),0),FALSE)),"",VLOOKUP($B19,OFFSET(INDIRECT(""&amp;$B$3&amp;"!$A$4"),0,0,200,100),MATCH(J$4,INDIRECT(""&amp;$B$3&amp;"!$A$4"):INDIRECT(""&amp;$B$3&amp;"!$o$4"),0),FALSE))</f>
        <v>0</v>
      </c>
      <c r="K19" s="91" t="s">
        <v>103</v>
      </c>
      <c r="L19" s="90">
        <f ca="1">IF(ISERROR(VLOOKUP($K19,OFFSET(INDIRECT(""&amp;$S$3&amp;"!$A$4"),0,0,200,100),MATCH(L$4,INDIRECT(""&amp;$S$3&amp;"!$A$4"):INDIRECT(""&amp;$S$3&amp;"!$AD$4"),0),FALSE)),"",VLOOKUP($K19,OFFSET(INDIRECT(""&amp;$S$3&amp;"!$A$4"),0,0,200,100),MATCH(L$4,INDIRECT(""&amp;$S$3&amp;"!$A$4"):INDIRECT(""&amp;$S$3&amp;"!$AD$4"),0),FALSE))</f>
        <v>0</v>
      </c>
      <c r="M19" s="90">
        <f ca="1">IF(ISERROR(VLOOKUP($K19,OFFSET(INDIRECT(""&amp;$S$3&amp;"!$A$4"),0,0,200,100),MATCH(M$4,INDIRECT(""&amp;$S$3&amp;"!$A$4"):INDIRECT(""&amp;$S$3&amp;"!$AD$4"),0),FALSE)),"",VLOOKUP($K19,OFFSET(INDIRECT(""&amp;$S$3&amp;"!$A$4"),0,0,200,100),MATCH(M$4,INDIRECT(""&amp;$S$3&amp;"!$A$4"):INDIRECT(""&amp;$S$3&amp;"!$AD$4"),0),FALSE))</f>
        <v>0</v>
      </c>
      <c r="N19" s="90">
        <f ca="1">IF(ISERROR(VLOOKUP($K19,OFFSET(INDIRECT(""&amp;$S$3&amp;"!$A$4"),0,0,200,100),MATCH(N$4,INDIRECT(""&amp;$S$3&amp;"!$A$4"):INDIRECT(""&amp;$S$3&amp;"!$AD$4"),0),FALSE)),"",VLOOKUP($K19,OFFSET(INDIRECT(""&amp;$S$3&amp;"!$A$4"),0,0,200,100),MATCH(N$4,INDIRECT(""&amp;$S$3&amp;"!$A$4"):INDIRECT(""&amp;$S$3&amp;"!$AD$4"),0),FALSE))</f>
        <v>0</v>
      </c>
      <c r="O19" s="90">
        <f ca="1">IF(ISERROR(VLOOKUP($K19,OFFSET(INDIRECT(""&amp;$S$3&amp;"!$A$4"),0,0,200,100),MATCH(O$4,INDIRECT(""&amp;$S$3&amp;"!$A$4"):INDIRECT(""&amp;$S$3&amp;"!$AD$4"),0),FALSE)),"",VLOOKUP($K19,OFFSET(INDIRECT(""&amp;$S$3&amp;"!$A$4"),0,0,200,100),MATCH(O$4,INDIRECT(""&amp;$S$3&amp;"!$A$4"):INDIRECT(""&amp;$S$3&amp;"!$AD$4"),0),FALSE))</f>
        <v>0</v>
      </c>
      <c r="P19" s="90">
        <f ca="1">IF(ISERROR(VLOOKUP($K19,OFFSET(INDIRECT(""&amp;$S$3&amp;"!$A$4"),0,0,200,100),MATCH(P$4,INDIRECT(""&amp;$S$3&amp;"!$A$4"):INDIRECT(""&amp;$S$3&amp;"!$AD$4"),0),FALSE)),"",VLOOKUP($K19,OFFSET(INDIRECT(""&amp;$S$3&amp;"!$A$4"),0,0,200,100),MATCH(P$4,INDIRECT(""&amp;$S$3&amp;"!$A$4"):INDIRECT(""&amp;$S$3&amp;"!$AD$4"),0),FALSE))</f>
        <v>0</v>
      </c>
      <c r="Q19" s="90">
        <f ca="1">IF(ISERROR(VLOOKUP($K19,OFFSET(INDIRECT(""&amp;$S$3&amp;"!$A$4"),0,0,200,100),MATCH(Q$4,INDIRECT(""&amp;$S$3&amp;"!$A$4"):INDIRECT(""&amp;$S$3&amp;"!$AD$4"),0),FALSE)),"",VLOOKUP($K19,OFFSET(INDIRECT(""&amp;$S$3&amp;"!$A$4"),0,0,200,100),MATCH(Q$4,INDIRECT(""&amp;$S$3&amp;"!$A$4"):INDIRECT(""&amp;$S$3&amp;"!$AD$4"),0),FALSE))</f>
        <v>0</v>
      </c>
      <c r="R19" s="90">
        <f ca="1">IF(ISERROR(VLOOKUP($K19,OFFSET(INDIRECT(""&amp;$S$3&amp;"!$A$4"),0,0,200,100),MATCH(R$4,INDIRECT(""&amp;$S$3&amp;"!$A$4"):INDIRECT(""&amp;$S$3&amp;"!$AD$4"),0),FALSE)),"",VLOOKUP($K19,OFFSET(INDIRECT(""&amp;$S$3&amp;"!$A$4"),0,0,200,100),MATCH(R$4,INDIRECT(""&amp;$S$3&amp;"!$A$4"):INDIRECT(""&amp;$S$3&amp;"!$AD$4"),0),FALSE))</f>
        <v>0</v>
      </c>
      <c r="S19" s="90">
        <f ca="1">IF(ISERROR(VLOOKUP($K19,OFFSET(INDIRECT(""&amp;$S$3&amp;"!$A$4"),0,0,200,100),MATCH(S$4,INDIRECT(""&amp;$S$3&amp;"!$A$4"):INDIRECT(""&amp;$S$3&amp;"!$AD$4"),0),FALSE)),"",VLOOKUP($K19,OFFSET(INDIRECT(""&amp;$S$3&amp;"!$A$4"),0,0,200,100),MATCH(S$4,INDIRECT(""&amp;$S$3&amp;"!$A$4"):INDIRECT(""&amp;$S$3&amp;"!$AD$4"),0),FALSE))</f>
        <v>0</v>
      </c>
      <c r="T19" s="90">
        <f ca="1">IF(ISERROR(VLOOKUP($K19,OFFSET(INDIRECT(""&amp;$S$3&amp;"!$A$4"),0,0,200,100),MATCH(T$4,INDIRECT(""&amp;$S$3&amp;"!$A$4"):INDIRECT(""&amp;$S$3&amp;"!$AD$4"),0),FALSE)),"",VLOOKUP($K19,OFFSET(INDIRECT(""&amp;$S$3&amp;"!$A$4"),0,0,200,100),MATCH(T$4,INDIRECT(""&amp;$S$3&amp;"!$A$4"):INDIRECT(""&amp;$S$3&amp;"!$AD$4"),0),FALSE))</f>
        <v>0</v>
      </c>
      <c r="U19" s="90">
        <f ca="1">IF(ISERROR(VLOOKUP($K19,OFFSET(INDIRECT(""&amp;$S$3&amp;"!$A$4"),0,0,200,100),MATCH(U$4,INDIRECT(""&amp;$S$3&amp;"!$A$4"):INDIRECT(""&amp;$S$3&amp;"!$AD$4"),0),FALSE)),"",VLOOKUP($K19,OFFSET(INDIRECT(""&amp;$S$3&amp;"!$A$4"),0,0,200,100),MATCH(U$4,INDIRECT(""&amp;$S$3&amp;"!$A$4"):INDIRECT(""&amp;$S$3&amp;"!$AD$4"),0),FALSE))</f>
        <v>0</v>
      </c>
      <c r="V19" s="90">
        <f ca="1">IF(ISERROR(VLOOKUP($K19,OFFSET(INDIRECT(""&amp;$S$3&amp;"!$A$4"),0,0,200,100),MATCH(V$4,INDIRECT(""&amp;$S$3&amp;"!$A$4"):INDIRECT(""&amp;$S$3&amp;"!$AD$4"),0),FALSE)),"",VLOOKUP($K19,OFFSET(INDIRECT(""&amp;$S$3&amp;"!$A$4"),0,0,200,100),MATCH(V$4,INDIRECT(""&amp;$S$3&amp;"!$A$4"):INDIRECT(""&amp;$S$3&amp;"!$AD$4"),0),FALSE))</f>
        <v>0</v>
      </c>
      <c r="W19" s="90">
        <f ca="1">IF(ISERROR(VLOOKUP($K19,OFFSET(INDIRECT(""&amp;$S$3&amp;"!$A$4"),0,0,200,100),MATCH(W$4,INDIRECT(""&amp;$S$3&amp;"!$A$4"):INDIRECT(""&amp;$S$3&amp;"!$AD$4"),0),FALSE)),"",VLOOKUP($K19,OFFSET(INDIRECT(""&amp;$S$3&amp;"!$A$4"),0,0,200,100),MATCH(W$4,INDIRECT(""&amp;$S$3&amp;"!$A$4"):INDIRECT(""&amp;$S$3&amp;"!$AD$4"),0),FALSE))</f>
        <v>0</v>
      </c>
      <c r="X19" s="90">
        <f ca="1">IF(ISERROR(VLOOKUP($K19,OFFSET(INDIRECT(""&amp;$S$3&amp;"!$A$4"),0,0,200,100),MATCH(X$4,INDIRECT(""&amp;$S$3&amp;"!$A$4"):INDIRECT(""&amp;$S$3&amp;"!$AD$4"),0),FALSE)),"",VLOOKUP($K19,OFFSET(INDIRECT(""&amp;$S$3&amp;"!$A$4"),0,0,200,100),MATCH(X$4,INDIRECT(""&amp;$S$3&amp;"!$A$4"):INDIRECT(""&amp;$S$3&amp;"!$AD$4"),0),FALSE))</f>
        <v>0</v>
      </c>
      <c r="Y19" s="90">
        <f ca="1">IF(ISERROR(VLOOKUP($K19,OFFSET(INDIRECT(""&amp;$S$3&amp;"!$A$4"),0,0,200,100),MATCH(Y$4,INDIRECT(""&amp;$S$3&amp;"!$A$4"):INDIRECT(""&amp;$S$3&amp;"!$AD$4"),0),FALSE)),"",VLOOKUP($K19,OFFSET(INDIRECT(""&amp;$S$3&amp;"!$A$4"),0,0,200,100),MATCH(Y$4,INDIRECT(""&amp;$S$3&amp;"!$A$4"):INDIRECT(""&amp;$S$3&amp;"!$AD$4"),0),FALSE))</f>
        <v>0</v>
      </c>
      <c r="Z19" s="90">
        <f ca="1">IF(ISERROR(VLOOKUP($K19,OFFSET(INDIRECT(""&amp;$S$3&amp;"!$A$4"),0,0,200,100),MATCH(Z$4,INDIRECT(""&amp;$S$3&amp;"!$A$4"):INDIRECT(""&amp;$S$3&amp;"!$AD$4"),0),FALSE)),"",VLOOKUP($K19,OFFSET(INDIRECT(""&amp;$S$3&amp;"!$A$4"),0,0,200,100),MATCH(Z$4,INDIRECT(""&amp;$S$3&amp;"!$A$4"):INDIRECT(""&amp;$S$3&amp;"!$AD$4"),0),FALSE))</f>
        <v>0</v>
      </c>
      <c r="AA19" s="90">
        <f t="shared" ca="1" si="21"/>
        <v>0</v>
      </c>
      <c r="AB19" s="92"/>
      <c r="AC19" s="87">
        <f t="shared" ca="1" si="4"/>
        <v>0</v>
      </c>
      <c r="AD19" s="87">
        <f t="shared" ca="1" si="5"/>
        <v>0</v>
      </c>
      <c r="AE19" s="87">
        <f t="shared" ca="1" si="6"/>
        <v>0</v>
      </c>
      <c r="AF19" s="87">
        <f t="shared" ca="1" si="7"/>
        <v>0</v>
      </c>
      <c r="AG19" s="87">
        <f t="shared" ca="1" si="8"/>
        <v>0</v>
      </c>
      <c r="AH19" s="87">
        <f t="shared" ca="1" si="8"/>
        <v>0</v>
      </c>
      <c r="AI19" s="144"/>
      <c r="AJ19" s="87">
        <f t="shared" ca="1" si="9"/>
        <v>0</v>
      </c>
      <c r="AK19" s="87">
        <f t="shared" ca="1" si="10"/>
        <v>0</v>
      </c>
      <c r="AL19" s="87">
        <f t="shared" ca="1" si="11"/>
        <v>0</v>
      </c>
      <c r="AM19" s="87">
        <f t="shared" ca="1" si="12"/>
        <v>0</v>
      </c>
      <c r="AN19" s="87">
        <f t="shared" ca="1" si="13"/>
        <v>0</v>
      </c>
      <c r="AO19" s="87">
        <f t="shared" ca="1" si="14"/>
        <v>0</v>
      </c>
      <c r="AP19" s="87">
        <f t="shared" ca="1" si="15"/>
        <v>0</v>
      </c>
      <c r="AQ19" s="87">
        <f t="shared" ca="1" si="16"/>
        <v>0</v>
      </c>
      <c r="AR19" s="87">
        <f t="shared" ca="1" si="17"/>
        <v>0</v>
      </c>
      <c r="AS19" s="87">
        <f t="shared" ca="1" si="18"/>
        <v>0</v>
      </c>
      <c r="AT19" s="87">
        <f t="shared" ca="1" si="19"/>
        <v>0</v>
      </c>
      <c r="AU19" s="87">
        <f t="shared" ca="1" si="19"/>
        <v>0</v>
      </c>
      <c r="AV19" s="87">
        <f t="shared" ca="1" si="20"/>
        <v>0</v>
      </c>
    </row>
    <row r="20" spans="1:50" ht="15.95" customHeight="1" outlineLevel="1">
      <c r="A20" s="85" t="s">
        <v>226</v>
      </c>
      <c r="B20" s="116" t="s">
        <v>104</v>
      </c>
      <c r="C20" s="76">
        <f ca="1">IF(ISERROR(VLOOKUP($B20,OFFSET(INDIRECT(""&amp;$B$3&amp;"!$A$4"),0,0,200,100),MATCH(C$4,INDIRECT(""&amp;$B$3&amp;"!$A$4"):INDIRECT(""&amp;$B$3&amp;"!$o$4"),0),FALSE)),"",VLOOKUP($B20,OFFSET(INDIRECT(""&amp;$B$3&amp;"!$A$4"),0,0,200,100),MATCH(C$4,INDIRECT(""&amp;$B$3&amp;"!$A$4"):INDIRECT(""&amp;$B$3&amp;"!$o$4"),0),FALSE))</f>
        <v>47574.547602999999</v>
      </c>
      <c r="D20" s="76">
        <f ca="1">IF(ISERROR(VLOOKUP($B20,OFFSET(INDIRECT(""&amp;$B$3&amp;"!$A$4"),0,0,200,100),MATCH(D$4,INDIRECT(""&amp;$B$3&amp;"!$A$4"):INDIRECT(""&amp;$B$3&amp;"!$o$4"),0),FALSE)),"",VLOOKUP($B20,OFFSET(INDIRECT(""&amp;$B$3&amp;"!$A$4"),0,0,200,100),MATCH(D$4,INDIRECT(""&amp;$B$3&amp;"!$A$4"):INDIRECT(""&amp;$B$3&amp;"!$o$4"),0),FALSE))</f>
        <v>48546.440063000002</v>
      </c>
      <c r="E20" s="76">
        <f ca="1">IF(ISERROR(VLOOKUP($B20,OFFSET(INDIRECT(""&amp;$B$3&amp;"!$A$4"),0,0,200,100),MATCH(E$4,INDIRECT(""&amp;$B$3&amp;"!$A$4"):INDIRECT(""&amp;$B$3&amp;"!$o$4"),0),FALSE)),"",VLOOKUP($B20,OFFSET(INDIRECT(""&amp;$B$3&amp;"!$A$4"),0,0,200,100),MATCH(E$4,INDIRECT(""&amp;$B$3&amp;"!$A$4"):INDIRECT(""&amp;$B$3&amp;"!$o$4"),0),FALSE))</f>
        <v>81831.908953000006</v>
      </c>
      <c r="F20" s="76">
        <f ca="1">IF(ISERROR(VLOOKUP($B20,OFFSET(INDIRECT(""&amp;$B$3&amp;"!$A$4"),0,0,200,100),MATCH(F$4,INDIRECT(""&amp;$B$3&amp;"!$A$4"):INDIRECT(""&amp;$B$3&amp;"!$o$4"),0),FALSE)),"",VLOOKUP($B20,OFFSET(INDIRECT(""&amp;$B$3&amp;"!$A$4"),0,0,200,100),MATCH(F$4,INDIRECT(""&amp;$B$3&amp;"!$A$4"):INDIRECT(""&amp;$B$3&amp;"!$o$4"),0),FALSE))</f>
        <v>70492.482109000004</v>
      </c>
      <c r="G20" s="76">
        <f ca="1">IF(ISERROR(VLOOKUP($B20,OFFSET(INDIRECT(""&amp;$B$3&amp;"!$A$4"),0,0,200,100),MATCH(G$4,INDIRECT(""&amp;$B$3&amp;"!$A$4"):INDIRECT(""&amp;$B$3&amp;"!$o$4"),0),FALSE)),"",VLOOKUP($B20,OFFSET(INDIRECT(""&amp;$B$3&amp;"!$A$4"),0,0,200,100),MATCH(G$4,INDIRECT(""&amp;$B$3&amp;"!$A$4"):INDIRECT(""&amp;$B$3&amp;"!$o$4"),0),FALSE))</f>
        <v>47040.089518000001</v>
      </c>
      <c r="H20" s="76">
        <f ca="1">IF(ISERROR(VLOOKUP($B20,OFFSET(INDIRECT(""&amp;$B$3&amp;"!$A$4"),0,0,200,100),MATCH(H$4,INDIRECT(""&amp;$B$3&amp;"!$A$4"):INDIRECT(""&amp;$B$3&amp;"!$o$4"),0),FALSE)),"",VLOOKUP($B20,OFFSET(INDIRECT(""&amp;$B$3&amp;"!$A$4"),0,0,200,100),MATCH(H$4,INDIRECT(""&amp;$B$3&amp;"!$A$4"):INDIRECT(""&amp;$B$3&amp;"!$o$4"),0),FALSE))</f>
        <v>18842.470161000001</v>
      </c>
      <c r="I20" s="76">
        <f ca="1">IF(ISERROR(VLOOKUP($B20,OFFSET(INDIRECT(""&amp;$B$3&amp;"!$A$4"),0,0,200,100),MATCH(I$4,INDIRECT(""&amp;$B$3&amp;"!$A$4"):INDIRECT(""&amp;$B$3&amp;"!$o$4"),0),FALSE)),"",VLOOKUP($B20,OFFSET(INDIRECT(""&amp;$B$3&amp;"!$A$4"),0,0,200,100),MATCH(I$4,INDIRECT(""&amp;$B$3&amp;"!$A$4"):INDIRECT(""&amp;$B$3&amp;"!$o$4"),0),FALSE))</f>
        <v>10730.692444</v>
      </c>
      <c r="J20" s="76">
        <f ca="1">IF(ISERROR(VLOOKUP($B20,OFFSET(INDIRECT(""&amp;$B$3&amp;"!$A$4"),0,0,200,100),MATCH(J$4,INDIRECT(""&amp;$B$3&amp;"!$A$4"):INDIRECT(""&amp;$B$3&amp;"!$o$4"),0),FALSE)),"",VLOOKUP($B20,OFFSET(INDIRECT(""&amp;$B$3&amp;"!$A$4"),0,0,200,100),MATCH(J$4,INDIRECT(""&amp;$B$3&amp;"!$A$4"):INDIRECT(""&amp;$B$3&amp;"!$o$4"),0),FALSE))</f>
        <v>18922.743263</v>
      </c>
      <c r="K20" s="91" t="s">
        <v>104</v>
      </c>
      <c r="L20" s="76">
        <f ca="1">IF(ISERROR(VLOOKUP($K20,OFFSET(INDIRECT(""&amp;$S$3&amp;"!$A$4"),0,0,200,100),MATCH(L$4,INDIRECT(""&amp;$S$3&amp;"!$A$4"):INDIRECT(""&amp;$S$3&amp;"!$AD$4"),0),FALSE)),"",VLOOKUP($K20,OFFSET(INDIRECT(""&amp;$S$3&amp;"!$A$4"),0,0,200,100),MATCH(L$4,INDIRECT(""&amp;$S$3&amp;"!$A$4"):INDIRECT(""&amp;$S$3&amp;"!$AD$4"),0),FALSE))</f>
        <v>17113.882771000001</v>
      </c>
      <c r="M20" s="76">
        <f ca="1">IF(ISERROR(VLOOKUP($K20,OFFSET(INDIRECT(""&amp;$S$3&amp;"!$A$4"),0,0,200,100),MATCH(M$4,INDIRECT(""&amp;$S$3&amp;"!$A$4"):INDIRECT(""&amp;$S$3&amp;"!$AD$4"),0),FALSE)),"",VLOOKUP($K20,OFFSET(INDIRECT(""&amp;$S$3&amp;"!$A$4"),0,0,200,100),MATCH(M$4,INDIRECT(""&amp;$S$3&amp;"!$A$4"):INDIRECT(""&amp;$S$3&amp;"!$AD$4"),0),FALSE))</f>
        <v>28969.008980999999</v>
      </c>
      <c r="N20" s="76">
        <f ca="1">IF(ISERROR(VLOOKUP($K20,OFFSET(INDIRECT(""&amp;$S$3&amp;"!$A$4"),0,0,200,100),MATCH(N$4,INDIRECT(""&amp;$S$3&amp;"!$A$4"):INDIRECT(""&amp;$S$3&amp;"!$AD$4"),0),FALSE)),"",VLOOKUP($K20,OFFSET(INDIRECT(""&amp;$S$3&amp;"!$A$4"),0,0,200,100),MATCH(N$4,INDIRECT(""&amp;$S$3&amp;"!$A$4"):INDIRECT(""&amp;$S$3&amp;"!$AD$4"),0),FALSE))</f>
        <v>16202.502726000001</v>
      </c>
      <c r="O20" s="76">
        <f ca="1">IF(ISERROR(VLOOKUP($K20,OFFSET(INDIRECT(""&amp;$S$3&amp;"!$A$4"),0,0,200,100),MATCH(O$4,INDIRECT(""&amp;$S$3&amp;"!$A$4"):INDIRECT(""&amp;$S$3&amp;"!$AD$4"),0),FALSE)),"",VLOOKUP($K20,OFFSET(INDIRECT(""&amp;$S$3&amp;"!$A$4"),0,0,200,100),MATCH(O$4,INDIRECT(""&amp;$S$3&amp;"!$A$4"):INDIRECT(""&amp;$S$3&amp;"!$AD$4"),0),FALSE))</f>
        <v>8436.9339980000004</v>
      </c>
      <c r="P20" s="76">
        <f ca="1">IF(ISERROR(VLOOKUP($K20,OFFSET(INDIRECT(""&amp;$S$3&amp;"!$A$4"),0,0,200,100),MATCH(P$4,INDIRECT(""&amp;$S$3&amp;"!$A$4"):INDIRECT(""&amp;$S$3&amp;"!$AD$4"),0),FALSE)),"",VLOOKUP($K20,OFFSET(INDIRECT(""&amp;$S$3&amp;"!$A$4"),0,0,200,100),MATCH(P$4,INDIRECT(""&amp;$S$3&amp;"!$A$4"):INDIRECT(""&amp;$S$3&amp;"!$AD$4"),0),FALSE))</f>
        <v>14566.372235999999</v>
      </c>
      <c r="Q20" s="76">
        <f ca="1">IF(ISERROR(VLOOKUP($K20,OFFSET(INDIRECT(""&amp;$S$3&amp;"!$A$4"),0,0,200,100),MATCH(Q$4,INDIRECT(""&amp;$S$3&amp;"!$A$4"):INDIRECT(""&amp;$S$3&amp;"!$AD$4"),0),FALSE)),"",VLOOKUP($K20,OFFSET(INDIRECT(""&amp;$S$3&amp;"!$A$4"),0,0,200,100),MATCH(Q$4,INDIRECT(""&amp;$S$3&amp;"!$A$4"):INDIRECT(""&amp;$S$3&amp;"!$AD$4"),0),FALSE))</f>
        <v>16348.058612000001</v>
      </c>
      <c r="R20" s="76">
        <f ca="1">IF(ISERROR(VLOOKUP($K20,OFFSET(INDIRECT(""&amp;$S$3&amp;"!$A$4"),0,0,200,100),MATCH(R$4,INDIRECT(""&amp;$S$3&amp;"!$A$4"):INDIRECT(""&amp;$S$3&amp;"!$AD$4"),0),FALSE)),"",VLOOKUP($K20,OFFSET(INDIRECT(""&amp;$S$3&amp;"!$A$4"),0,0,200,100),MATCH(R$4,INDIRECT(""&amp;$S$3&amp;"!$A$4"):INDIRECT(""&amp;$S$3&amp;"!$AD$4"),0),FALSE))</f>
        <v>9751.5266659999998</v>
      </c>
      <c r="S20" s="76">
        <f ca="1">IF(ISERROR(VLOOKUP($K20,OFFSET(INDIRECT(""&amp;$S$3&amp;"!$A$4"),0,0,200,100),MATCH(S$4,INDIRECT(""&amp;$S$3&amp;"!$A$4"):INDIRECT(""&amp;$S$3&amp;"!$AD$4"),0),FALSE)),"",VLOOKUP($K20,OFFSET(INDIRECT(""&amp;$S$3&amp;"!$A$4"),0,0,200,100),MATCH(S$4,INDIRECT(""&amp;$S$3&amp;"!$A$4"):INDIRECT(""&amp;$S$3&amp;"!$AD$4"),0),FALSE))</f>
        <v>13542.302162</v>
      </c>
      <c r="T20" s="76">
        <f ca="1">IF(ISERROR(VLOOKUP($K20,OFFSET(INDIRECT(""&amp;$S$3&amp;"!$A$4"),0,0,200,100),MATCH(T$4,INDIRECT(""&amp;$S$3&amp;"!$A$4"):INDIRECT(""&amp;$S$3&amp;"!$AD$4"),0),FALSE)),"",VLOOKUP($K20,OFFSET(INDIRECT(""&amp;$S$3&amp;"!$A$4"),0,0,200,100),MATCH(T$4,INDIRECT(""&amp;$S$3&amp;"!$A$4"):INDIRECT(""&amp;$S$3&amp;"!$AD$4"),0),FALSE))</f>
        <v>1747.949267</v>
      </c>
      <c r="U20" s="76">
        <f ca="1">IF(ISERROR(VLOOKUP($K20,OFFSET(INDIRECT(""&amp;$S$3&amp;"!$A$4"),0,0,200,100),MATCH(U$4,INDIRECT(""&amp;$S$3&amp;"!$A$4"):INDIRECT(""&amp;$S$3&amp;"!$AD$4"),0),FALSE)),"",VLOOKUP($K20,OFFSET(INDIRECT(""&amp;$S$3&amp;"!$A$4"),0,0,200,100),MATCH(U$4,INDIRECT(""&amp;$S$3&amp;"!$A$4"):INDIRECT(""&amp;$S$3&amp;"!$AD$4"),0),FALSE))</f>
        <v>9281.9208440000002</v>
      </c>
      <c r="V20" s="76">
        <f ca="1">IF(ISERROR(VLOOKUP($K20,OFFSET(INDIRECT(""&amp;$S$3&amp;"!$A$4"),0,0,200,100),MATCH(V$4,INDIRECT(""&amp;$S$3&amp;"!$A$4"):INDIRECT(""&amp;$S$3&amp;"!$AD$4"),0),FALSE)),"",VLOOKUP($K20,OFFSET(INDIRECT(""&amp;$S$3&amp;"!$A$4"),0,0,200,100),MATCH(V$4,INDIRECT(""&amp;$S$3&amp;"!$A$4"):INDIRECT(""&amp;$S$3&amp;"!$AD$4"),0),FALSE))</f>
        <v>6995.537816</v>
      </c>
      <c r="W20" s="76">
        <f ca="1">IF(ISERROR(VLOOKUP($K20,OFFSET(INDIRECT(""&amp;$S$3&amp;"!$A$4"),0,0,200,100),MATCH(W$4,INDIRECT(""&amp;$S$3&amp;"!$A$4"):INDIRECT(""&amp;$S$3&amp;"!$AD$4"),0),FALSE)),"",VLOOKUP($K20,OFFSET(INDIRECT(""&amp;$S$3&amp;"!$A$4"),0,0,200,100),MATCH(W$4,INDIRECT(""&amp;$S$3&amp;"!$A$4"):INDIRECT(""&amp;$S$3&amp;"!$AD$4"),0),FALSE))</f>
        <v>1311.4997269999999</v>
      </c>
      <c r="X20" s="76">
        <f ca="1">IF(ISERROR(VLOOKUP($K20,OFFSET(INDIRECT(""&amp;$S$3&amp;"!$A$4"),0,0,200,100),MATCH(X$4,INDIRECT(""&amp;$S$3&amp;"!$A$4"):INDIRECT(""&amp;$S$3&amp;"!$AD$4"),0),FALSE)),"",VLOOKUP($K20,OFFSET(INDIRECT(""&amp;$S$3&amp;"!$A$4"),0,0,200,100),MATCH(X$4,INDIRECT(""&amp;$S$3&amp;"!$A$4"):INDIRECT(""&amp;$S$3&amp;"!$AD$4"),0),FALSE))</f>
        <v>2403.3920480000002</v>
      </c>
      <c r="Y20" s="76">
        <f ca="1">IF(ISERROR(VLOOKUP($K20,OFFSET(INDIRECT(""&amp;$S$3&amp;"!$A$4"),0,0,200,100),MATCH(Y$4,INDIRECT(""&amp;$S$3&amp;"!$A$4"):INDIRECT(""&amp;$S$3&amp;"!$AD$4"),0),FALSE)),"",VLOOKUP($K20,OFFSET(INDIRECT(""&amp;$S$3&amp;"!$A$4"),0,0,200,100),MATCH(Y$4,INDIRECT(""&amp;$S$3&amp;"!$A$4"):INDIRECT(""&amp;$S$3&amp;"!$AD$4"),0),FALSE))</f>
        <v>-1565.4195669999999</v>
      </c>
      <c r="Z20" s="76">
        <f ca="1">IF(ISERROR(VLOOKUP($K20,OFFSET(INDIRECT(""&amp;$S$3&amp;"!$A$4"),0,0,200,100),MATCH(Z$4,INDIRECT(""&amp;$S$3&amp;"!$A$4"):INDIRECT(""&amp;$S$3&amp;"!$AD$4"),0),FALSE)),"",VLOOKUP($K20,OFFSET(INDIRECT(""&amp;$S$3&amp;"!$A$4"),0,0,200,100),MATCH(Z$4,INDIRECT(""&amp;$S$3&amp;"!$A$4"):INDIRECT(""&amp;$S$3&amp;"!$AD$4"),0),FALSE))</f>
        <v>8481.9004060000007</v>
      </c>
      <c r="AA20" s="76">
        <f t="shared" ca="1" si="21"/>
        <v>10710.429591</v>
      </c>
      <c r="AB20" s="92"/>
      <c r="AC20" s="87">
        <f t="shared" ca="1" si="4"/>
        <v>0.42486532866298199</v>
      </c>
      <c r="AD20" s="87">
        <f t="shared" ca="1" si="5"/>
        <v>0.29830726882756681</v>
      </c>
      <c r="AE20" s="87">
        <f t="shared" ca="1" si="6"/>
        <v>0.2143294582040739</v>
      </c>
      <c r="AF20" s="87">
        <f t="shared" ca="1" si="7"/>
        <v>8.7233901641578709E-2</v>
      </c>
      <c r="AG20" s="87">
        <f t="shared" ca="1" si="8"/>
        <v>7.2441820527684248E-2</v>
      </c>
      <c r="AH20" s="87">
        <f t="shared" ca="1" si="8"/>
        <v>0.11058800429786821</v>
      </c>
      <c r="AI20" s="144"/>
      <c r="AJ20" s="87">
        <f t="shared" ca="1" si="9"/>
        <v>0.14706349710023994</v>
      </c>
      <c r="AK20" s="87">
        <f t="shared" ca="1" si="10"/>
        <v>0.3108587002115667</v>
      </c>
      <c r="AL20" s="87">
        <f t="shared" ca="1" si="11"/>
        <v>0.23370448001443006</v>
      </c>
      <c r="AM20" s="87">
        <f t="shared" ca="1" si="12"/>
        <v>0.18126852767550442</v>
      </c>
      <c r="AN20" s="87">
        <f t="shared" ca="1" si="13"/>
        <v>0.27711297157561782</v>
      </c>
      <c r="AO20" s="87">
        <f t="shared" ca="1" si="14"/>
        <v>3.5495043595742272E-2</v>
      </c>
      <c r="AP20" s="87">
        <f t="shared" ca="1" si="15"/>
        <v>0.15055955245394095</v>
      </c>
      <c r="AQ20" s="87">
        <f t="shared" ca="1" si="16"/>
        <v>0.1272668653470001</v>
      </c>
      <c r="AR20" s="87">
        <f t="shared" ca="1" si="17"/>
        <v>2.6158036725838989E-2</v>
      </c>
      <c r="AS20" s="87">
        <f t="shared" ca="1" si="18"/>
        <v>6.5549106949863323E-2</v>
      </c>
      <c r="AT20" s="87">
        <f t="shared" ca="1" si="19"/>
        <v>-4.3808803476923744E-2</v>
      </c>
      <c r="AU20" s="87">
        <f t="shared" ca="1" si="19"/>
        <v>0.24132130817889033</v>
      </c>
      <c r="AV20" s="87">
        <f t="shared" ca="1" si="20"/>
        <v>7.5547641564547144E-2</v>
      </c>
    </row>
    <row r="21" spans="1:50" ht="15.95" customHeight="1" outlineLevel="1">
      <c r="A21" s="89" t="s">
        <v>227</v>
      </c>
      <c r="B21" s="111" t="s">
        <v>105</v>
      </c>
      <c r="C21" s="90">
        <f ca="1">IF(ISERROR(VLOOKUP($B21,OFFSET(INDIRECT(""&amp;$B$3&amp;"!$A$4"),0,0,200,100),MATCH(C$4,INDIRECT(""&amp;$B$3&amp;"!$A$4"):INDIRECT(""&amp;$B$3&amp;"!$o$4"),0),FALSE)),"",VLOOKUP($B21,OFFSET(INDIRECT(""&amp;$B$3&amp;"!$A$4"),0,0,200,100),MATCH(C$4,INDIRECT(""&amp;$B$3&amp;"!$A$4"):INDIRECT(""&amp;$B$3&amp;"!$o$4"),0),FALSE))</f>
        <v>11691.248755000001</v>
      </c>
      <c r="D21" s="90">
        <f ca="1">IF(ISERROR(VLOOKUP($B21,OFFSET(INDIRECT(""&amp;$B$3&amp;"!$A$4"),0,0,200,100),MATCH(D$4,INDIRECT(""&amp;$B$3&amp;"!$A$4"):INDIRECT(""&amp;$B$3&amp;"!$o$4"),0),FALSE)),"",VLOOKUP($B21,OFFSET(INDIRECT(""&amp;$B$3&amp;"!$A$4"),0,0,200,100),MATCH(D$4,INDIRECT(""&amp;$B$3&amp;"!$A$4"):INDIRECT(""&amp;$B$3&amp;"!$o$4"),0),FALSE))</f>
        <v>10993.216241</v>
      </c>
      <c r="E21" s="90">
        <f ca="1">IF(ISERROR(VLOOKUP($B21,OFFSET(INDIRECT(""&amp;$B$3&amp;"!$A$4"),0,0,200,100),MATCH(E$4,INDIRECT(""&amp;$B$3&amp;"!$A$4"):INDIRECT(""&amp;$B$3&amp;"!$o$4"),0),FALSE)),"",VLOOKUP($B21,OFFSET(INDIRECT(""&amp;$B$3&amp;"!$A$4"),0,0,200,100),MATCH(E$4,INDIRECT(""&amp;$B$3&amp;"!$A$4"):INDIRECT(""&amp;$B$3&amp;"!$o$4"),0),FALSE))</f>
        <v>13930.505794000001</v>
      </c>
      <c r="F21" s="90">
        <f ca="1">IF(ISERROR(VLOOKUP($B21,OFFSET(INDIRECT(""&amp;$B$3&amp;"!$A$4"),0,0,200,100),MATCH(F$4,INDIRECT(""&amp;$B$3&amp;"!$A$4"):INDIRECT(""&amp;$B$3&amp;"!$o$4"),0),FALSE)),"",VLOOKUP($B21,OFFSET(INDIRECT(""&amp;$B$3&amp;"!$A$4"),0,0,200,100),MATCH(F$4,INDIRECT(""&amp;$B$3&amp;"!$A$4"):INDIRECT(""&amp;$B$3&amp;"!$o$4"),0),FALSE))</f>
        <v>16522.659511000002</v>
      </c>
      <c r="G21" s="90">
        <f ca="1">IF(ISERROR(VLOOKUP($B21,OFFSET(INDIRECT(""&amp;$B$3&amp;"!$A$4"),0,0,200,100),MATCH(G$4,INDIRECT(""&amp;$B$3&amp;"!$A$4"):INDIRECT(""&amp;$B$3&amp;"!$o$4"),0),FALSE)),"",VLOOKUP($B21,OFFSET(INDIRECT(""&amp;$B$3&amp;"!$A$4"),0,0,200,100),MATCH(G$4,INDIRECT(""&amp;$B$3&amp;"!$A$4"):INDIRECT(""&amp;$B$3&amp;"!$o$4"),0),FALSE))</f>
        <v>8481.0443579999992</v>
      </c>
      <c r="H21" s="90">
        <f ca="1">IF(ISERROR(VLOOKUP($B21,OFFSET(INDIRECT(""&amp;$B$3&amp;"!$A$4"),0,0,200,100),MATCH(H$4,INDIRECT(""&amp;$B$3&amp;"!$A$4"):INDIRECT(""&amp;$B$3&amp;"!$o$4"),0),FALSE)),"",VLOOKUP($B21,OFFSET(INDIRECT(""&amp;$B$3&amp;"!$A$4"),0,0,200,100),MATCH(H$4,INDIRECT(""&amp;$B$3&amp;"!$A$4"):INDIRECT(""&amp;$B$3&amp;"!$o$4"),0),FALSE))</f>
        <v>3140.4625209999999</v>
      </c>
      <c r="I21" s="90">
        <f ca="1">IF(ISERROR(VLOOKUP($B21,OFFSET(INDIRECT(""&amp;$B$3&amp;"!$A$4"),0,0,200,100),MATCH(I$4,INDIRECT(""&amp;$B$3&amp;"!$A$4"):INDIRECT(""&amp;$B$3&amp;"!$o$4"),0),FALSE)),"",VLOOKUP($B21,OFFSET(INDIRECT(""&amp;$B$3&amp;"!$A$4"),0,0,200,100),MATCH(I$4,INDIRECT(""&amp;$B$3&amp;"!$A$4"):INDIRECT(""&amp;$B$3&amp;"!$o$4"),0),FALSE))</f>
        <v>-2294.122797</v>
      </c>
      <c r="J21" s="90">
        <f ca="1">IF(ISERROR(VLOOKUP($B21,OFFSET(INDIRECT(""&amp;$B$3&amp;"!$A$4"),0,0,200,100),MATCH(J$4,INDIRECT(""&amp;$B$3&amp;"!$A$4"):INDIRECT(""&amp;$B$3&amp;"!$o$4"),0),FALSE)),"",VLOOKUP($B21,OFFSET(INDIRECT(""&amp;$B$3&amp;"!$A$4"),0,0,200,100),MATCH(J$4,INDIRECT(""&amp;$B$3&amp;"!$A$4"):INDIRECT(""&amp;$B$3&amp;"!$o$4"),0),FALSE))</f>
        <v>-4075.709938</v>
      </c>
      <c r="K21" s="91" t="s">
        <v>105</v>
      </c>
      <c r="L21" s="90">
        <f ca="1">IF(ISERROR(VLOOKUP($K21,OFFSET(INDIRECT(""&amp;$S$3&amp;"!$A$4"),0,0,200,100),MATCH(L$4,INDIRECT(""&amp;$S$3&amp;"!$A$4"):INDIRECT(""&amp;$S$3&amp;"!$AD$4"),0),FALSE)),"",VLOOKUP($K21,OFFSET(INDIRECT(""&amp;$S$3&amp;"!$A$4"),0,0,200,100),MATCH(L$4,INDIRECT(""&amp;$S$3&amp;"!$A$4"):INDIRECT(""&amp;$S$3&amp;"!$AD$4"),0),FALSE))</f>
        <v>4236.5093669999997</v>
      </c>
      <c r="M21" s="90">
        <f ca="1">IF(ISERROR(VLOOKUP($K21,OFFSET(INDIRECT(""&amp;$S$3&amp;"!$A$4"),0,0,200,100),MATCH(M$4,INDIRECT(""&amp;$S$3&amp;"!$A$4"):INDIRECT(""&amp;$S$3&amp;"!$AD$4"),0),FALSE)),"",VLOOKUP($K21,OFFSET(INDIRECT(""&amp;$S$3&amp;"!$A$4"),0,0,200,100),MATCH(M$4,INDIRECT(""&amp;$S$3&amp;"!$A$4"):INDIRECT(""&amp;$S$3&amp;"!$AD$4"),0),FALSE))</f>
        <v>7171.2511699999995</v>
      </c>
      <c r="N21" s="90">
        <f ca="1">IF(ISERROR(VLOOKUP($K21,OFFSET(INDIRECT(""&amp;$S$3&amp;"!$A$4"),0,0,200,100),MATCH(N$4,INDIRECT(""&amp;$S$3&amp;"!$A$4"):INDIRECT(""&amp;$S$3&amp;"!$AD$4"),0),FALSE)),"",VLOOKUP($K21,OFFSET(INDIRECT(""&amp;$S$3&amp;"!$A$4"),0,0,200,100),MATCH(N$4,INDIRECT(""&amp;$S$3&amp;"!$A$4"):INDIRECT(""&amp;$S$3&amp;"!$AD$4"),0),FALSE))</f>
        <v>3945.561181</v>
      </c>
      <c r="O21" s="90">
        <f ca="1">IF(ISERROR(VLOOKUP($K21,OFFSET(INDIRECT(""&amp;$S$3&amp;"!$A$4"),0,0,200,100),MATCH(O$4,INDIRECT(""&amp;$S$3&amp;"!$A$4"):INDIRECT(""&amp;$S$3&amp;"!$AD$4"),0),FALSE)),"",VLOOKUP($K21,OFFSET(INDIRECT(""&amp;$S$3&amp;"!$A$4"),0,0,200,100),MATCH(O$4,INDIRECT(""&amp;$S$3&amp;"!$A$4"):INDIRECT(""&amp;$S$3&amp;"!$AD$4"),0),FALSE))</f>
        <v>1996.2874509999999</v>
      </c>
      <c r="P21" s="90">
        <f ca="1">IF(ISERROR(VLOOKUP($K21,OFFSET(INDIRECT(""&amp;$S$3&amp;"!$A$4"),0,0,200,100),MATCH(P$4,INDIRECT(""&amp;$S$3&amp;"!$A$4"):INDIRECT(""&amp;$S$3&amp;"!$AD$4"),0),FALSE)),"",VLOOKUP($K21,OFFSET(INDIRECT(""&amp;$S$3&amp;"!$A$4"),0,0,200,100),MATCH(P$4,INDIRECT(""&amp;$S$3&amp;"!$A$4"):INDIRECT(""&amp;$S$3&amp;"!$AD$4"),0),FALSE))</f>
        <v>3527.2341710000001</v>
      </c>
      <c r="Q21" s="90">
        <f ca="1">IF(ISERROR(VLOOKUP($K21,OFFSET(INDIRECT(""&amp;$S$3&amp;"!$A$4"),0,0,200,100),MATCH(Q$4,INDIRECT(""&amp;$S$3&amp;"!$A$4"):INDIRECT(""&amp;$S$3&amp;"!$AD$4"),0),FALSE)),"",VLOOKUP($K21,OFFSET(INDIRECT(""&amp;$S$3&amp;"!$A$4"),0,0,200,100),MATCH(Q$4,INDIRECT(""&amp;$S$3&amp;"!$A$4"):INDIRECT(""&amp;$S$3&amp;"!$AD$4"),0),FALSE))</f>
        <v>4686.2179400000005</v>
      </c>
      <c r="R21" s="90">
        <f ca="1">IF(ISERROR(VLOOKUP($K21,OFFSET(INDIRECT(""&amp;$S$3&amp;"!$A$4"),0,0,200,100),MATCH(R$4,INDIRECT(""&amp;$S$3&amp;"!$A$4"):INDIRECT(""&amp;$S$3&amp;"!$AD$4"),0),FALSE)),"",VLOOKUP($K21,OFFSET(INDIRECT(""&amp;$S$3&amp;"!$A$4"),0,0,200,100),MATCH(R$4,INDIRECT(""&amp;$S$3&amp;"!$A$4"):INDIRECT(""&amp;$S$3&amp;"!$AD$4"),0),FALSE))</f>
        <v>2437.8770420000001</v>
      </c>
      <c r="S21" s="90">
        <f ca="1">IF(ISERROR(VLOOKUP($K21,OFFSET(INDIRECT(""&amp;$S$3&amp;"!$A$4"),0,0,200,100),MATCH(S$4,INDIRECT(""&amp;$S$3&amp;"!$A$4"):INDIRECT(""&amp;$S$3&amp;"!$AD$4"),0),FALSE)),"",VLOOKUP($K21,OFFSET(INDIRECT(""&amp;$S$3&amp;"!$A$4"),0,0,200,100),MATCH(S$4,INDIRECT(""&amp;$S$3&amp;"!$A$4"):INDIRECT(""&amp;$S$3&amp;"!$AD$4"),0),FALSE))</f>
        <v>1385.9293680000001</v>
      </c>
      <c r="T21" s="90">
        <f ca="1">IF(ISERROR(VLOOKUP($K21,OFFSET(INDIRECT(""&amp;$S$3&amp;"!$A$4"),0,0,200,100),MATCH(T$4,INDIRECT(""&amp;$S$3&amp;"!$A$4"):INDIRECT(""&amp;$S$3&amp;"!$AD$4"),0),FALSE)),"",VLOOKUP($K21,OFFSET(INDIRECT(""&amp;$S$3&amp;"!$A$4"),0,0,200,100),MATCH(T$4,INDIRECT(""&amp;$S$3&amp;"!$A$4"):INDIRECT(""&amp;$S$3&amp;"!$AD$4"),0),FALSE))</f>
        <v>436.98731700000002</v>
      </c>
      <c r="U21" s="90">
        <f ca="1">IF(ISERROR(VLOOKUP($K21,OFFSET(INDIRECT(""&amp;$S$3&amp;"!$A$4"),0,0,200,100),MATCH(U$4,INDIRECT(""&amp;$S$3&amp;"!$A$4"):INDIRECT(""&amp;$S$3&amp;"!$AD$4"),0),FALSE)),"",VLOOKUP($K21,OFFSET(INDIRECT(""&amp;$S$3&amp;"!$A$4"),0,0,200,100),MATCH(U$4,INDIRECT(""&amp;$S$3&amp;"!$A$4"):INDIRECT(""&amp;$S$3&amp;"!$AD$4"),0),FALSE))</f>
        <v>1439.2050099999999</v>
      </c>
      <c r="V21" s="90">
        <f ca="1">IF(ISERROR(VLOOKUP($K21,OFFSET(INDIRECT(""&amp;$S$3&amp;"!$A$4"),0,0,200,100),MATCH(V$4,INDIRECT(""&amp;$S$3&amp;"!$A$4"):INDIRECT(""&amp;$S$3&amp;"!$AD$4"),0),FALSE)),"",VLOOKUP($K21,OFFSET(INDIRECT(""&amp;$S$3&amp;"!$A$4"),0,0,200,100),MATCH(V$4,INDIRECT(""&amp;$S$3&amp;"!$A$4"):INDIRECT(""&amp;$S$3&amp;"!$AD$4"),0),FALSE))</f>
        <v>1138.195768</v>
      </c>
      <c r="W21" s="90">
        <f ca="1">IF(ISERROR(VLOOKUP($K21,OFFSET(INDIRECT(""&amp;$S$3&amp;"!$A$4"),0,0,200,100),MATCH(W$4,INDIRECT(""&amp;$S$3&amp;"!$A$4"):INDIRECT(""&amp;$S$3&amp;"!$AD$4"),0),FALSE)),"",VLOOKUP($K21,OFFSET(INDIRECT(""&amp;$S$3&amp;"!$A$4"),0,0,200,100),MATCH(W$4,INDIRECT(""&amp;$S$3&amp;"!$A$4"):INDIRECT(""&amp;$S$3&amp;"!$AD$4"),0),FALSE))</f>
        <v>200.826032</v>
      </c>
      <c r="X21" s="90">
        <f ca="1">IF(ISERROR(VLOOKUP($K21,OFFSET(INDIRECT(""&amp;$S$3&amp;"!$A$4"),0,0,200,100),MATCH(X$4,INDIRECT(""&amp;$S$3&amp;"!$A$4"):INDIRECT(""&amp;$S$3&amp;"!$AD$4"),0),FALSE)),"",VLOOKUP($K21,OFFSET(INDIRECT(""&amp;$S$3&amp;"!$A$4"),0,0,200,100),MATCH(X$4,INDIRECT(""&amp;$S$3&amp;"!$A$4"):INDIRECT(""&amp;$S$3&amp;"!$AD$4"),0),FALSE))</f>
        <v>427.626262</v>
      </c>
      <c r="Y21" s="90">
        <f ca="1">IF(ISERROR(VLOOKUP($K21,OFFSET(INDIRECT(""&amp;$S$3&amp;"!$A$4"),0,0,200,100),MATCH(Y$4,INDIRECT(""&amp;$S$3&amp;"!$A$4"):INDIRECT(""&amp;$S$3&amp;"!$AD$4"),0),FALSE)),"",VLOOKUP($K21,OFFSET(INDIRECT(""&amp;$S$3&amp;"!$A$4"),0,0,200,100),MATCH(Y$4,INDIRECT(""&amp;$S$3&amp;"!$A$4"):INDIRECT(""&amp;$S$3&amp;"!$AD$4"),0),FALSE))</f>
        <v>427.626262</v>
      </c>
      <c r="Z21" s="90">
        <f ca="1">IF(ISERROR(VLOOKUP($K21,OFFSET(INDIRECT(""&amp;$S$3&amp;"!$A$4"),0,0,200,100),MATCH(Z$4,INDIRECT(""&amp;$S$3&amp;"!$A$4"):INDIRECT(""&amp;$S$3&amp;"!$AD$4"),0),FALSE)),"",VLOOKUP($K21,OFFSET(INDIRECT(""&amp;$S$3&amp;"!$A$4"),0,0,200,100),MATCH(Z$4,INDIRECT(""&amp;$S$3&amp;"!$A$4"):INDIRECT(""&amp;$S$3&amp;"!$AD$4"),0),FALSE))</f>
        <v>-2027.1659709999999</v>
      </c>
      <c r="AA21" s="90">
        <f t="shared" ca="1" si="21"/>
        <v>1766.648062</v>
      </c>
      <c r="AB21" s="92"/>
      <c r="AC21" s="87">
        <f t="shared" ca="1" si="4"/>
        <v>7.2326174451199904E-2</v>
      </c>
      <c r="AD21" s="87">
        <f t="shared" ca="1" si="5"/>
        <v>6.9919930254022808E-2</v>
      </c>
      <c r="AE21" s="87">
        <f t="shared" ca="1" si="6"/>
        <v>3.8642308313620359E-2</v>
      </c>
      <c r="AF21" s="87">
        <f t="shared" ca="1" si="7"/>
        <v>1.4539218920086595E-2</v>
      </c>
      <c r="AG21" s="87">
        <f t="shared" ref="AG21:AH25" ca="1" si="22">IF(I$7="","",I21/I$7)</f>
        <v>-1.5487391218790111E-2</v>
      </c>
      <c r="AH21" s="87">
        <f t="shared" ca="1" si="22"/>
        <v>-2.3819201152600247E-2</v>
      </c>
      <c r="AI21" s="145"/>
      <c r="AJ21" s="87">
        <f t="shared" ca="1" si="9"/>
        <v>3.4797121066844676E-2</v>
      </c>
      <c r="AK21" s="87">
        <f t="shared" ca="1" si="10"/>
        <v>7.5274159686034472E-2</v>
      </c>
      <c r="AL21" s="87">
        <f t="shared" ca="1" si="11"/>
        <v>6.6992060213075633E-2</v>
      </c>
      <c r="AM21" s="87">
        <f t="shared" ca="1" si="12"/>
        <v>4.5317045955279328E-2</v>
      </c>
      <c r="AN21" s="87">
        <f t="shared" ca="1" si="13"/>
        <v>2.835994950977213E-2</v>
      </c>
      <c r="AO21" s="87">
        <f t="shared" ca="1" si="14"/>
        <v>8.873760904012238E-3</v>
      </c>
      <c r="AP21" s="87">
        <f t="shared" ca="1" si="15"/>
        <v>2.3344959070098013E-2</v>
      </c>
      <c r="AQ21" s="87">
        <f t="shared" ca="1" si="16"/>
        <v>2.0706714959538054E-2</v>
      </c>
      <c r="AR21" s="87">
        <f t="shared" ca="1" si="17"/>
        <v>4.0055019550610371E-3</v>
      </c>
      <c r="AS21" s="87">
        <f t="shared" ca="1" si="18"/>
        <v>1.1662899361647664E-2</v>
      </c>
      <c r="AT21" s="87">
        <f t="shared" ca="1" si="19"/>
        <v>1.19672676057265E-2</v>
      </c>
      <c r="AU21" s="87">
        <f t="shared" ca="1" si="19"/>
        <v>-5.767555861318497E-2</v>
      </c>
      <c r="AV21" s="87">
        <f t="shared" ca="1" si="20"/>
        <v>1.2461320381661417E-2</v>
      </c>
    </row>
    <row r="22" spans="1:50" ht="15.95" customHeight="1" outlineLevel="1">
      <c r="A22" s="89" t="s">
        <v>228</v>
      </c>
      <c r="B22" s="111" t="s">
        <v>106</v>
      </c>
      <c r="C22" s="90">
        <f ca="1">IF(ISERROR(VLOOKUP($B22,OFFSET(INDIRECT(""&amp;$B$3&amp;"!$A$4"),0,0,200,100),MATCH(C$4,INDIRECT(""&amp;$B$3&amp;"!$A$4"):INDIRECT(""&amp;$B$3&amp;"!$o$4"),0),FALSE)),"",VLOOKUP($B22,OFFSET(INDIRECT(""&amp;$B$3&amp;"!$A$4"),0,0,200,100),MATCH(C$4,INDIRECT(""&amp;$B$3&amp;"!$A$4"):INDIRECT(""&amp;$B$3&amp;"!$o$4"),0),FALSE))</f>
        <v>139.983113</v>
      </c>
      <c r="D22" s="90">
        <f ca="1">IF(ISERROR(VLOOKUP($B22,OFFSET(INDIRECT(""&amp;$B$3&amp;"!$A$4"),0,0,200,100),MATCH(D$4,INDIRECT(""&amp;$B$3&amp;"!$A$4"):INDIRECT(""&amp;$B$3&amp;"!$o$4"),0),FALSE)),"",VLOOKUP($B22,OFFSET(INDIRECT(""&amp;$B$3&amp;"!$A$4"),0,0,200,100),MATCH(D$4,INDIRECT(""&amp;$B$3&amp;"!$A$4"):INDIRECT(""&amp;$B$3&amp;"!$o$4"),0),FALSE))</f>
        <v>139.983113</v>
      </c>
      <c r="E22" s="90">
        <f ca="1">IF(ISERROR(VLOOKUP($B22,OFFSET(INDIRECT(""&amp;$B$3&amp;"!$A$4"),0,0,200,100),MATCH(E$4,INDIRECT(""&amp;$B$3&amp;"!$A$4"):INDIRECT(""&amp;$B$3&amp;"!$o$4"),0),FALSE)),"",VLOOKUP($B22,OFFSET(INDIRECT(""&amp;$B$3&amp;"!$A$4"),0,0,200,100),MATCH(E$4,INDIRECT(""&amp;$B$3&amp;"!$A$4"):INDIRECT(""&amp;$B$3&amp;"!$o$4"),0),FALSE))</f>
        <v>0</v>
      </c>
      <c r="F22" s="90">
        <f ca="1">IF(ISERROR(VLOOKUP($B22,OFFSET(INDIRECT(""&amp;$B$3&amp;"!$A$4"),0,0,200,100),MATCH(F$4,INDIRECT(""&amp;$B$3&amp;"!$A$4"):INDIRECT(""&amp;$B$3&amp;"!$o$4"),0),FALSE)),"",VLOOKUP($B22,OFFSET(INDIRECT(""&amp;$B$3&amp;"!$A$4"),0,0,200,100),MATCH(F$4,INDIRECT(""&amp;$B$3&amp;"!$A$4"):INDIRECT(""&amp;$B$3&amp;"!$o$4"),0),FALSE))</f>
        <v>0</v>
      </c>
      <c r="G22" s="90">
        <f ca="1">IF(ISERROR(VLOOKUP($B22,OFFSET(INDIRECT(""&amp;$B$3&amp;"!$A$4"),0,0,200,100),MATCH(G$4,INDIRECT(""&amp;$B$3&amp;"!$A$4"):INDIRECT(""&amp;$B$3&amp;"!$o$4"),0),FALSE)),"",VLOOKUP($B22,OFFSET(INDIRECT(""&amp;$B$3&amp;"!$A$4"),0,0,200,100),MATCH(G$4,INDIRECT(""&amp;$B$3&amp;"!$A$4"):INDIRECT(""&amp;$B$3&amp;"!$o$4"),0),FALSE))</f>
        <v>0</v>
      </c>
      <c r="H22" s="90">
        <f ca="1">IF(ISERROR(VLOOKUP($B22,OFFSET(INDIRECT(""&amp;$B$3&amp;"!$A$4"),0,0,200,100),MATCH(H$4,INDIRECT(""&amp;$B$3&amp;"!$A$4"):INDIRECT(""&amp;$B$3&amp;"!$o$4"),0),FALSE)),"",VLOOKUP($B22,OFFSET(INDIRECT(""&amp;$B$3&amp;"!$A$4"),0,0,200,100),MATCH(H$4,INDIRECT(""&amp;$B$3&amp;"!$A$4"):INDIRECT(""&amp;$B$3&amp;"!$o$4"),0),FALSE))</f>
        <v>0</v>
      </c>
      <c r="I22" s="90">
        <f ca="1">IF(ISERROR(VLOOKUP($B22,OFFSET(INDIRECT(""&amp;$B$3&amp;"!$A$4"),0,0,200,100),MATCH(I$4,INDIRECT(""&amp;$B$3&amp;"!$A$4"):INDIRECT(""&amp;$B$3&amp;"!$o$4"),0),FALSE)),"",VLOOKUP($B22,OFFSET(INDIRECT(""&amp;$B$3&amp;"!$A$4"),0,0,200,100),MATCH(I$4,INDIRECT(""&amp;$B$3&amp;"!$A$4"):INDIRECT(""&amp;$B$3&amp;"!$o$4"),0),FALSE))</f>
        <v>0</v>
      </c>
      <c r="J22" s="90">
        <f ca="1">IF(ISERROR(VLOOKUP($B22,OFFSET(INDIRECT(""&amp;$B$3&amp;"!$A$4"),0,0,200,100),MATCH(J$4,INDIRECT(""&amp;$B$3&amp;"!$A$4"):INDIRECT(""&amp;$B$3&amp;"!$o$4"),0),FALSE)),"",VLOOKUP($B22,OFFSET(INDIRECT(""&amp;$B$3&amp;"!$A$4"),0,0,200,100),MATCH(J$4,INDIRECT(""&amp;$B$3&amp;"!$A$4"):INDIRECT(""&amp;$B$3&amp;"!$o$4"),0),FALSE))</f>
        <v>0</v>
      </c>
      <c r="K22" s="91" t="s">
        <v>106</v>
      </c>
      <c r="L22" s="90">
        <f ca="1">IF(ISERROR(VLOOKUP($K22,OFFSET(INDIRECT(""&amp;$S$3&amp;"!$A$4"),0,0,200,100),MATCH(L$4,INDIRECT(""&amp;$S$3&amp;"!$A$4"):INDIRECT(""&amp;$S$3&amp;"!$AD$4"),0),FALSE)),"",VLOOKUP($K22,OFFSET(INDIRECT(""&amp;$S$3&amp;"!$A$4"),0,0,200,100),MATCH(L$4,INDIRECT(""&amp;$S$3&amp;"!$A$4"):INDIRECT(""&amp;$S$3&amp;"!$AD$4"),0),FALSE))</f>
        <v>0</v>
      </c>
      <c r="M22" s="90">
        <f ca="1">IF(ISERROR(VLOOKUP($K22,OFFSET(INDIRECT(""&amp;$S$3&amp;"!$A$4"),0,0,200,100),MATCH(M$4,INDIRECT(""&amp;$S$3&amp;"!$A$4"):INDIRECT(""&amp;$S$3&amp;"!$AD$4"),0),FALSE)),"",VLOOKUP($K22,OFFSET(INDIRECT(""&amp;$S$3&amp;"!$A$4"),0,0,200,100),MATCH(M$4,INDIRECT(""&amp;$S$3&amp;"!$A$4"):INDIRECT(""&amp;$S$3&amp;"!$AD$4"),0),FALSE))</f>
        <v>0</v>
      </c>
      <c r="N22" s="90">
        <f ca="1">IF(ISERROR(VLOOKUP($K22,OFFSET(INDIRECT(""&amp;$S$3&amp;"!$A$4"),0,0,200,100),MATCH(N$4,INDIRECT(""&amp;$S$3&amp;"!$A$4"):INDIRECT(""&amp;$S$3&amp;"!$AD$4"),0),FALSE)),"",VLOOKUP($K22,OFFSET(INDIRECT(""&amp;$S$3&amp;"!$A$4"),0,0,200,100),MATCH(N$4,INDIRECT(""&amp;$S$3&amp;"!$A$4"):INDIRECT(""&amp;$S$3&amp;"!$AD$4"),0),FALSE))</f>
        <v>0</v>
      </c>
      <c r="O22" s="90">
        <f ca="1">IF(ISERROR(VLOOKUP($K22,OFFSET(INDIRECT(""&amp;$S$3&amp;"!$A$4"),0,0,200,100),MATCH(O$4,INDIRECT(""&amp;$S$3&amp;"!$A$4"):INDIRECT(""&amp;$S$3&amp;"!$AD$4"),0),FALSE)),"",VLOOKUP($K22,OFFSET(INDIRECT(""&amp;$S$3&amp;"!$A$4"),0,0,200,100),MATCH(O$4,INDIRECT(""&amp;$S$3&amp;"!$A$4"):INDIRECT(""&amp;$S$3&amp;"!$AD$4"),0),FALSE))</f>
        <v>0</v>
      </c>
      <c r="P22" s="90">
        <f ca="1">IF(ISERROR(VLOOKUP($K22,OFFSET(INDIRECT(""&amp;$S$3&amp;"!$A$4"),0,0,200,100),MATCH(P$4,INDIRECT(""&amp;$S$3&amp;"!$A$4"):INDIRECT(""&amp;$S$3&amp;"!$AD$4"),0),FALSE)),"",VLOOKUP($K22,OFFSET(INDIRECT(""&amp;$S$3&amp;"!$A$4"),0,0,200,100),MATCH(P$4,INDIRECT(""&amp;$S$3&amp;"!$A$4"):INDIRECT(""&amp;$S$3&amp;"!$AD$4"),0),FALSE))</f>
        <v>0</v>
      </c>
      <c r="Q22" s="90">
        <f ca="1">IF(ISERROR(VLOOKUP($K22,OFFSET(INDIRECT(""&amp;$S$3&amp;"!$A$4"),0,0,200,100),MATCH(Q$4,INDIRECT(""&amp;$S$3&amp;"!$A$4"):INDIRECT(""&amp;$S$3&amp;"!$AD$4"),0),FALSE)),"",VLOOKUP($K22,OFFSET(INDIRECT(""&amp;$S$3&amp;"!$A$4"),0,0,200,100),MATCH(Q$4,INDIRECT(""&amp;$S$3&amp;"!$A$4"):INDIRECT(""&amp;$S$3&amp;"!$AD$4"),0),FALSE))</f>
        <v>0</v>
      </c>
      <c r="R22" s="90">
        <f ca="1">IF(ISERROR(VLOOKUP($K22,OFFSET(INDIRECT(""&amp;$S$3&amp;"!$A$4"),0,0,200,100),MATCH(R$4,INDIRECT(""&amp;$S$3&amp;"!$A$4"):INDIRECT(""&amp;$S$3&amp;"!$AD$4"),0),FALSE)),"",VLOOKUP($K22,OFFSET(INDIRECT(""&amp;$S$3&amp;"!$A$4"),0,0,200,100),MATCH(R$4,INDIRECT(""&amp;$S$3&amp;"!$A$4"):INDIRECT(""&amp;$S$3&amp;"!$AD$4"),0),FALSE))</f>
        <v>0</v>
      </c>
      <c r="S22" s="90">
        <f ca="1">IF(ISERROR(VLOOKUP($K22,OFFSET(INDIRECT(""&amp;$S$3&amp;"!$A$4"),0,0,200,100),MATCH(S$4,INDIRECT(""&amp;$S$3&amp;"!$A$4"):INDIRECT(""&amp;$S$3&amp;"!$AD$4"),0),FALSE)),"",VLOOKUP($K22,OFFSET(INDIRECT(""&amp;$S$3&amp;"!$A$4"),0,0,200,100),MATCH(S$4,INDIRECT(""&amp;$S$3&amp;"!$A$4"):INDIRECT(""&amp;$S$3&amp;"!$AD$4"),0),FALSE))</f>
        <v>0</v>
      </c>
      <c r="T22" s="90">
        <f ca="1">IF(ISERROR(VLOOKUP($K22,OFFSET(INDIRECT(""&amp;$S$3&amp;"!$A$4"),0,0,200,100),MATCH(T$4,INDIRECT(""&amp;$S$3&amp;"!$A$4"):INDIRECT(""&amp;$S$3&amp;"!$AD$4"),0),FALSE)),"",VLOOKUP($K22,OFFSET(INDIRECT(""&amp;$S$3&amp;"!$A$4"),0,0,200,100),MATCH(T$4,INDIRECT(""&amp;$S$3&amp;"!$A$4"):INDIRECT(""&amp;$S$3&amp;"!$AD$4"),0),FALSE))</f>
        <v>0</v>
      </c>
      <c r="U22" s="90">
        <f ca="1">IF(ISERROR(VLOOKUP($K22,OFFSET(INDIRECT(""&amp;$S$3&amp;"!$A$4"),0,0,200,100),MATCH(U$4,INDIRECT(""&amp;$S$3&amp;"!$A$4"):INDIRECT(""&amp;$S$3&amp;"!$AD$4"),0),FALSE)),"",VLOOKUP($K22,OFFSET(INDIRECT(""&amp;$S$3&amp;"!$A$4"),0,0,200,100),MATCH(U$4,INDIRECT(""&amp;$S$3&amp;"!$A$4"):INDIRECT(""&amp;$S$3&amp;"!$AD$4"),0),FALSE))</f>
        <v>0</v>
      </c>
      <c r="V22" s="90">
        <f ca="1">IF(ISERROR(VLOOKUP($K22,OFFSET(INDIRECT(""&amp;$S$3&amp;"!$A$4"),0,0,200,100),MATCH(V$4,INDIRECT(""&amp;$S$3&amp;"!$A$4"):INDIRECT(""&amp;$S$3&amp;"!$AD$4"),0),FALSE)),"",VLOOKUP($K22,OFFSET(INDIRECT(""&amp;$S$3&amp;"!$A$4"),0,0,200,100),MATCH(V$4,INDIRECT(""&amp;$S$3&amp;"!$A$4"):INDIRECT(""&amp;$S$3&amp;"!$AD$4"),0),FALSE))</f>
        <v>0</v>
      </c>
      <c r="W22" s="90">
        <f ca="1">IF(ISERROR(VLOOKUP($K22,OFFSET(INDIRECT(""&amp;$S$3&amp;"!$A$4"),0,0,200,100),MATCH(W$4,INDIRECT(""&amp;$S$3&amp;"!$A$4"):INDIRECT(""&amp;$S$3&amp;"!$AD$4"),0),FALSE)),"",VLOOKUP($K22,OFFSET(INDIRECT(""&amp;$S$3&amp;"!$A$4"),0,0,200,100),MATCH(W$4,INDIRECT(""&amp;$S$3&amp;"!$A$4"):INDIRECT(""&amp;$S$3&amp;"!$AD$4"),0),FALSE))</f>
        <v>0</v>
      </c>
      <c r="X22" s="90">
        <f ca="1">IF(ISERROR(VLOOKUP($K22,OFFSET(INDIRECT(""&amp;$S$3&amp;"!$A$4"),0,0,200,100),MATCH(X$4,INDIRECT(""&amp;$S$3&amp;"!$A$4"):INDIRECT(""&amp;$S$3&amp;"!$AD$4"),0),FALSE)),"",VLOOKUP($K22,OFFSET(INDIRECT(""&amp;$S$3&amp;"!$A$4"),0,0,200,100),MATCH(X$4,INDIRECT(""&amp;$S$3&amp;"!$A$4"):INDIRECT(""&amp;$S$3&amp;"!$AD$4"),0),FALSE))</f>
        <v>0</v>
      </c>
      <c r="Y22" s="90">
        <f ca="1">IF(ISERROR(VLOOKUP($K22,OFFSET(INDIRECT(""&amp;$S$3&amp;"!$A$4"),0,0,200,100),MATCH(Y$4,INDIRECT(""&amp;$S$3&amp;"!$A$4"):INDIRECT(""&amp;$S$3&amp;"!$AD$4"),0),FALSE)),"",VLOOKUP($K22,OFFSET(INDIRECT(""&amp;$S$3&amp;"!$A$4"),0,0,200,100),MATCH(Y$4,INDIRECT(""&amp;$S$3&amp;"!$A$4"):INDIRECT(""&amp;$S$3&amp;"!$AD$4"),0),FALSE))</f>
        <v>0</v>
      </c>
      <c r="Z22" s="90">
        <f ca="1">IF(ISERROR(VLOOKUP($K22,OFFSET(INDIRECT(""&amp;$S$3&amp;"!$A$4"),0,0,200,100),MATCH(Z$4,INDIRECT(""&amp;$S$3&amp;"!$A$4"):INDIRECT(""&amp;$S$3&amp;"!$AD$4"),0),FALSE)),"",VLOOKUP($K22,OFFSET(INDIRECT(""&amp;$S$3&amp;"!$A$4"),0,0,200,100),MATCH(Z$4,INDIRECT(""&amp;$S$3&amp;"!$A$4"):INDIRECT(""&amp;$S$3&amp;"!$AD$4"),0),FALSE))</f>
        <v>0</v>
      </c>
      <c r="AA22" s="90">
        <f t="shared" ca="1" si="21"/>
        <v>0</v>
      </c>
      <c r="AB22" s="92"/>
      <c r="AC22" s="87">
        <f t="shared" ca="1" si="4"/>
        <v>0</v>
      </c>
      <c r="AD22" s="87">
        <f t="shared" ca="1" si="5"/>
        <v>0</v>
      </c>
      <c r="AE22" s="87">
        <f t="shared" ca="1" si="6"/>
        <v>0</v>
      </c>
      <c r="AF22" s="87">
        <f t="shared" ca="1" si="7"/>
        <v>0</v>
      </c>
      <c r="AG22" s="87">
        <f t="shared" ca="1" si="22"/>
        <v>0</v>
      </c>
      <c r="AH22" s="87">
        <f t="shared" ca="1" si="22"/>
        <v>0</v>
      </c>
      <c r="AI22" s="145"/>
      <c r="AJ22" s="87">
        <f t="shared" ca="1" si="9"/>
        <v>0</v>
      </c>
      <c r="AK22" s="87">
        <f t="shared" ca="1" si="10"/>
        <v>0</v>
      </c>
      <c r="AL22" s="87">
        <f t="shared" ca="1" si="11"/>
        <v>0</v>
      </c>
      <c r="AM22" s="87">
        <f t="shared" ca="1" si="12"/>
        <v>0</v>
      </c>
      <c r="AN22" s="87">
        <f t="shared" ca="1" si="13"/>
        <v>0</v>
      </c>
      <c r="AO22" s="87">
        <f t="shared" ca="1" si="14"/>
        <v>0</v>
      </c>
      <c r="AP22" s="87">
        <f t="shared" ca="1" si="15"/>
        <v>0</v>
      </c>
      <c r="AQ22" s="87">
        <f t="shared" ca="1" si="16"/>
        <v>0</v>
      </c>
      <c r="AR22" s="87">
        <f t="shared" ca="1" si="17"/>
        <v>0</v>
      </c>
      <c r="AS22" s="87">
        <f t="shared" ca="1" si="18"/>
        <v>0</v>
      </c>
      <c r="AT22" s="87">
        <f t="shared" ca="1" si="19"/>
        <v>0</v>
      </c>
      <c r="AU22" s="87">
        <f t="shared" ca="1" si="19"/>
        <v>0</v>
      </c>
      <c r="AV22" s="87">
        <f t="shared" ca="1" si="20"/>
        <v>0</v>
      </c>
    </row>
    <row r="23" spans="1:50" ht="15.95" customHeight="1" outlineLevel="1">
      <c r="A23" s="85" t="s">
        <v>229</v>
      </c>
      <c r="B23" s="116" t="s">
        <v>108</v>
      </c>
      <c r="C23" s="76">
        <f ca="1">IF(ISERROR(VLOOKUP($B23,OFFSET(INDIRECT(""&amp;$B$3&amp;"!$A$4"),0,0,200,100),MATCH(C$4,INDIRECT(""&amp;$B$3&amp;"!$A$4"):INDIRECT(""&amp;$B$3&amp;"!$o$4"),0),FALSE)),"",VLOOKUP($B23,OFFSET(INDIRECT(""&amp;$B$3&amp;"!$A$4"),0,0,200,100),MATCH(C$4,INDIRECT(""&amp;$B$3&amp;"!$A$4"):INDIRECT(""&amp;$B$3&amp;"!$o$4"),0),FALSE))</f>
        <v>36023.281961000001</v>
      </c>
      <c r="D23" s="76">
        <f ca="1">IF(ISERROR(VLOOKUP($B23,OFFSET(INDIRECT(""&amp;$B$3&amp;"!$A$4"),0,0,200,100),MATCH(D$4,INDIRECT(""&amp;$B$3&amp;"!$A$4"):INDIRECT(""&amp;$B$3&amp;"!$o$4"),0),FALSE)),"",VLOOKUP($B23,OFFSET(INDIRECT(""&amp;$B$3&amp;"!$A$4"),0,0,200,100),MATCH(D$4,INDIRECT(""&amp;$B$3&amp;"!$A$4"):INDIRECT(""&amp;$B$3&amp;"!$o$4"),0),FALSE))</f>
        <v>37413.240708999998</v>
      </c>
      <c r="E23" s="76">
        <f ca="1">IF(ISERROR(VLOOKUP($B23,OFFSET(INDIRECT(""&amp;$B$3&amp;"!$A$4"),0,0,200,100),MATCH(E$4,INDIRECT(""&amp;$B$3&amp;"!$A$4"):INDIRECT(""&amp;$B$3&amp;"!$o$4"),0),FALSE)),"",VLOOKUP($B23,OFFSET(INDIRECT(""&amp;$B$3&amp;"!$A$4"),0,0,200,100),MATCH(E$4,INDIRECT(""&amp;$B$3&amp;"!$A$4"):INDIRECT(""&amp;$B$3&amp;"!$o$4"),0),FALSE))</f>
        <v>67901.403158999994</v>
      </c>
      <c r="F23" s="76">
        <f ca="1">IF(ISERROR(VLOOKUP($B23,OFFSET(INDIRECT(""&amp;$B$3&amp;"!$A$4"),0,0,200,100),MATCH(F$4,INDIRECT(""&amp;$B$3&amp;"!$A$4"):INDIRECT(""&amp;$B$3&amp;"!$o$4"),0),FALSE)),"",VLOOKUP($B23,OFFSET(INDIRECT(""&amp;$B$3&amp;"!$A$4"),0,0,200,100),MATCH(F$4,INDIRECT(""&amp;$B$3&amp;"!$A$4"):INDIRECT(""&amp;$B$3&amp;"!$o$4"),0),FALSE))</f>
        <v>53969.822597999999</v>
      </c>
      <c r="G23" s="76">
        <f ca="1">IF(ISERROR(VLOOKUP($B23,OFFSET(INDIRECT(""&amp;$B$3&amp;"!$A$4"),0,0,200,100),MATCH(G$4,INDIRECT(""&amp;$B$3&amp;"!$A$4"):INDIRECT(""&amp;$B$3&amp;"!$o$4"),0),FALSE)),"",VLOOKUP($B23,OFFSET(INDIRECT(""&amp;$B$3&amp;"!$A$4"),0,0,200,100),MATCH(G$4,INDIRECT(""&amp;$B$3&amp;"!$A$4"):INDIRECT(""&amp;$B$3&amp;"!$o$4"),0),FALSE))</f>
        <v>38559.045160000001</v>
      </c>
      <c r="H23" s="76">
        <f ca="1">IF(ISERROR(VLOOKUP($B23,OFFSET(INDIRECT(""&amp;$B$3&amp;"!$A$4"),0,0,200,100),MATCH(H$4,INDIRECT(""&amp;$B$3&amp;"!$A$4"):INDIRECT(""&amp;$B$3&amp;"!$o$4"),0),FALSE)),"",VLOOKUP($B23,OFFSET(INDIRECT(""&amp;$B$3&amp;"!$A$4"),0,0,200,100),MATCH(H$4,INDIRECT(""&amp;$B$3&amp;"!$A$4"):INDIRECT(""&amp;$B$3&amp;"!$o$4"),0),FALSE))</f>
        <v>15702.00764</v>
      </c>
      <c r="I23" s="76">
        <f ca="1">IF(ISERROR(VLOOKUP($B23,OFFSET(INDIRECT(""&amp;$B$3&amp;"!$A$4"),0,0,200,100),MATCH(I$4,INDIRECT(""&amp;$B$3&amp;"!$A$4"):INDIRECT(""&amp;$B$3&amp;"!$o$4"),0),FALSE)),"",VLOOKUP($B23,OFFSET(INDIRECT(""&amp;$B$3&amp;"!$A$4"),0,0,200,100),MATCH(I$4,INDIRECT(""&amp;$B$3&amp;"!$A$4"):INDIRECT(""&amp;$B$3&amp;"!$o$4"),0),FALSE))</f>
        <v>8436.5696470000003</v>
      </c>
      <c r="J23" s="76">
        <f ca="1">IF(ISERROR(VLOOKUP($B23,OFFSET(INDIRECT(""&amp;$B$3&amp;"!$A$4"),0,0,200,100),MATCH(J$4,INDIRECT(""&amp;$B$3&amp;"!$A$4"):INDIRECT(""&amp;$B$3&amp;"!$o$4"),0),FALSE)),"",VLOOKUP($B23,OFFSET(INDIRECT(""&amp;$B$3&amp;"!$A$4"),0,0,200,100),MATCH(J$4,INDIRECT(""&amp;$B$3&amp;"!$A$4"):INDIRECT(""&amp;$B$3&amp;"!$o$4"),0),FALSE))</f>
        <v>14847.033325</v>
      </c>
      <c r="K23" s="91" t="s">
        <v>108</v>
      </c>
      <c r="L23" s="76">
        <f ca="1">IF(ISERROR(VLOOKUP($K23,OFFSET(INDIRECT(""&amp;$S$3&amp;"!$A$4"),0,0,200,100),MATCH(L$4,INDIRECT(""&amp;$S$3&amp;"!$A$4"):INDIRECT(""&amp;$S$3&amp;"!$AD$4"),0),FALSE)),"",VLOOKUP($K23,OFFSET(INDIRECT(""&amp;$S$3&amp;"!$A$4"),0,0,200,100),MATCH(L$4,INDIRECT(""&amp;$S$3&amp;"!$A$4"):INDIRECT(""&amp;$S$3&amp;"!$AD$4"),0),FALSE))</f>
        <v>12877.373404</v>
      </c>
      <c r="M23" s="76">
        <f ca="1">IF(ISERROR(VLOOKUP($K23,OFFSET(INDIRECT(""&amp;$S$3&amp;"!$A$4"),0,0,200,100),MATCH(M$4,INDIRECT(""&amp;$S$3&amp;"!$A$4"):INDIRECT(""&amp;$S$3&amp;"!$AD$4"),0),FALSE)),"",VLOOKUP($K23,OFFSET(INDIRECT(""&amp;$S$3&amp;"!$A$4"),0,0,200,100),MATCH(M$4,INDIRECT(""&amp;$S$3&amp;"!$A$4"):INDIRECT(""&amp;$S$3&amp;"!$AD$4"),0),FALSE))</f>
        <v>21797.757810999999</v>
      </c>
      <c r="N23" s="76">
        <f ca="1">IF(ISERROR(VLOOKUP($K23,OFFSET(INDIRECT(""&amp;$S$3&amp;"!$A$4"),0,0,200,100),MATCH(N$4,INDIRECT(""&amp;$S$3&amp;"!$A$4"):INDIRECT(""&amp;$S$3&amp;"!$AD$4"),0),FALSE)),"",VLOOKUP($K23,OFFSET(INDIRECT(""&amp;$S$3&amp;"!$A$4"),0,0,200,100),MATCH(N$4,INDIRECT(""&amp;$S$3&amp;"!$A$4"):INDIRECT(""&amp;$S$3&amp;"!$AD$4"),0),FALSE))</f>
        <v>12256.941545</v>
      </c>
      <c r="O23" s="76">
        <f ca="1">IF(ISERROR(VLOOKUP($K23,OFFSET(INDIRECT(""&amp;$S$3&amp;"!$A$4"),0,0,200,100),MATCH(O$4,INDIRECT(""&amp;$S$3&amp;"!$A$4"):INDIRECT(""&amp;$S$3&amp;"!$AD$4"),0),FALSE)),"",VLOOKUP($K23,OFFSET(INDIRECT(""&amp;$S$3&amp;"!$A$4"),0,0,200,100),MATCH(O$4,INDIRECT(""&amp;$S$3&amp;"!$A$4"):INDIRECT(""&amp;$S$3&amp;"!$AD$4"),0),FALSE))</f>
        <v>6440.6465470000003</v>
      </c>
      <c r="P23" s="76">
        <f ca="1">IF(ISERROR(VLOOKUP($K23,OFFSET(INDIRECT(""&amp;$S$3&amp;"!$A$4"),0,0,200,100),MATCH(P$4,INDIRECT(""&amp;$S$3&amp;"!$A$4"):INDIRECT(""&amp;$S$3&amp;"!$AD$4"),0),FALSE)),"",VLOOKUP($K23,OFFSET(INDIRECT(""&amp;$S$3&amp;"!$A$4"),0,0,200,100),MATCH(P$4,INDIRECT(""&amp;$S$3&amp;"!$A$4"):INDIRECT(""&amp;$S$3&amp;"!$AD$4"),0),FALSE))</f>
        <v>11039.138064999999</v>
      </c>
      <c r="Q23" s="76">
        <f ca="1">IF(ISERROR(VLOOKUP($K23,OFFSET(INDIRECT(""&amp;$S$3&amp;"!$A$4"),0,0,200,100),MATCH(Q$4,INDIRECT(""&amp;$S$3&amp;"!$A$4"):INDIRECT(""&amp;$S$3&amp;"!$AD$4"),0),FALSE)),"",VLOOKUP($K23,OFFSET(INDIRECT(""&amp;$S$3&amp;"!$A$4"),0,0,200,100),MATCH(Q$4,INDIRECT(""&amp;$S$3&amp;"!$A$4"):INDIRECT(""&amp;$S$3&amp;"!$AD$4"),0),FALSE))</f>
        <v>11661.840672</v>
      </c>
      <c r="R23" s="76">
        <f ca="1">IF(ISERROR(VLOOKUP($K23,OFFSET(INDIRECT(""&amp;$S$3&amp;"!$A$4"),0,0,200,100),MATCH(R$4,INDIRECT(""&amp;$S$3&amp;"!$A$4"):INDIRECT(""&amp;$S$3&amp;"!$AD$4"),0),FALSE)),"",VLOOKUP($K23,OFFSET(INDIRECT(""&amp;$S$3&amp;"!$A$4"),0,0,200,100),MATCH(R$4,INDIRECT(""&amp;$S$3&amp;"!$A$4"):INDIRECT(""&amp;$S$3&amp;"!$AD$4"),0),FALSE))</f>
        <v>7313.6496239999997</v>
      </c>
      <c r="S23" s="76">
        <f ca="1">IF(ISERROR(VLOOKUP($K23,OFFSET(INDIRECT(""&amp;$S$3&amp;"!$A$4"),0,0,200,100),MATCH(S$4,INDIRECT(""&amp;$S$3&amp;"!$A$4"):INDIRECT(""&amp;$S$3&amp;"!$AD$4"),0),FALSE)),"",VLOOKUP($K23,OFFSET(INDIRECT(""&amp;$S$3&amp;"!$A$4"),0,0,200,100),MATCH(S$4,INDIRECT(""&amp;$S$3&amp;"!$A$4"):INDIRECT(""&amp;$S$3&amp;"!$AD$4"),0),FALSE))</f>
        <v>14928.231529999999</v>
      </c>
      <c r="T23" s="76">
        <f ca="1">IF(ISERROR(VLOOKUP($K23,OFFSET(INDIRECT(""&amp;$S$3&amp;"!$A$4"),0,0,200,100),MATCH(T$4,INDIRECT(""&amp;$S$3&amp;"!$A$4"):INDIRECT(""&amp;$S$3&amp;"!$AD$4"),0),FALSE)),"",VLOOKUP($K23,OFFSET(INDIRECT(""&amp;$S$3&amp;"!$A$4"),0,0,200,100),MATCH(T$4,INDIRECT(""&amp;$S$3&amp;"!$A$4"):INDIRECT(""&amp;$S$3&amp;"!$AD$4"),0),FALSE))</f>
        <v>1310.9619499999999</v>
      </c>
      <c r="U23" s="76">
        <f ca="1">IF(ISERROR(VLOOKUP($K23,OFFSET(INDIRECT(""&amp;$S$3&amp;"!$A$4"),0,0,200,100),MATCH(U$4,INDIRECT(""&amp;$S$3&amp;"!$A$4"):INDIRECT(""&amp;$S$3&amp;"!$AD$4"),0),FALSE)),"",VLOOKUP($K23,OFFSET(INDIRECT(""&amp;$S$3&amp;"!$A$4"),0,0,200,100),MATCH(U$4,INDIRECT(""&amp;$S$3&amp;"!$A$4"):INDIRECT(""&amp;$S$3&amp;"!$AD$4"),0),FALSE))</f>
        <v>7842.7158339999996</v>
      </c>
      <c r="V23" s="76">
        <f ca="1">IF(ISERROR(VLOOKUP($K23,OFFSET(INDIRECT(""&amp;$S$3&amp;"!$A$4"),0,0,200,100),MATCH(V$4,INDIRECT(""&amp;$S$3&amp;"!$A$4"):INDIRECT(""&amp;$S$3&amp;"!$AD$4"),0),FALSE)),"",VLOOKUP($K23,OFFSET(INDIRECT(""&amp;$S$3&amp;"!$A$4"),0,0,200,100),MATCH(V$4,INDIRECT(""&amp;$S$3&amp;"!$A$4"):INDIRECT(""&amp;$S$3&amp;"!$AD$4"),0),FALSE))</f>
        <v>5857.3420480000004</v>
      </c>
      <c r="W23" s="76">
        <f ca="1">IF(ISERROR(VLOOKUP($K23,OFFSET(INDIRECT(""&amp;$S$3&amp;"!$A$4"),0,0,200,100),MATCH(W$4,INDIRECT(""&amp;$S$3&amp;"!$A$4"):INDIRECT(""&amp;$S$3&amp;"!$AD$4"),0),FALSE)),"",VLOOKUP($K23,OFFSET(INDIRECT(""&amp;$S$3&amp;"!$A$4"),0,0,200,100),MATCH(W$4,INDIRECT(""&amp;$S$3&amp;"!$A$4"):INDIRECT(""&amp;$S$3&amp;"!$AD$4"),0),FALSE))</f>
        <v>1110.673695</v>
      </c>
      <c r="X23" s="76">
        <f ca="1">IF(ISERROR(VLOOKUP($K23,OFFSET(INDIRECT(""&amp;$S$3&amp;"!$A$4"),0,0,200,100),MATCH(X$4,INDIRECT(""&amp;$S$3&amp;"!$A$4"):INDIRECT(""&amp;$S$3&amp;"!$AD$4"),0),FALSE)),"",VLOOKUP($K23,OFFSET(INDIRECT(""&amp;$S$3&amp;"!$A$4"),0,0,200,100),MATCH(X$4,INDIRECT(""&amp;$S$3&amp;"!$A$4"):INDIRECT(""&amp;$S$3&amp;"!$AD$4"),0),FALSE))</f>
        <v>1975.7657859999999</v>
      </c>
      <c r="Y23" s="76">
        <f ca="1">IF(ISERROR(VLOOKUP($K23,OFFSET(INDIRECT(""&amp;$S$3&amp;"!$A$4"),0,0,200,100),MATCH(Y$4,INDIRECT(""&amp;$S$3&amp;"!$A$4"):INDIRECT(""&amp;$S$3&amp;"!$AD$4"),0),FALSE)),"",VLOOKUP($K23,OFFSET(INDIRECT(""&amp;$S$3&amp;"!$A$4"),0,0,200,100),MATCH(Y$4,INDIRECT(""&amp;$S$3&amp;"!$A$4"):INDIRECT(""&amp;$S$3&amp;"!$AD$4"),0),FALSE))</f>
        <v>-1137.7933049999999</v>
      </c>
      <c r="Z23" s="76">
        <f ca="1">IF(ISERROR(VLOOKUP($K23,OFFSET(INDIRECT(""&amp;$S$3&amp;"!$A$4"),0,0,200,100),MATCH(Z$4,INDIRECT(""&amp;$S$3&amp;"!$A$4"):INDIRECT(""&amp;$S$3&amp;"!$AD$4"),0),FALSE)),"",VLOOKUP($K23,OFFSET(INDIRECT(""&amp;$S$3&amp;"!$A$4"),0,0,200,100),MATCH(Z$4,INDIRECT(""&amp;$S$3&amp;"!$A$4"):INDIRECT(""&amp;$S$3&amp;"!$AD$4"),0),FALSE))</f>
        <v>6454.7344350000003</v>
      </c>
      <c r="AA23" s="76">
        <f t="shared" ca="1" si="21"/>
        <v>8943.7815289999999</v>
      </c>
      <c r="AB23" s="92"/>
      <c r="AC23" s="87">
        <f t="shared" ca="1" si="4"/>
        <v>0.35253915421178206</v>
      </c>
      <c r="AD23" s="87">
        <f t="shared" ca="1" si="5"/>
        <v>0.22838733857354399</v>
      </c>
      <c r="AE23" s="87">
        <f t="shared" ca="1" si="6"/>
        <v>0.17568714989045353</v>
      </c>
      <c r="AF23" s="87">
        <f t="shared" ca="1" si="7"/>
        <v>7.2694682721492113E-2</v>
      </c>
      <c r="AG23" s="87">
        <f t="shared" ca="1" si="22"/>
        <v>5.6954429308894133E-2</v>
      </c>
      <c r="AH23" s="87">
        <f t="shared" ca="1" si="22"/>
        <v>8.6768803145267956E-2</v>
      </c>
      <c r="AI23" s="144"/>
      <c r="AJ23" s="87">
        <f t="shared" ca="1" si="9"/>
        <v>0.11226637603339527</v>
      </c>
      <c r="AK23" s="87">
        <f t="shared" ca="1" si="10"/>
        <v>0.23558454052553221</v>
      </c>
      <c r="AL23" s="87">
        <f t="shared" ca="1" si="11"/>
        <v>0.16671241980135443</v>
      </c>
      <c r="AM23" s="87">
        <f t="shared" ca="1" si="12"/>
        <v>0.13595148172022509</v>
      </c>
      <c r="AN23" s="87">
        <f t="shared" ca="1" si="13"/>
        <v>0.30547292108538993</v>
      </c>
      <c r="AO23" s="87">
        <f t="shared" ca="1" si="14"/>
        <v>2.662128269173003E-2</v>
      </c>
      <c r="AP23" s="87">
        <f t="shared" ca="1" si="15"/>
        <v>0.12721459338384294</v>
      </c>
      <c r="AQ23" s="87">
        <f t="shared" ca="1" si="16"/>
        <v>0.10656015038746205</v>
      </c>
      <c r="AR23" s="87">
        <f t="shared" ca="1" si="17"/>
        <v>2.2152534770777953E-2</v>
      </c>
      <c r="AS23" s="87">
        <f t="shared" ca="1" si="18"/>
        <v>5.3886207588215648E-2</v>
      </c>
      <c r="AT23" s="87">
        <f t="shared" ca="1" si="19"/>
        <v>-3.1841535871197243E-2</v>
      </c>
      <c r="AU23" s="87">
        <f t="shared" ca="1" si="19"/>
        <v>0.18364574956570537</v>
      </c>
      <c r="AV23" s="87">
        <f t="shared" ca="1" si="20"/>
        <v>6.3086321182885721E-2</v>
      </c>
    </row>
    <row r="24" spans="1:50" ht="15.95" customHeight="1" outlineLevel="1">
      <c r="A24" s="100" t="s">
        <v>230</v>
      </c>
      <c r="B24" s="111" t="s">
        <v>109</v>
      </c>
      <c r="C24" s="76">
        <f ca="1">IF(ISERROR(VLOOKUP($B24,OFFSET(INDIRECT(""&amp;$B$3&amp;"!$A$4"),0,0,200,100),MATCH(C$4,INDIRECT(""&amp;$B$3&amp;"!$A$4"):INDIRECT(""&amp;$B$3&amp;"!$o$4"),0),FALSE)),"",VLOOKUP($B24,OFFSET(INDIRECT(""&amp;$B$3&amp;"!$A$4"),0,0,200,100),MATCH(C$4,INDIRECT(""&amp;$B$3&amp;"!$A$4"):INDIRECT(""&amp;$B$3&amp;"!$o$4"),0),FALSE))</f>
        <v>0</v>
      </c>
      <c r="D24" s="76">
        <f ca="1">IF(ISERROR(VLOOKUP($B24,OFFSET(INDIRECT(""&amp;$B$3&amp;"!$A$4"),0,0,200,100),MATCH(D$4,INDIRECT(""&amp;$B$3&amp;"!$A$4"):INDIRECT(""&amp;$B$3&amp;"!$o$4"),0),FALSE)),"",VLOOKUP($B24,OFFSET(INDIRECT(""&amp;$B$3&amp;"!$A$4"),0,0,200,100),MATCH(D$4,INDIRECT(""&amp;$B$3&amp;"!$A$4"):INDIRECT(""&amp;$B$3&amp;"!$o$4"),0),FALSE))</f>
        <v>0</v>
      </c>
      <c r="E24" s="76">
        <f ca="1">IF(ISERROR(VLOOKUP($B24,OFFSET(INDIRECT(""&amp;$B$3&amp;"!$A$4"),0,0,200,100),MATCH(E$4,INDIRECT(""&amp;$B$3&amp;"!$A$4"):INDIRECT(""&amp;$B$3&amp;"!$o$4"),0),FALSE)),"",VLOOKUP($B24,OFFSET(INDIRECT(""&amp;$B$3&amp;"!$A$4"),0,0,200,100),MATCH(E$4,INDIRECT(""&amp;$B$3&amp;"!$A$4"):INDIRECT(""&amp;$B$3&amp;"!$o$4"),0),FALSE))</f>
        <v>0</v>
      </c>
      <c r="F24" s="76">
        <f ca="1">IF(ISERROR(VLOOKUP($B24,OFFSET(INDIRECT(""&amp;$B$3&amp;"!$A$4"),0,0,200,100),MATCH(F$4,INDIRECT(""&amp;$B$3&amp;"!$A$4"):INDIRECT(""&amp;$B$3&amp;"!$o$4"),0),FALSE)),"",VLOOKUP($B24,OFFSET(INDIRECT(""&amp;$B$3&amp;"!$A$4"),0,0,200,100),MATCH(F$4,INDIRECT(""&amp;$B$3&amp;"!$A$4"):INDIRECT(""&amp;$B$3&amp;"!$o$4"),0),FALSE))</f>
        <v>0</v>
      </c>
      <c r="G24" s="76">
        <f ca="1">IF(ISERROR(VLOOKUP($B24,OFFSET(INDIRECT(""&amp;$B$3&amp;"!$A$4"),0,0,200,100),MATCH(G$4,INDIRECT(""&amp;$B$3&amp;"!$A$4"):INDIRECT(""&amp;$B$3&amp;"!$o$4"),0),FALSE)),"",VLOOKUP($B24,OFFSET(INDIRECT(""&amp;$B$3&amp;"!$A$4"),0,0,200,100),MATCH(G$4,INDIRECT(""&amp;$B$3&amp;"!$A$4"):INDIRECT(""&amp;$B$3&amp;"!$o$4"),0),FALSE))</f>
        <v>0</v>
      </c>
      <c r="H24" s="76">
        <f ca="1">IF(ISERROR(VLOOKUP($B24,OFFSET(INDIRECT(""&amp;$B$3&amp;"!$A$4"),0,0,200,100),MATCH(H$4,INDIRECT(""&amp;$B$3&amp;"!$A$4"):INDIRECT(""&amp;$B$3&amp;"!$o$4"),0),FALSE)),"",VLOOKUP($B24,OFFSET(INDIRECT(""&amp;$B$3&amp;"!$A$4"),0,0,200,100),MATCH(H$4,INDIRECT(""&amp;$B$3&amp;"!$A$4"):INDIRECT(""&amp;$B$3&amp;"!$o$4"),0),FALSE))</f>
        <v>0</v>
      </c>
      <c r="I24" s="76">
        <f ca="1">IF(ISERROR(VLOOKUP($B24,OFFSET(INDIRECT(""&amp;$B$3&amp;"!$A$4"),0,0,200,100),MATCH(I$4,INDIRECT(""&amp;$B$3&amp;"!$A$4"):INDIRECT(""&amp;$B$3&amp;"!$o$4"),0),FALSE)),"",VLOOKUP($B24,OFFSET(INDIRECT(""&amp;$B$3&amp;"!$A$4"),0,0,200,100),MATCH(I$4,INDIRECT(""&amp;$B$3&amp;"!$A$4"):INDIRECT(""&amp;$B$3&amp;"!$o$4"),0),FALSE))</f>
        <v>0</v>
      </c>
      <c r="J24" s="76">
        <f ca="1">IF(ISERROR(VLOOKUP($B24,OFFSET(INDIRECT(""&amp;$B$3&amp;"!$A$4"),0,0,200,100),MATCH(J$4,INDIRECT(""&amp;$B$3&amp;"!$A$4"):INDIRECT(""&amp;$B$3&amp;"!$o$4"),0),FALSE)),"",VLOOKUP($B24,OFFSET(INDIRECT(""&amp;$B$3&amp;"!$A$4"),0,0,200,100),MATCH(J$4,INDIRECT(""&amp;$B$3&amp;"!$A$4"):INDIRECT(""&amp;$B$3&amp;"!$o$4"),0),FALSE))</f>
        <v>0</v>
      </c>
      <c r="K24" s="91" t="s">
        <v>109</v>
      </c>
      <c r="L24" s="76">
        <f ca="1">IF(ISERROR(VLOOKUP($K24,OFFSET(INDIRECT(""&amp;$S$3&amp;"!$A$4"),0,0,200,100),MATCH(L$4,INDIRECT(""&amp;$S$3&amp;"!$A$4"):INDIRECT(""&amp;$S$3&amp;"!$AD$4"),0),FALSE)),"",VLOOKUP($K24,OFFSET(INDIRECT(""&amp;$S$3&amp;"!$A$4"),0,0,200,100),MATCH(L$4,INDIRECT(""&amp;$S$3&amp;"!$A$4"):INDIRECT(""&amp;$S$3&amp;"!$AD$4"),0),FALSE))</f>
        <v>0</v>
      </c>
      <c r="M24" s="76">
        <f ca="1">IF(ISERROR(VLOOKUP($K24,OFFSET(INDIRECT(""&amp;$S$3&amp;"!$A$4"),0,0,200,100),MATCH(M$4,INDIRECT(""&amp;$S$3&amp;"!$A$4"):INDIRECT(""&amp;$S$3&amp;"!$AD$4"),0),FALSE)),"",VLOOKUP($K24,OFFSET(INDIRECT(""&amp;$S$3&amp;"!$A$4"),0,0,200,100),MATCH(M$4,INDIRECT(""&amp;$S$3&amp;"!$A$4"):INDIRECT(""&amp;$S$3&amp;"!$AD$4"),0),FALSE))</f>
        <v>0</v>
      </c>
      <c r="N24" s="76">
        <f ca="1">IF(ISERROR(VLOOKUP($K24,OFFSET(INDIRECT(""&amp;$S$3&amp;"!$A$4"),0,0,200,100),MATCH(N$4,INDIRECT(""&amp;$S$3&amp;"!$A$4"):INDIRECT(""&amp;$S$3&amp;"!$AD$4"),0),FALSE)),"",VLOOKUP($K24,OFFSET(INDIRECT(""&amp;$S$3&amp;"!$A$4"),0,0,200,100),MATCH(N$4,INDIRECT(""&amp;$S$3&amp;"!$A$4"):INDIRECT(""&amp;$S$3&amp;"!$AD$4"),0),FALSE))</f>
        <v>0</v>
      </c>
      <c r="O24" s="76">
        <f ca="1">IF(ISERROR(VLOOKUP($K24,OFFSET(INDIRECT(""&amp;$S$3&amp;"!$A$4"),0,0,200,100),MATCH(O$4,INDIRECT(""&amp;$S$3&amp;"!$A$4"):INDIRECT(""&amp;$S$3&amp;"!$AD$4"),0),FALSE)),"",VLOOKUP($K24,OFFSET(INDIRECT(""&amp;$S$3&amp;"!$A$4"),0,0,200,100),MATCH(O$4,INDIRECT(""&amp;$S$3&amp;"!$A$4"):INDIRECT(""&amp;$S$3&amp;"!$AD$4"),0),FALSE))</f>
        <v>0</v>
      </c>
      <c r="P24" s="76">
        <f ca="1">IF(ISERROR(VLOOKUP($K24,OFFSET(INDIRECT(""&amp;$S$3&amp;"!$A$4"),0,0,200,100),MATCH(P$4,INDIRECT(""&amp;$S$3&amp;"!$A$4"):INDIRECT(""&amp;$S$3&amp;"!$AD$4"),0),FALSE)),"",VLOOKUP($K24,OFFSET(INDIRECT(""&amp;$S$3&amp;"!$A$4"),0,0,200,100),MATCH(P$4,INDIRECT(""&amp;$S$3&amp;"!$A$4"):INDIRECT(""&amp;$S$3&amp;"!$AD$4"),0),FALSE))</f>
        <v>0</v>
      </c>
      <c r="Q24" s="76">
        <f ca="1">IF(ISERROR(VLOOKUP($K24,OFFSET(INDIRECT(""&amp;$S$3&amp;"!$A$4"),0,0,200,100),MATCH(Q$4,INDIRECT(""&amp;$S$3&amp;"!$A$4"):INDIRECT(""&amp;$S$3&amp;"!$AD$4"),0),FALSE)),"",VLOOKUP($K24,OFFSET(INDIRECT(""&amp;$S$3&amp;"!$A$4"),0,0,200,100),MATCH(Q$4,INDIRECT(""&amp;$S$3&amp;"!$A$4"):INDIRECT(""&amp;$S$3&amp;"!$AD$4"),0),FALSE))</f>
        <v>0</v>
      </c>
      <c r="R24" s="76">
        <f ca="1">IF(ISERROR(VLOOKUP($K24,OFFSET(INDIRECT(""&amp;$S$3&amp;"!$A$4"),0,0,200,100),MATCH(R$4,INDIRECT(""&amp;$S$3&amp;"!$A$4"):INDIRECT(""&amp;$S$3&amp;"!$AD$4"),0),FALSE)),"",VLOOKUP($K24,OFFSET(INDIRECT(""&amp;$S$3&amp;"!$A$4"),0,0,200,100),MATCH(R$4,INDIRECT(""&amp;$S$3&amp;"!$A$4"):INDIRECT(""&amp;$S$3&amp;"!$AD$4"),0),FALSE))</f>
        <v>0</v>
      </c>
      <c r="S24" s="76">
        <f ca="1">IF(ISERROR(VLOOKUP($K24,OFFSET(INDIRECT(""&amp;$S$3&amp;"!$A$4"),0,0,200,100),MATCH(S$4,INDIRECT(""&amp;$S$3&amp;"!$A$4"):INDIRECT(""&amp;$S$3&amp;"!$AD$4"),0),FALSE)),"",VLOOKUP($K24,OFFSET(INDIRECT(""&amp;$S$3&amp;"!$A$4"),0,0,200,100),MATCH(S$4,INDIRECT(""&amp;$S$3&amp;"!$A$4"):INDIRECT(""&amp;$S$3&amp;"!$AD$4"),0),FALSE))</f>
        <v>0</v>
      </c>
      <c r="T24" s="76">
        <f ca="1">IF(ISERROR(VLOOKUP($K24,OFFSET(INDIRECT(""&amp;$S$3&amp;"!$A$4"),0,0,200,100),MATCH(T$4,INDIRECT(""&amp;$S$3&amp;"!$A$4"):INDIRECT(""&amp;$S$3&amp;"!$AD$4"),0),FALSE)),"",VLOOKUP($K24,OFFSET(INDIRECT(""&amp;$S$3&amp;"!$A$4"),0,0,200,100),MATCH(T$4,INDIRECT(""&amp;$S$3&amp;"!$A$4"):INDIRECT(""&amp;$S$3&amp;"!$AD$4"),0),FALSE))</f>
        <v>0</v>
      </c>
      <c r="U24" s="76">
        <f ca="1">IF(ISERROR(VLOOKUP($K24,OFFSET(INDIRECT(""&amp;$S$3&amp;"!$A$4"),0,0,200,100),MATCH(U$4,INDIRECT(""&amp;$S$3&amp;"!$A$4"):INDIRECT(""&amp;$S$3&amp;"!$AD$4"),0),FALSE)),"",VLOOKUP($K24,OFFSET(INDIRECT(""&amp;$S$3&amp;"!$A$4"),0,0,200,100),MATCH(U$4,INDIRECT(""&amp;$S$3&amp;"!$A$4"):INDIRECT(""&amp;$S$3&amp;"!$AD$4"),0),FALSE))</f>
        <v>0</v>
      </c>
      <c r="V24" s="76">
        <f ca="1">IF(ISERROR(VLOOKUP($K24,OFFSET(INDIRECT(""&amp;$S$3&amp;"!$A$4"),0,0,200,100),MATCH(V$4,INDIRECT(""&amp;$S$3&amp;"!$A$4"):INDIRECT(""&amp;$S$3&amp;"!$AD$4"),0),FALSE)),"",VLOOKUP($K24,OFFSET(INDIRECT(""&amp;$S$3&amp;"!$A$4"),0,0,200,100),MATCH(V$4,INDIRECT(""&amp;$S$3&amp;"!$A$4"):INDIRECT(""&amp;$S$3&amp;"!$AD$4"),0),FALSE))</f>
        <v>0</v>
      </c>
      <c r="W24" s="76">
        <f ca="1">IF(ISERROR(VLOOKUP($K24,OFFSET(INDIRECT(""&amp;$S$3&amp;"!$A$4"),0,0,200,100),MATCH(W$4,INDIRECT(""&amp;$S$3&amp;"!$A$4"):INDIRECT(""&amp;$S$3&amp;"!$AD$4"),0),FALSE)),"",VLOOKUP($K24,OFFSET(INDIRECT(""&amp;$S$3&amp;"!$A$4"),0,0,200,100),MATCH(W$4,INDIRECT(""&amp;$S$3&amp;"!$A$4"):INDIRECT(""&amp;$S$3&amp;"!$AD$4"),0),FALSE))</f>
        <v>0</v>
      </c>
      <c r="X24" s="76">
        <f ca="1">IF(ISERROR(VLOOKUP($K24,OFFSET(INDIRECT(""&amp;$S$3&amp;"!$A$4"),0,0,200,100),MATCH(X$4,INDIRECT(""&amp;$S$3&amp;"!$A$4"):INDIRECT(""&amp;$S$3&amp;"!$AD$4"),0),FALSE)),"",VLOOKUP($K24,OFFSET(INDIRECT(""&amp;$S$3&amp;"!$A$4"),0,0,200,100),MATCH(X$4,INDIRECT(""&amp;$S$3&amp;"!$A$4"):INDIRECT(""&amp;$S$3&amp;"!$AD$4"),0),FALSE))</f>
        <v>0</v>
      </c>
      <c r="Y24" s="76">
        <f ca="1">IF(ISERROR(VLOOKUP($K24,OFFSET(INDIRECT(""&amp;$S$3&amp;"!$A$4"),0,0,200,100),MATCH(Y$4,INDIRECT(""&amp;$S$3&amp;"!$A$4"):INDIRECT(""&amp;$S$3&amp;"!$AD$4"),0),FALSE)),"",VLOOKUP($K24,OFFSET(INDIRECT(""&amp;$S$3&amp;"!$A$4"),0,0,200,100),MATCH(Y$4,INDIRECT(""&amp;$S$3&amp;"!$A$4"):INDIRECT(""&amp;$S$3&amp;"!$AD$4"),0),FALSE))</f>
        <v>0</v>
      </c>
      <c r="Z24" s="76">
        <f ca="1">IF(ISERROR(VLOOKUP($K24,OFFSET(INDIRECT(""&amp;$S$3&amp;"!$A$4"),0,0,200,100),MATCH(Z$4,INDIRECT(""&amp;$S$3&amp;"!$A$4"):INDIRECT(""&amp;$S$3&amp;"!$AD$4"),0),FALSE)),"",VLOOKUP($K24,OFFSET(INDIRECT(""&amp;$S$3&amp;"!$A$4"),0,0,200,100),MATCH(Z$4,INDIRECT(""&amp;$S$3&amp;"!$A$4"):INDIRECT(""&amp;$S$3&amp;"!$AD$4"),0),FALSE))</f>
        <v>0</v>
      </c>
      <c r="AA24" s="76">
        <f t="shared" ca="1" si="21"/>
        <v>0</v>
      </c>
      <c r="AB24" s="92"/>
      <c r="AC24" s="87">
        <f t="shared" ca="1" si="4"/>
        <v>0</v>
      </c>
      <c r="AD24" s="87">
        <f t="shared" ca="1" si="5"/>
        <v>0</v>
      </c>
      <c r="AE24" s="87">
        <f t="shared" ca="1" si="6"/>
        <v>0</v>
      </c>
      <c r="AF24" s="87">
        <f t="shared" ca="1" si="7"/>
        <v>0</v>
      </c>
      <c r="AG24" s="87">
        <f t="shared" ca="1" si="22"/>
        <v>0</v>
      </c>
      <c r="AH24" s="87">
        <f t="shared" ca="1" si="22"/>
        <v>0</v>
      </c>
      <c r="AI24" s="146"/>
      <c r="AJ24" s="87">
        <f t="shared" ca="1" si="9"/>
        <v>0</v>
      </c>
      <c r="AK24" s="87">
        <f t="shared" ca="1" si="10"/>
        <v>0</v>
      </c>
      <c r="AL24" s="87">
        <f t="shared" ca="1" si="11"/>
        <v>0</v>
      </c>
      <c r="AM24" s="87">
        <f t="shared" ca="1" si="12"/>
        <v>0</v>
      </c>
      <c r="AN24" s="87">
        <f t="shared" ca="1" si="13"/>
        <v>0</v>
      </c>
      <c r="AO24" s="87">
        <f t="shared" ca="1" si="14"/>
        <v>0</v>
      </c>
      <c r="AP24" s="87">
        <f t="shared" ca="1" si="15"/>
        <v>0</v>
      </c>
      <c r="AQ24" s="87">
        <f t="shared" ca="1" si="16"/>
        <v>0</v>
      </c>
      <c r="AR24" s="87">
        <f t="shared" ca="1" si="17"/>
        <v>0</v>
      </c>
      <c r="AS24" s="87">
        <f t="shared" ca="1" si="18"/>
        <v>0</v>
      </c>
      <c r="AT24" s="87">
        <f t="shared" ca="1" si="19"/>
        <v>0</v>
      </c>
      <c r="AU24" s="87">
        <f t="shared" ca="1" si="19"/>
        <v>0</v>
      </c>
      <c r="AV24" s="87">
        <f t="shared" ca="1" si="20"/>
        <v>0</v>
      </c>
    </row>
    <row r="25" spans="1:50" ht="15.95" customHeight="1" outlineLevel="1">
      <c r="A25" s="85" t="s">
        <v>231</v>
      </c>
      <c r="B25" s="116" t="s">
        <v>110</v>
      </c>
      <c r="C25" s="76">
        <f ca="1">IF(ISERROR(VLOOKUP($B25,OFFSET(INDIRECT(""&amp;$B$3&amp;"!$A$4"),0,0,200,100),MATCH(C$4,INDIRECT(""&amp;$B$3&amp;"!$A$4"):INDIRECT(""&amp;$B$3&amp;"!$o$4"),0),FALSE)),"",VLOOKUP($B25,OFFSET(INDIRECT(""&amp;$B$3&amp;"!$A$4"),0,0,200,100),MATCH(C$4,INDIRECT(""&amp;$B$3&amp;"!$A$4"):INDIRECT(""&amp;$B$3&amp;"!$o$4"),0),FALSE))</f>
        <v>36023.281961000001</v>
      </c>
      <c r="D25" s="76">
        <f ca="1">IF(ISERROR(VLOOKUP($B25,OFFSET(INDIRECT(""&amp;$B$3&amp;"!$A$4"),0,0,200,100),MATCH(D$4,INDIRECT(""&amp;$B$3&amp;"!$A$4"):INDIRECT(""&amp;$B$3&amp;"!$o$4"),0),FALSE)),"",VLOOKUP($B25,OFFSET(INDIRECT(""&amp;$B$3&amp;"!$A$4"),0,0,200,100),MATCH(D$4,INDIRECT(""&amp;$B$3&amp;"!$A$4"):INDIRECT(""&amp;$B$3&amp;"!$o$4"),0),FALSE))</f>
        <v>37413.240708999998</v>
      </c>
      <c r="E25" s="76">
        <f ca="1">IF(ISERROR(VLOOKUP($B25,OFFSET(INDIRECT(""&amp;$B$3&amp;"!$A$4"),0,0,200,100),MATCH(E$4,INDIRECT(""&amp;$B$3&amp;"!$A$4"):INDIRECT(""&amp;$B$3&amp;"!$o$4"),0),FALSE)),"",VLOOKUP($B25,OFFSET(INDIRECT(""&amp;$B$3&amp;"!$A$4"),0,0,200,100),MATCH(E$4,INDIRECT(""&amp;$B$3&amp;"!$A$4"):INDIRECT(""&amp;$B$3&amp;"!$o$4"),0),FALSE))</f>
        <v>67901.403158999994</v>
      </c>
      <c r="F25" s="76">
        <f ca="1">IF(ISERROR(VLOOKUP($B25,OFFSET(INDIRECT(""&amp;$B$3&amp;"!$A$4"),0,0,200,100),MATCH(F$4,INDIRECT(""&amp;$B$3&amp;"!$A$4"):INDIRECT(""&amp;$B$3&amp;"!$o$4"),0),FALSE)),"",VLOOKUP($B25,OFFSET(INDIRECT(""&amp;$B$3&amp;"!$A$4"),0,0,200,100),MATCH(F$4,INDIRECT(""&amp;$B$3&amp;"!$A$4"):INDIRECT(""&amp;$B$3&amp;"!$o$4"),0),FALSE))</f>
        <v>53969.822597999999</v>
      </c>
      <c r="G25" s="76">
        <f ca="1">IF(ISERROR(VLOOKUP($B25,OFFSET(INDIRECT(""&amp;$B$3&amp;"!$A$4"),0,0,200,100),MATCH(G$4,INDIRECT(""&amp;$B$3&amp;"!$A$4"):INDIRECT(""&amp;$B$3&amp;"!$o$4"),0),FALSE)),"",VLOOKUP($B25,OFFSET(INDIRECT(""&amp;$B$3&amp;"!$A$4"),0,0,200,100),MATCH(G$4,INDIRECT(""&amp;$B$3&amp;"!$A$4"):INDIRECT(""&amp;$B$3&amp;"!$o$4"),0),FALSE))</f>
        <v>38559.045160000001</v>
      </c>
      <c r="H25" s="76">
        <f ca="1">IF(ISERROR(VLOOKUP($B25,OFFSET(INDIRECT(""&amp;$B$3&amp;"!$A$4"),0,0,200,100),MATCH(H$4,INDIRECT(""&amp;$B$3&amp;"!$A$4"):INDIRECT(""&amp;$B$3&amp;"!$o$4"),0),FALSE)),"",VLOOKUP($B25,OFFSET(INDIRECT(""&amp;$B$3&amp;"!$A$4"),0,0,200,100),MATCH(H$4,INDIRECT(""&amp;$B$3&amp;"!$A$4"):INDIRECT(""&amp;$B$3&amp;"!$o$4"),0),FALSE))</f>
        <v>15702.00764</v>
      </c>
      <c r="I25" s="76">
        <f ca="1">IF(ISERROR(VLOOKUP($B25,OFFSET(INDIRECT(""&amp;$B$3&amp;"!$A$4"),0,0,200,100),MATCH(I$4,INDIRECT(""&amp;$B$3&amp;"!$A$4"):INDIRECT(""&amp;$B$3&amp;"!$o$4"),0),FALSE)),"",VLOOKUP($B25,OFFSET(INDIRECT(""&amp;$B$3&amp;"!$A$4"),0,0,200,100),MATCH(I$4,INDIRECT(""&amp;$B$3&amp;"!$A$4"):INDIRECT(""&amp;$B$3&amp;"!$o$4"),0),FALSE))</f>
        <v>8436.5696470000003</v>
      </c>
      <c r="J25" s="76">
        <f ca="1">IF(ISERROR(VLOOKUP($B25,OFFSET(INDIRECT(""&amp;$B$3&amp;"!$A$4"),0,0,200,100),MATCH(J$4,INDIRECT(""&amp;$B$3&amp;"!$A$4"):INDIRECT(""&amp;$B$3&amp;"!$o$4"),0),FALSE)),"",VLOOKUP($B25,OFFSET(INDIRECT(""&amp;$B$3&amp;"!$A$4"),0,0,200,100),MATCH(J$4,INDIRECT(""&amp;$B$3&amp;"!$A$4"):INDIRECT(""&amp;$B$3&amp;"!$o$4"),0),FALSE))</f>
        <v>14847.033325</v>
      </c>
      <c r="K25" s="91" t="s">
        <v>110</v>
      </c>
      <c r="L25" s="76">
        <f ca="1">IF(ISERROR(VLOOKUP($K25,OFFSET(INDIRECT(""&amp;$S$3&amp;"!$A$4"),0,0,200,100),MATCH(L$4,INDIRECT(""&amp;$S$3&amp;"!$A$4"):INDIRECT(""&amp;$S$3&amp;"!$AD$4"),0),FALSE)),"",VLOOKUP($K25,OFFSET(INDIRECT(""&amp;$S$3&amp;"!$A$4"),0,0,200,100),MATCH(L$4,INDIRECT(""&amp;$S$3&amp;"!$A$4"):INDIRECT(""&amp;$S$3&amp;"!$AD$4"),0),FALSE))</f>
        <v>12877.373404</v>
      </c>
      <c r="M25" s="76">
        <f ca="1">IF(ISERROR(VLOOKUP($K25,OFFSET(INDIRECT(""&amp;$S$3&amp;"!$A$4"),0,0,200,100),MATCH(M$4,INDIRECT(""&amp;$S$3&amp;"!$A$4"):INDIRECT(""&amp;$S$3&amp;"!$AD$4"),0),FALSE)),"",VLOOKUP($K25,OFFSET(INDIRECT(""&amp;$S$3&amp;"!$A$4"),0,0,200,100),MATCH(M$4,INDIRECT(""&amp;$S$3&amp;"!$A$4"):INDIRECT(""&amp;$S$3&amp;"!$AD$4"),0),FALSE))</f>
        <v>21797.757810999999</v>
      </c>
      <c r="N25" s="76">
        <f ca="1">IF(ISERROR(VLOOKUP($K25,OFFSET(INDIRECT(""&amp;$S$3&amp;"!$A$4"),0,0,200,100),MATCH(N$4,INDIRECT(""&amp;$S$3&amp;"!$A$4"):INDIRECT(""&amp;$S$3&amp;"!$AD$4"),0),FALSE)),"",VLOOKUP($K25,OFFSET(INDIRECT(""&amp;$S$3&amp;"!$A$4"),0,0,200,100),MATCH(N$4,INDIRECT(""&amp;$S$3&amp;"!$A$4"):INDIRECT(""&amp;$S$3&amp;"!$AD$4"),0),FALSE))</f>
        <v>12256.941545</v>
      </c>
      <c r="O25" s="76">
        <f ca="1">IF(ISERROR(VLOOKUP($K25,OFFSET(INDIRECT(""&amp;$S$3&amp;"!$A$4"),0,0,200,100),MATCH(O$4,INDIRECT(""&amp;$S$3&amp;"!$A$4"):INDIRECT(""&amp;$S$3&amp;"!$AD$4"),0),FALSE)),"",VLOOKUP($K25,OFFSET(INDIRECT(""&amp;$S$3&amp;"!$A$4"),0,0,200,100),MATCH(O$4,INDIRECT(""&amp;$S$3&amp;"!$A$4"):INDIRECT(""&amp;$S$3&amp;"!$AD$4"),0),FALSE))</f>
        <v>6440.6465470000003</v>
      </c>
      <c r="P25" s="76">
        <f ca="1">IF(ISERROR(VLOOKUP($K25,OFFSET(INDIRECT(""&amp;$S$3&amp;"!$A$4"),0,0,200,100),MATCH(P$4,INDIRECT(""&amp;$S$3&amp;"!$A$4"):INDIRECT(""&amp;$S$3&amp;"!$AD$4"),0),FALSE)),"",VLOOKUP($K25,OFFSET(INDIRECT(""&amp;$S$3&amp;"!$A$4"),0,0,200,100),MATCH(P$4,INDIRECT(""&amp;$S$3&amp;"!$A$4"):INDIRECT(""&amp;$S$3&amp;"!$AD$4"),0),FALSE))</f>
        <v>11039.138064999999</v>
      </c>
      <c r="Q25" s="76">
        <f ca="1">IF(ISERROR(VLOOKUP($K25,OFFSET(INDIRECT(""&amp;$S$3&amp;"!$A$4"),0,0,200,100),MATCH(Q$4,INDIRECT(""&amp;$S$3&amp;"!$A$4"):INDIRECT(""&amp;$S$3&amp;"!$AD$4"),0),FALSE)),"",VLOOKUP($K25,OFFSET(INDIRECT(""&amp;$S$3&amp;"!$A$4"),0,0,200,100),MATCH(Q$4,INDIRECT(""&amp;$S$3&amp;"!$A$4"):INDIRECT(""&amp;$S$3&amp;"!$AD$4"),0),FALSE))</f>
        <v>11661.840672</v>
      </c>
      <c r="R25" s="76">
        <f ca="1">IF(ISERROR(VLOOKUP($K25,OFFSET(INDIRECT(""&amp;$S$3&amp;"!$A$4"),0,0,200,100),MATCH(R$4,INDIRECT(""&amp;$S$3&amp;"!$A$4"):INDIRECT(""&amp;$S$3&amp;"!$AD$4"),0),FALSE)),"",VLOOKUP($K25,OFFSET(INDIRECT(""&amp;$S$3&amp;"!$A$4"),0,0,200,100),MATCH(R$4,INDIRECT(""&amp;$S$3&amp;"!$A$4"):INDIRECT(""&amp;$S$3&amp;"!$AD$4"),0),FALSE))</f>
        <v>7313.6496239999997</v>
      </c>
      <c r="S25" s="76">
        <f ca="1">IF(ISERROR(VLOOKUP($K25,OFFSET(INDIRECT(""&amp;$S$3&amp;"!$A$4"),0,0,200,100),MATCH(S$4,INDIRECT(""&amp;$S$3&amp;"!$A$4"):INDIRECT(""&amp;$S$3&amp;"!$AD$4"),0),FALSE)),"",VLOOKUP($K25,OFFSET(INDIRECT(""&amp;$S$3&amp;"!$A$4"),0,0,200,100),MATCH(S$4,INDIRECT(""&amp;$S$3&amp;"!$A$4"):INDIRECT(""&amp;$S$3&amp;"!$AD$4"),0),FALSE))</f>
        <v>14928.231529999999</v>
      </c>
      <c r="T25" s="76">
        <f ca="1">IF(ISERROR(VLOOKUP($K25,OFFSET(INDIRECT(""&amp;$S$3&amp;"!$A$4"),0,0,200,100),MATCH(T$4,INDIRECT(""&amp;$S$3&amp;"!$A$4"):INDIRECT(""&amp;$S$3&amp;"!$AD$4"),0),FALSE)),"",VLOOKUP($K25,OFFSET(INDIRECT(""&amp;$S$3&amp;"!$A$4"),0,0,200,100),MATCH(T$4,INDIRECT(""&amp;$S$3&amp;"!$A$4"):INDIRECT(""&amp;$S$3&amp;"!$AD$4"),0),FALSE))</f>
        <v>1310.9619499999999</v>
      </c>
      <c r="U25" s="76">
        <f ca="1">IF(ISERROR(VLOOKUP($K25,OFFSET(INDIRECT(""&amp;$S$3&amp;"!$A$4"),0,0,200,100),MATCH(U$4,INDIRECT(""&amp;$S$3&amp;"!$A$4"):INDIRECT(""&amp;$S$3&amp;"!$AD$4"),0),FALSE)),"",VLOOKUP($K25,OFFSET(INDIRECT(""&amp;$S$3&amp;"!$A$4"),0,0,200,100),MATCH(U$4,INDIRECT(""&amp;$S$3&amp;"!$A$4"):INDIRECT(""&amp;$S$3&amp;"!$AD$4"),0),FALSE))</f>
        <v>7842.7158339999996</v>
      </c>
      <c r="V25" s="76">
        <f ca="1">IF(ISERROR(VLOOKUP($K25,OFFSET(INDIRECT(""&amp;$S$3&amp;"!$A$4"),0,0,200,100),MATCH(V$4,INDIRECT(""&amp;$S$3&amp;"!$A$4"):INDIRECT(""&amp;$S$3&amp;"!$AD$4"),0),FALSE)),"",VLOOKUP($K25,OFFSET(INDIRECT(""&amp;$S$3&amp;"!$A$4"),0,0,200,100),MATCH(V$4,INDIRECT(""&amp;$S$3&amp;"!$A$4"):INDIRECT(""&amp;$S$3&amp;"!$AD$4"),0),FALSE))</f>
        <v>5857.3420480000004</v>
      </c>
      <c r="W25" s="76">
        <f ca="1">IF(ISERROR(VLOOKUP($K25,OFFSET(INDIRECT(""&amp;$S$3&amp;"!$A$4"),0,0,200,100),MATCH(W$4,INDIRECT(""&amp;$S$3&amp;"!$A$4"):INDIRECT(""&amp;$S$3&amp;"!$AD$4"),0),FALSE)),"",VLOOKUP($K25,OFFSET(INDIRECT(""&amp;$S$3&amp;"!$A$4"),0,0,200,100),MATCH(W$4,INDIRECT(""&amp;$S$3&amp;"!$A$4"):INDIRECT(""&amp;$S$3&amp;"!$AD$4"),0),FALSE))</f>
        <v>1110.673695</v>
      </c>
      <c r="X25" s="76">
        <f ca="1">IF(ISERROR(VLOOKUP($K25,OFFSET(INDIRECT(""&amp;$S$3&amp;"!$A$4"),0,0,200,100),MATCH(X$4,INDIRECT(""&amp;$S$3&amp;"!$A$4"):INDIRECT(""&amp;$S$3&amp;"!$AD$4"),0),FALSE)),"",VLOOKUP($K25,OFFSET(INDIRECT(""&amp;$S$3&amp;"!$A$4"),0,0,200,100),MATCH(X$4,INDIRECT(""&amp;$S$3&amp;"!$A$4"):INDIRECT(""&amp;$S$3&amp;"!$AD$4"),0),FALSE))</f>
        <v>1975.7657859999999</v>
      </c>
      <c r="Y25" s="76">
        <f ca="1">IF(ISERROR(VLOOKUP($K25,OFFSET(INDIRECT(""&amp;$S$3&amp;"!$A$4"),0,0,200,100),MATCH(Y$4,INDIRECT(""&amp;$S$3&amp;"!$A$4"):INDIRECT(""&amp;$S$3&amp;"!$AD$4"),0),FALSE)),"",VLOOKUP($K25,OFFSET(INDIRECT(""&amp;$S$3&amp;"!$A$4"),0,0,200,100),MATCH(Y$4,INDIRECT(""&amp;$S$3&amp;"!$A$4"):INDIRECT(""&amp;$S$3&amp;"!$AD$4"),0),FALSE))</f>
        <v>-1137.7933049999999</v>
      </c>
      <c r="Z25" s="76">
        <f ca="1">IF(ISERROR(VLOOKUP($K25,OFFSET(INDIRECT(""&amp;$S$3&amp;"!$A$4"),0,0,200,100),MATCH(Z$4,INDIRECT(""&amp;$S$3&amp;"!$A$4"):INDIRECT(""&amp;$S$3&amp;"!$AD$4"),0),FALSE)),"",VLOOKUP($K25,OFFSET(INDIRECT(""&amp;$S$3&amp;"!$A$4"),0,0,200,100),MATCH(Z$4,INDIRECT(""&amp;$S$3&amp;"!$A$4"):INDIRECT(""&amp;$S$3&amp;"!$AD$4"),0),FALSE))</f>
        <v>6454.7344350000003</v>
      </c>
      <c r="AA25" s="76">
        <f t="shared" ca="1" si="21"/>
        <v>8943.7815289999999</v>
      </c>
      <c r="AB25" s="92"/>
      <c r="AC25" s="87">
        <f t="shared" ca="1" si="4"/>
        <v>0.35253915421178206</v>
      </c>
      <c r="AD25" s="87">
        <f t="shared" ca="1" si="5"/>
        <v>0.22838733857354399</v>
      </c>
      <c r="AE25" s="87">
        <f t="shared" ca="1" si="6"/>
        <v>0.17568714989045353</v>
      </c>
      <c r="AF25" s="87">
        <f t="shared" ca="1" si="7"/>
        <v>7.2694682721492113E-2</v>
      </c>
      <c r="AG25" s="87">
        <f t="shared" ca="1" si="22"/>
        <v>5.6954429308894133E-2</v>
      </c>
      <c r="AH25" s="87">
        <f t="shared" ca="1" si="22"/>
        <v>8.6768803145267956E-2</v>
      </c>
      <c r="AI25" s="144"/>
      <c r="AJ25" s="87">
        <f t="shared" ca="1" si="9"/>
        <v>0.11226637603339527</v>
      </c>
      <c r="AK25" s="87">
        <f t="shared" ca="1" si="10"/>
        <v>0.23558454052553221</v>
      </c>
      <c r="AL25" s="87">
        <f t="shared" ca="1" si="11"/>
        <v>0.16671241980135443</v>
      </c>
      <c r="AM25" s="87">
        <f t="shared" ca="1" si="12"/>
        <v>0.13595148172022509</v>
      </c>
      <c r="AN25" s="87">
        <f t="shared" ca="1" si="13"/>
        <v>0.30547292108538993</v>
      </c>
      <c r="AO25" s="87">
        <f t="shared" ca="1" si="14"/>
        <v>2.662128269173003E-2</v>
      </c>
      <c r="AP25" s="87">
        <f t="shared" ca="1" si="15"/>
        <v>0.12721459338384294</v>
      </c>
      <c r="AQ25" s="87">
        <f t="shared" ca="1" si="16"/>
        <v>0.10656015038746205</v>
      </c>
      <c r="AR25" s="87">
        <f t="shared" ca="1" si="17"/>
        <v>2.2152534770777953E-2</v>
      </c>
      <c r="AS25" s="87">
        <f t="shared" ca="1" si="18"/>
        <v>5.3886207588215648E-2</v>
      </c>
      <c r="AT25" s="87">
        <f t="shared" ca="1" si="19"/>
        <v>-3.1841535871197243E-2</v>
      </c>
      <c r="AU25" s="87">
        <f t="shared" ca="1" si="19"/>
        <v>0.18364574956570537</v>
      </c>
      <c r="AV25" s="87">
        <f t="shared" ca="1" si="20"/>
        <v>6.3086321182885721E-2</v>
      </c>
    </row>
    <row r="26" spans="1:50" ht="15.95" customHeight="1" outlineLevel="1">
      <c r="A26" s="85" t="s">
        <v>492</v>
      </c>
      <c r="B26" s="116"/>
      <c r="C26" s="76">
        <f t="shared" ref="C26:I26" ca="1" si="23">C20+C12</f>
        <v>47682.084817999996</v>
      </c>
      <c r="D26" s="76">
        <f t="shared" ca="1" si="23"/>
        <v>48711.338256000003</v>
      </c>
      <c r="E26" s="76">
        <f t="shared" ca="1" si="23"/>
        <v>82446.524916000009</v>
      </c>
      <c r="F26" s="76">
        <f t="shared" ca="1" si="23"/>
        <v>71776.022108000005</v>
      </c>
      <c r="G26" s="76">
        <f t="shared" ca="1" si="23"/>
        <v>55130.813151000002</v>
      </c>
      <c r="H26" s="76">
        <f t="shared" ca="1" si="23"/>
        <v>22862.061399000002</v>
      </c>
      <c r="I26" s="76">
        <f t="shared" ca="1" si="23"/>
        <v>8085.2388289999999</v>
      </c>
      <c r="J26" s="76">
        <f t="shared" ref="J26" ca="1" si="24">J20+J12</f>
        <v>18148.203485000002</v>
      </c>
      <c r="K26" s="91"/>
      <c r="L26" s="76">
        <f ca="1">L20+L12</f>
        <v>17113.882771000001</v>
      </c>
      <c r="M26" s="76">
        <f t="shared" ref="M26:Y26" ca="1" si="25">M20+M12</f>
        <v>28969.008980999999</v>
      </c>
      <c r="N26" s="76">
        <f t="shared" ca="1" si="25"/>
        <v>16202.502726000001</v>
      </c>
      <c r="O26" s="76">
        <f t="shared" ca="1" si="25"/>
        <v>9322.9062190000004</v>
      </c>
      <c r="P26" s="76">
        <f t="shared" ca="1" si="25"/>
        <v>16160.538903999999</v>
      </c>
      <c r="Q26" s="76">
        <f t="shared" ca="1" si="25"/>
        <v>18510.187710000002</v>
      </c>
      <c r="R26" s="76">
        <f t="shared" ca="1" si="25"/>
        <v>12207.913691</v>
      </c>
      <c r="S26" s="76">
        <f t="shared" ca="1" si="25"/>
        <v>15927.763301999999</v>
      </c>
      <c r="T26" s="76">
        <f t="shared" ca="1" si="25"/>
        <v>3064.416334</v>
      </c>
      <c r="U26" s="76">
        <f t="shared" ca="1" si="25"/>
        <v>10568.277806</v>
      </c>
      <c r="V26" s="76">
        <f t="shared" ca="1" si="25"/>
        <v>8410.9219190000003</v>
      </c>
      <c r="W26" s="76">
        <f t="shared" ca="1" si="25"/>
        <v>1464.4804899999999</v>
      </c>
      <c r="X26" s="76">
        <f t="shared" ca="1" si="25"/>
        <v>3293.2386750000001</v>
      </c>
      <c r="Y26" s="76">
        <f t="shared" ca="1" si="25"/>
        <v>-2492.9470389999997</v>
      </c>
      <c r="Z26" s="76">
        <f t="shared" ref="Z26" ca="1" si="26">Z20+Z12</f>
        <v>7998.4851910000007</v>
      </c>
      <c r="AA26" s="76">
        <f t="shared" ca="1" si="21"/>
        <v>13168.641084000001</v>
      </c>
      <c r="AB26" s="92"/>
      <c r="AC26" s="87"/>
      <c r="AD26" s="87"/>
      <c r="AE26" s="87"/>
      <c r="AF26" s="87"/>
      <c r="AG26" s="87"/>
      <c r="AH26" s="87"/>
      <c r="AI26" s="153"/>
      <c r="AJ26" s="87"/>
      <c r="AK26" s="87"/>
      <c r="AL26" s="87"/>
      <c r="AM26" s="87"/>
      <c r="AN26" s="87"/>
      <c r="AO26" s="87"/>
      <c r="AP26" s="87"/>
      <c r="AQ26" s="87"/>
      <c r="AR26" s="87"/>
      <c r="AS26" s="87"/>
      <c r="AT26" s="87"/>
      <c r="AU26" s="87"/>
      <c r="AV26" s="87"/>
    </row>
    <row r="27" spans="1:50" ht="15.95" customHeight="1" outlineLevel="1">
      <c r="A27" s="85" t="s">
        <v>493</v>
      </c>
      <c r="B27" s="116"/>
      <c r="C27" s="76">
        <f t="shared" ref="C27:I27" ca="1" si="27">C26+C114</f>
        <v>50120.234532999995</v>
      </c>
      <c r="D27" s="76">
        <f t="shared" ca="1" si="27"/>
        <v>51318.174542000001</v>
      </c>
      <c r="E27" s="76">
        <f t="shared" ca="1" si="27"/>
        <v>84801.72662300001</v>
      </c>
      <c r="F27" s="76">
        <f t="shared" ca="1" si="27"/>
        <v>75269.475384000005</v>
      </c>
      <c r="G27" s="76">
        <f t="shared" ca="1" si="27"/>
        <v>63083.411338000005</v>
      </c>
      <c r="H27" s="76">
        <f t="shared" ca="1" si="27"/>
        <v>38921.289173000005</v>
      </c>
      <c r="I27" s="76">
        <f t="shared" ca="1" si="27"/>
        <v>20065.903676000002</v>
      </c>
      <c r="J27" s="76">
        <f t="shared" ref="J27" ca="1" si="28">J26+J114</f>
        <v>30128.868332000002</v>
      </c>
      <c r="K27" s="91"/>
      <c r="L27" s="76">
        <f t="shared" ref="L27:M27" ca="1" si="29">IF(L114="","",L26+L114)</f>
        <v>17936.996132</v>
      </c>
      <c r="M27" s="76">
        <f t="shared" ca="1" si="29"/>
        <v>30642.94066</v>
      </c>
      <c r="N27" s="76">
        <f t="shared" ref="N27:T27" ca="1" si="30">IF(N114="","",N26+N114)</f>
        <v>16202.502726000001</v>
      </c>
      <c r="O27" s="76">
        <f t="shared" ca="1" si="30"/>
        <v>9322.9062190000004</v>
      </c>
      <c r="P27" s="76">
        <f t="shared" ca="1" si="30"/>
        <v>17060.776107999998</v>
      </c>
      <c r="Q27" s="76">
        <f t="shared" ca="1" si="30"/>
        <v>18510.187710000002</v>
      </c>
      <c r="R27" s="76">
        <f t="shared" ca="1" si="30"/>
        <v>12207.913691</v>
      </c>
      <c r="S27" s="76">
        <f t="shared" ca="1" si="30"/>
        <v>15927.763301999999</v>
      </c>
      <c r="T27" s="76">
        <f t="shared" ca="1" si="30"/>
        <v>6509.4943130000001</v>
      </c>
      <c r="U27" s="76">
        <f t="shared" ref="U27:W27" ca="1" si="31">IF(U114="","",U26+U114)</f>
        <v>15055.133492000001</v>
      </c>
      <c r="V27" s="76">
        <f t="shared" ca="1" si="31"/>
        <v>8410.9219190000003</v>
      </c>
      <c r="W27" s="76">
        <f t="shared" ca="1" si="31"/>
        <v>1464.4804899999999</v>
      </c>
      <c r="X27" s="76">
        <f t="shared" ref="X27:Y27" ca="1" si="32">IF(X114="","",X26+X114)</f>
        <v>3293.2386750000001</v>
      </c>
      <c r="Y27" s="76">
        <f t="shared" ca="1" si="32"/>
        <v>-2492.9470389999997</v>
      </c>
      <c r="Z27" s="76">
        <f t="shared" ref="Z27" ca="1" si="33">IF(Z114="","",Z26+Z114)</f>
        <v>7998.4851910000007</v>
      </c>
      <c r="AA27" s="76">
        <f t="shared" ca="1" si="21"/>
        <v>13168.641084000001</v>
      </c>
      <c r="AB27" s="92"/>
      <c r="AC27" s="87"/>
      <c r="AD27" s="87"/>
      <c r="AE27" s="87"/>
      <c r="AF27" s="87"/>
      <c r="AG27" s="87"/>
      <c r="AH27" s="87"/>
      <c r="AI27" s="153"/>
      <c r="AJ27" s="87"/>
      <c r="AK27" s="87"/>
      <c r="AL27" s="87"/>
      <c r="AM27" s="87"/>
      <c r="AN27" s="87"/>
      <c r="AO27" s="87"/>
      <c r="AP27" s="87"/>
      <c r="AQ27" s="87"/>
      <c r="AR27" s="87"/>
      <c r="AS27" s="87"/>
      <c r="AT27" s="87"/>
      <c r="AU27" s="87"/>
      <c r="AV27" s="87"/>
    </row>
    <row r="28" spans="1:50" s="138" customFormat="1" ht="15.95" customHeight="1" outlineLevel="1">
      <c r="A28" s="135" t="s">
        <v>496</v>
      </c>
      <c r="B28" s="136"/>
      <c r="C28" s="137">
        <f t="shared" ref="C28:I28" ca="1" si="34">C25/C94*10000</f>
        <v>5371.3981899649598</v>
      </c>
      <c r="D28" s="137">
        <f t="shared" ca="1" si="34"/>
        <v>3704.4022932432445</v>
      </c>
      <c r="E28" s="137">
        <f t="shared" ca="1" si="34"/>
        <v>6723.1308705135907</v>
      </c>
      <c r="F28" s="137">
        <f t="shared" ca="1" si="34"/>
        <v>3569.4454595274351</v>
      </c>
      <c r="G28" s="137">
        <f t="shared" ca="1" si="34"/>
        <v>2550.2105073655689</v>
      </c>
      <c r="H28" s="137">
        <f t="shared" ca="1" si="34"/>
        <v>1038.4962776983464</v>
      </c>
      <c r="I28" s="137">
        <f t="shared" ca="1" si="34"/>
        <v>557.97617577470191</v>
      </c>
      <c r="J28" s="137">
        <f t="shared" ref="J28" ca="1" si="35">J25/J94*10000</f>
        <v>981.95015544367686</v>
      </c>
      <c r="K28" s="91"/>
      <c r="L28" s="137">
        <f t="shared" ref="L28:M28" ca="1" si="36">L25/L94*10000</f>
        <v>1275.0291251100284</v>
      </c>
      <c r="M28" s="137">
        <f t="shared" ca="1" si="36"/>
        <v>2158.2643602216704</v>
      </c>
      <c r="N28" s="137">
        <f t="shared" ref="N28:T28" ca="1" si="37">N25/N94*10000</f>
        <v>1213.5982210309842</v>
      </c>
      <c r="O28" s="137">
        <f t="shared" ca="1" si="37"/>
        <v>425.97020829307201</v>
      </c>
      <c r="P28" s="137">
        <f t="shared" ca="1" si="37"/>
        <v>730.1043313911307</v>
      </c>
      <c r="Q28" s="137">
        <f t="shared" ca="1" si="37"/>
        <v>771.28851333199214</v>
      </c>
      <c r="R28" s="137">
        <f t="shared" ca="1" si="37"/>
        <v>483.70871324540445</v>
      </c>
      <c r="S28" s="137">
        <f t="shared" ca="1" si="37"/>
        <v>987.32042627665464</v>
      </c>
      <c r="T28" s="137">
        <f t="shared" ca="1" si="37"/>
        <v>86.704142329608842</v>
      </c>
      <c r="U28" s="137">
        <f t="shared" ref="U28:W28" ca="1" si="38">U25/U94*10000</f>
        <v>518.69998966927528</v>
      </c>
      <c r="V28" s="137">
        <f t="shared" ca="1" si="38"/>
        <v>387.39173063184222</v>
      </c>
      <c r="W28" s="137">
        <f t="shared" ca="1" si="38"/>
        <v>73.457517308593566</v>
      </c>
      <c r="X28" s="137">
        <f t="shared" ref="X28:Y28" ca="1" si="39">X25/X94*10000</f>
        <v>130.67280703251188</v>
      </c>
      <c r="Y28" s="137">
        <f t="shared" ca="1" si="39"/>
        <v>-75.251148714420012</v>
      </c>
      <c r="Z28" s="137">
        <f t="shared" ref="Z28" ca="1" si="40">Z25/Z94*10000</f>
        <v>426.90195024506045</v>
      </c>
      <c r="AA28" s="137">
        <f t="shared" ca="1" si="21"/>
        <v>591.52205497294767</v>
      </c>
      <c r="AB28" s="92"/>
      <c r="AC28" s="152"/>
      <c r="AD28" s="152"/>
      <c r="AE28" s="152"/>
      <c r="AF28" s="152"/>
      <c r="AG28" s="152"/>
      <c r="AH28" s="152"/>
      <c r="AI28" s="153"/>
      <c r="AJ28" s="152"/>
      <c r="AK28" s="152"/>
      <c r="AL28" s="152"/>
      <c r="AM28" s="152"/>
      <c r="AN28" s="152"/>
      <c r="AO28" s="152"/>
      <c r="AP28" s="152"/>
      <c r="AQ28" s="152"/>
      <c r="AR28" s="152"/>
      <c r="AS28" s="152"/>
      <c r="AT28" s="152"/>
      <c r="AU28" s="152"/>
      <c r="AV28" s="152"/>
    </row>
    <row r="29" spans="1:50" ht="15.95" customHeight="1">
      <c r="A29" s="149" t="s">
        <v>203</v>
      </c>
      <c r="B29" s="149" t="s">
        <v>206</v>
      </c>
      <c r="C29" s="151"/>
      <c r="D29" s="151"/>
      <c r="E29" s="151"/>
      <c r="F29" s="151"/>
      <c r="G29" s="151"/>
      <c r="H29" s="151"/>
      <c r="I29" s="151"/>
      <c r="J29" s="151"/>
      <c r="K29" s="96"/>
      <c r="L29" s="96"/>
      <c r="M29" s="96"/>
      <c r="N29" s="96"/>
      <c r="O29" s="96"/>
      <c r="P29" s="96"/>
      <c r="Q29" s="96"/>
      <c r="R29" s="96"/>
      <c r="S29" s="151" t="s">
        <v>207</v>
      </c>
      <c r="T29" s="102"/>
      <c r="U29" s="102"/>
      <c r="V29" s="102"/>
      <c r="W29" s="102"/>
      <c r="X29" s="102"/>
      <c r="Y29" s="102"/>
      <c r="Z29" s="102"/>
      <c r="AA29" s="102"/>
      <c r="AB29" s="92"/>
      <c r="AC29" s="103"/>
      <c r="AD29" s="103"/>
      <c r="AE29" s="103"/>
      <c r="AF29" s="103"/>
      <c r="AG29" s="103"/>
      <c r="AH29" s="103"/>
      <c r="AI29" s="144"/>
      <c r="AJ29" s="144"/>
      <c r="AK29" s="144"/>
      <c r="AL29" s="144"/>
      <c r="AM29" s="144"/>
      <c r="AN29" s="144"/>
      <c r="AO29" s="103"/>
      <c r="AP29" s="103"/>
      <c r="AQ29" s="103"/>
      <c r="AR29" s="103"/>
      <c r="AS29" s="103"/>
      <c r="AT29" s="103"/>
      <c r="AU29" s="103"/>
      <c r="AV29" s="103"/>
    </row>
    <row r="30" spans="1:50" s="84" customFormat="1" ht="15.95" customHeight="1" outlineLevel="1">
      <c r="A30" s="410" t="s">
        <v>340</v>
      </c>
      <c r="B30" s="410"/>
      <c r="C30" s="411">
        <v>2007</v>
      </c>
      <c r="D30" s="411">
        <v>2008</v>
      </c>
      <c r="E30" s="411">
        <v>2009</v>
      </c>
      <c r="F30" s="411">
        <v>2010</v>
      </c>
      <c r="G30" s="411">
        <v>2011</v>
      </c>
      <c r="H30" s="411">
        <v>2012</v>
      </c>
      <c r="I30" s="411">
        <v>2013</v>
      </c>
      <c r="J30" s="411">
        <v>2013</v>
      </c>
      <c r="K30" s="82"/>
      <c r="L30" s="411" t="str">
        <f t="shared" ref="L30:M30" si="41">L4</f>
        <v>Q1/2010</v>
      </c>
      <c r="M30" s="411" t="str">
        <f t="shared" si="41"/>
        <v>Q2/2010</v>
      </c>
      <c r="N30" s="411" t="str">
        <f>N4</f>
        <v>Q3/2010</v>
      </c>
      <c r="O30" s="411" t="str">
        <f t="shared" ref="O30:AA30" si="42">O4</f>
        <v>Q4/2010</v>
      </c>
      <c r="P30" s="411" t="str">
        <f t="shared" si="42"/>
        <v>Q1/2011</v>
      </c>
      <c r="Q30" s="411" t="str">
        <f t="shared" si="42"/>
        <v>Q2/2011</v>
      </c>
      <c r="R30" s="411" t="str">
        <f t="shared" si="42"/>
        <v>Q3/2011</v>
      </c>
      <c r="S30" s="411" t="str">
        <f t="shared" si="42"/>
        <v>Q4/2011</v>
      </c>
      <c r="T30" s="411" t="str">
        <f t="shared" si="42"/>
        <v>Q1/2012</v>
      </c>
      <c r="U30" s="411" t="str">
        <f t="shared" si="42"/>
        <v>Q2/2012</v>
      </c>
      <c r="V30" s="411" t="str">
        <f t="shared" si="42"/>
        <v>Q3/2012</v>
      </c>
      <c r="W30" s="411" t="str">
        <f t="shared" si="42"/>
        <v>Q4/2012</v>
      </c>
      <c r="X30" s="411" t="str">
        <f t="shared" si="42"/>
        <v>Q1/2013</v>
      </c>
      <c r="Y30" s="411" t="str">
        <f t="shared" ref="Y30" si="43">Y4</f>
        <v>Q2/2013</v>
      </c>
      <c r="Z30" s="411" t="s">
        <v>849</v>
      </c>
      <c r="AA30" s="411" t="str">
        <f t="shared" si="42"/>
        <v>9M</v>
      </c>
      <c r="AB30" s="79"/>
      <c r="AC30" s="411">
        <f>E30</f>
        <v>2009</v>
      </c>
      <c r="AD30" s="411">
        <f t="shared" ref="AD30:AH30" si="44">F30</f>
        <v>2010</v>
      </c>
      <c r="AE30" s="411">
        <f t="shared" si="44"/>
        <v>2011</v>
      </c>
      <c r="AF30" s="411">
        <f t="shared" si="44"/>
        <v>2012</v>
      </c>
      <c r="AG30" s="411">
        <f t="shared" si="44"/>
        <v>2013</v>
      </c>
      <c r="AH30" s="411">
        <f t="shared" si="44"/>
        <v>2013</v>
      </c>
      <c r="AI30" s="143"/>
      <c r="AJ30" s="411" t="str">
        <f>O30</f>
        <v>Q4/2010</v>
      </c>
      <c r="AK30" s="411" t="str">
        <f t="shared" ref="AK30:AS30" si="45">P30</f>
        <v>Q1/2011</v>
      </c>
      <c r="AL30" s="411" t="str">
        <f t="shared" si="45"/>
        <v>Q2/2011</v>
      </c>
      <c r="AM30" s="411" t="str">
        <f t="shared" si="45"/>
        <v>Q3/2011</v>
      </c>
      <c r="AN30" s="411" t="str">
        <f t="shared" si="45"/>
        <v>Q4/2011</v>
      </c>
      <c r="AO30" s="411" t="str">
        <f t="shared" si="45"/>
        <v>Q1/2012</v>
      </c>
      <c r="AP30" s="411" t="str">
        <f t="shared" si="45"/>
        <v>Q2/2012</v>
      </c>
      <c r="AQ30" s="411" t="str">
        <f t="shared" si="45"/>
        <v>Q3/2012</v>
      </c>
      <c r="AR30" s="411" t="str">
        <f t="shared" si="45"/>
        <v>Q4/2012</v>
      </c>
      <c r="AS30" s="411" t="str">
        <f t="shared" si="45"/>
        <v>Q1/2013</v>
      </c>
      <c r="AT30" s="411" t="str">
        <f t="shared" ref="AT30:AU30" si="46">Y30</f>
        <v>Q2/2013</v>
      </c>
      <c r="AU30" s="411" t="str">
        <f t="shared" si="46"/>
        <v>Q3/2013</v>
      </c>
      <c r="AV30" s="411" t="str">
        <f t="shared" ref="AV30" si="47">AA30</f>
        <v>9M</v>
      </c>
      <c r="AW30" s="81"/>
      <c r="AX30" s="81"/>
    </row>
    <row r="31" spans="1:50" s="84" customFormat="1" ht="15.95" customHeight="1" outlineLevel="1">
      <c r="A31" s="85" t="s">
        <v>232</v>
      </c>
      <c r="B31" s="85" t="s">
        <v>76</v>
      </c>
      <c r="C31" s="76">
        <f ca="1">IF(ISERROR(VLOOKUP($B31,OFFSET(INDIRECT(""&amp;$B$29&amp;"!$A$4"),0,0,200,100),MATCH(C$30,INDIRECT(""&amp;$B$29&amp;"!$A$4"):INDIRECT(""&amp;$B$29&amp;"!$o$4"),0),FALSE)),"",VLOOKUP($B31,OFFSET(INDIRECT(""&amp;$B$29&amp;"!$A$4"),0,0,200,100),MATCH(C$30,INDIRECT(""&amp;$B$29&amp;"!$A$4"):INDIRECT(""&amp;$B$29&amp;"!$o$4"),0),FALSE))</f>
        <v>236040.24393500001</v>
      </c>
      <c r="D31" s="76">
        <f ca="1">IF(ISERROR(VLOOKUP($B31,OFFSET(INDIRECT(""&amp;$B$29&amp;"!$A$4"),0,0,200,100),MATCH(D$30,INDIRECT(""&amp;$B$29&amp;"!$A$4"):INDIRECT(""&amp;$B$29&amp;"!$o$4"),0),FALSE)),"",VLOOKUP($B31,OFFSET(INDIRECT(""&amp;$B$29&amp;"!$A$4"),0,0,200,100),MATCH(D$30,INDIRECT(""&amp;$B$29&amp;"!$A$4"):INDIRECT(""&amp;$B$29&amp;"!$o$4"),0),FALSE))</f>
        <v>298545.60721799999</v>
      </c>
      <c r="E31" s="76">
        <f ca="1">IF(ISERROR(VLOOKUP($B31,OFFSET(INDIRECT(""&amp;$B$29&amp;"!$A$4"),0,0,200,100),MATCH(E$30,INDIRECT(""&amp;$B$29&amp;"!$A$4"):INDIRECT(""&amp;$B$29&amp;"!$o$4"),0),FALSE)),"",VLOOKUP($B31,OFFSET(INDIRECT(""&amp;$B$29&amp;"!$A$4"),0,0,200,100),MATCH(E$30,INDIRECT(""&amp;$B$29&amp;"!$A$4"):INDIRECT(""&amp;$B$29&amp;"!$o$4"),0),FALSE))</f>
        <v>348834.21992800001</v>
      </c>
      <c r="F31" s="76">
        <f ca="1">IF(ISERROR(VLOOKUP($B31,OFFSET(INDIRECT(""&amp;$B$29&amp;"!$A$4"),0,0,200,100),MATCH(F$30,INDIRECT(""&amp;$B$29&amp;"!$A$4"):INDIRECT(""&amp;$B$29&amp;"!$o$4"),0),FALSE)),"",VLOOKUP($B31,OFFSET(INDIRECT(""&amp;$B$29&amp;"!$A$4"),0,0,200,100),MATCH(F$30,INDIRECT(""&amp;$B$29&amp;"!$A$4"):INDIRECT(""&amp;$B$29&amp;"!$o$4"),0),FALSE))</f>
        <v>377072.19397099997</v>
      </c>
      <c r="G31" s="76">
        <f ca="1">IF(ISERROR(VLOOKUP($B31,OFFSET(INDIRECT(""&amp;$B$29&amp;"!$A$4"),0,0,200,100),MATCH(G$30,INDIRECT(""&amp;$B$29&amp;"!$A$4"):INDIRECT(""&amp;$B$29&amp;"!$o$4"),0),FALSE)),"",VLOOKUP($B31,OFFSET(INDIRECT(""&amp;$B$29&amp;"!$A$4"),0,0,200,100),MATCH(G$30,INDIRECT(""&amp;$B$29&amp;"!$A$4"):INDIRECT(""&amp;$B$29&amp;"!$o$4"),0),FALSE))</f>
        <v>381644.06778300001</v>
      </c>
      <c r="H31" s="76">
        <f ca="1">IF(ISERROR(VLOOKUP($B31,OFFSET(INDIRECT(""&amp;$B$29&amp;"!$A$4"),0,0,200,100),MATCH(H$30,INDIRECT(""&amp;$B$29&amp;"!$A$4"):INDIRECT(""&amp;$B$29&amp;"!$o$4"),0),FALSE)),"",VLOOKUP($B31,OFFSET(INDIRECT(""&amp;$B$29&amp;"!$A$4"),0,0,200,100),MATCH(H$30,INDIRECT(""&amp;$B$29&amp;"!$A$4"):INDIRECT(""&amp;$B$29&amp;"!$o$4"),0),FALSE))</f>
        <v>366192.39994099998</v>
      </c>
      <c r="I31" s="76">
        <f ca="1">IF(ISERROR(VLOOKUP($B31,OFFSET(INDIRECT(""&amp;$B$29&amp;"!$A$4"),0,0,200,100),MATCH(I$30,INDIRECT(""&amp;$B$29&amp;"!$A$4"):INDIRECT(""&amp;$B$29&amp;"!$o$4"),0),FALSE)),"",VLOOKUP($B31,OFFSET(INDIRECT(""&amp;$B$29&amp;"!$A$4"),0,0,200,100),MATCH(I$30,INDIRECT(""&amp;$B$29&amp;"!$A$4"):INDIRECT(""&amp;$B$29&amp;"!$o$4"),0),FALSE))</f>
        <v>340810.38156200002</v>
      </c>
      <c r="J31" s="76">
        <f ca="1">IF(ISERROR(VLOOKUP($B31,OFFSET(INDIRECT(""&amp;$B$29&amp;"!$A$4"),0,0,200,100),MATCH(J$30,INDIRECT(""&amp;$B$29&amp;"!$A$4"):INDIRECT(""&amp;$B$29&amp;"!$o$4"),0),FALSE)),"",VLOOKUP($B31,OFFSET(INDIRECT(""&amp;$B$29&amp;"!$A$4"),0,0,200,100),MATCH(J$30,INDIRECT(""&amp;$B$29&amp;"!$A$4"):INDIRECT(""&amp;$B$29&amp;"!$o$4"),0),FALSE))</f>
        <v>340810.38156200002</v>
      </c>
      <c r="K31" s="104" t="s">
        <v>76</v>
      </c>
      <c r="L31" s="76">
        <f ca="1">IF(ISERROR(VLOOKUP($K31,OFFSET(INDIRECT(""&amp;$S$29&amp;"!$A$4"),0,0,200,100),MATCH(L$30,INDIRECT(""&amp;$S$29&amp;"!$A$4"):INDIRECT(""&amp;$S$29&amp;"!$AA$4"),0),FALSE)),"",VLOOKUP($K31,OFFSET(INDIRECT(""&amp;$S$29&amp;"!$A$4"),0,0,200,100),MATCH(L$30,INDIRECT(""&amp;$S$29&amp;"!$A$4"):INDIRECT(""&amp;$S$29&amp;"!$AA$4"),0),FALSE))</f>
        <v>364130.31263300002</v>
      </c>
      <c r="M31" s="76">
        <f ca="1">IF(ISERROR(VLOOKUP($K31,OFFSET(INDIRECT(""&amp;$S$29&amp;"!$A$4"),0,0,200,100),MATCH(M$30,INDIRECT(""&amp;$S$29&amp;"!$A$4"):INDIRECT(""&amp;$S$29&amp;"!$AA$4"),0),FALSE)),"",VLOOKUP($K31,OFFSET(INDIRECT(""&amp;$S$29&amp;"!$A$4"),0,0,200,100),MATCH(M$30,INDIRECT(""&amp;$S$29&amp;"!$A$4"):INDIRECT(""&amp;$S$29&amp;"!$AA$4"),0),FALSE))</f>
        <v>378289.68468200002</v>
      </c>
      <c r="N31" s="76">
        <f ca="1">IF(ISERROR(VLOOKUP($K31,OFFSET(INDIRECT(""&amp;$S$29&amp;"!$A$4"),0,0,200,100),MATCH(N$30,INDIRECT(""&amp;$S$29&amp;"!$A$4"):INDIRECT(""&amp;$S$29&amp;"!$AA$4"),0),FALSE)),"",VLOOKUP($K31,OFFSET(INDIRECT(""&amp;$S$29&amp;"!$A$4"),0,0,200,100),MATCH(N$30,INDIRECT(""&amp;$S$29&amp;"!$A$4"):INDIRECT(""&amp;$S$29&amp;"!$AA$4"),0),FALSE))</f>
        <v>384762.95500700001</v>
      </c>
      <c r="O31" s="76">
        <f ca="1">IF(ISERROR(VLOOKUP($K31,OFFSET(INDIRECT(""&amp;$S$29&amp;"!$A$4"),0,0,200,100),MATCH(O$30,INDIRECT(""&amp;$S$29&amp;"!$A$4"):INDIRECT(""&amp;$S$29&amp;"!$AA$4"),0),FALSE)),"",VLOOKUP($K31,OFFSET(INDIRECT(""&amp;$S$29&amp;"!$A$4"),0,0,200,100),MATCH(O$30,INDIRECT(""&amp;$S$29&amp;"!$A$4"):INDIRECT(""&amp;$S$29&amp;"!$AA$4"),0),FALSE))</f>
        <v>391794.49247400003</v>
      </c>
      <c r="P31" s="76">
        <f ca="1">IF(ISERROR(VLOOKUP($K31,OFFSET(INDIRECT(""&amp;$S$29&amp;"!$A$4"),0,0,200,100),MATCH(P$30,INDIRECT(""&amp;$S$29&amp;"!$A$4"):INDIRECT(""&amp;$S$29&amp;"!$AA$4"),0),FALSE)),"",VLOOKUP($K31,OFFSET(INDIRECT(""&amp;$S$29&amp;"!$A$4"),0,0,200,100),MATCH(P$30,INDIRECT(""&amp;$S$29&amp;"!$A$4"):INDIRECT(""&amp;$S$29&amp;"!$AA$4"),0),FALSE))</f>
        <v>388879.74401099997</v>
      </c>
      <c r="Q31" s="76">
        <f ca="1">IF(ISERROR(VLOOKUP($K31,OFFSET(INDIRECT(""&amp;$S$29&amp;"!$A$4"),0,0,200,100),MATCH(Q$30,INDIRECT(""&amp;$S$29&amp;"!$A$4"):INDIRECT(""&amp;$S$29&amp;"!$AA$4"),0),FALSE)),"",VLOOKUP($K31,OFFSET(INDIRECT(""&amp;$S$29&amp;"!$A$4"),0,0,200,100),MATCH(Q$30,INDIRECT(""&amp;$S$29&amp;"!$A$4"):INDIRECT(""&amp;$S$29&amp;"!$AA$4"),0),FALSE))</f>
        <v>413740.23262600001</v>
      </c>
      <c r="R31" s="76">
        <f ca="1">IF(ISERROR(VLOOKUP($K31,OFFSET(INDIRECT(""&amp;$S$29&amp;"!$A$4"),0,0,200,100),MATCH(R$30,INDIRECT(""&amp;$S$29&amp;"!$A$4"):INDIRECT(""&amp;$S$29&amp;"!$AA$4"),0),FALSE)),"",VLOOKUP($K31,OFFSET(INDIRECT(""&amp;$S$29&amp;"!$A$4"),0,0,200,100),MATCH(R$30,INDIRECT(""&amp;$S$29&amp;"!$A$4"):INDIRECT(""&amp;$S$29&amp;"!$AA$4"),0),FALSE))</f>
        <v>397388.04636199999</v>
      </c>
      <c r="S31" s="76">
        <f ca="1">IF(ISERROR(VLOOKUP($K31,OFFSET(INDIRECT(""&amp;$S$29&amp;"!$A$4"),0,0,200,100),MATCH(S$30,INDIRECT(""&amp;$S$29&amp;"!$A$4"):INDIRECT(""&amp;$S$29&amp;"!$AA$4"),0),FALSE)),"",VLOOKUP($K31,OFFSET(INDIRECT(""&amp;$S$29&amp;"!$A$4"),0,0,200,100),MATCH(S$30,INDIRECT(""&amp;$S$29&amp;"!$A$4"):INDIRECT(""&amp;$S$29&amp;"!$AA$4"),0),FALSE))</f>
        <v>403014.34911200003</v>
      </c>
      <c r="T31" s="76">
        <f ca="1">IF(ISERROR(VLOOKUP($K31,OFFSET(INDIRECT(""&amp;$S$29&amp;"!$A$4"),0,0,200,100),MATCH(T$30,INDIRECT(""&amp;$S$29&amp;"!$A$4"):INDIRECT(""&amp;$S$29&amp;"!$AA$4"),0),FALSE)),"",VLOOKUP($K31,OFFSET(INDIRECT(""&amp;$S$29&amp;"!$A$4"),0,0,200,100),MATCH(T$30,INDIRECT(""&amp;$S$29&amp;"!$A$4"):INDIRECT(""&amp;$S$29&amp;"!$AA$4"),0),FALSE))</f>
        <v>379299.90208700002</v>
      </c>
      <c r="U31" s="76">
        <f ca="1">IF(ISERROR(VLOOKUP($K31,OFFSET(INDIRECT(""&amp;$S$29&amp;"!$A$4"),0,0,200,100),MATCH(U$30,INDIRECT(""&amp;$S$29&amp;"!$A$4"):INDIRECT(""&amp;$S$29&amp;"!$AA$4"),0),FALSE)),"",VLOOKUP($K31,OFFSET(INDIRECT(""&amp;$S$29&amp;"!$A$4"),0,0,200,100),MATCH(U$30,INDIRECT(""&amp;$S$29&amp;"!$A$4"):INDIRECT(""&amp;$S$29&amp;"!$AA$4"),0),FALSE))</f>
        <v>368597.64398699999</v>
      </c>
      <c r="V31" s="76">
        <f ca="1">IF(ISERROR(VLOOKUP($K31,OFFSET(INDIRECT(""&amp;$S$29&amp;"!$A$4"),0,0,200,100),MATCH(V$30,INDIRECT(""&amp;$S$29&amp;"!$A$4"):INDIRECT(""&amp;$S$29&amp;"!$AA$4"),0),FALSE)),"",VLOOKUP($K31,OFFSET(INDIRECT(""&amp;$S$29&amp;"!$A$4"),0,0,200,100),MATCH(V$30,INDIRECT(""&amp;$S$29&amp;"!$A$4"):INDIRECT(""&amp;$S$29&amp;"!$AA$4"),0),FALSE))</f>
        <v>361013.50471200002</v>
      </c>
      <c r="W31" s="76">
        <f ca="1">IF(ISERROR(VLOOKUP($K31,OFFSET(INDIRECT(""&amp;$S$29&amp;"!$A$4"),0,0,200,100),MATCH(W$30,INDIRECT(""&amp;$S$29&amp;"!$A$4"):INDIRECT(""&amp;$S$29&amp;"!$AA$4"),0),FALSE)),"",VLOOKUP($K31,OFFSET(INDIRECT(""&amp;$S$29&amp;"!$A$4"),0,0,200,100),MATCH(W$30,INDIRECT(""&amp;$S$29&amp;"!$A$4"):INDIRECT(""&amp;$S$29&amp;"!$AA$4"),0),FALSE))</f>
        <v>366831.15141799999</v>
      </c>
      <c r="X31" s="76">
        <f ca="1">IF(ISERROR(VLOOKUP($K31,OFFSET(INDIRECT(""&amp;$S$29&amp;"!$A$4"),0,0,200,100),MATCH(X$30,INDIRECT(""&amp;$S$29&amp;"!$A$4"):INDIRECT(""&amp;$S$29&amp;"!$AA$4"),0),FALSE)),"",VLOOKUP($K31,OFFSET(INDIRECT(""&amp;$S$29&amp;"!$A$4"),0,0,200,100),MATCH(X$30,INDIRECT(""&amp;$S$29&amp;"!$A$4"):INDIRECT(""&amp;$S$29&amp;"!$AA$4"),0),FALSE))</f>
        <v>368723.44757800002</v>
      </c>
      <c r="Y31" s="76">
        <f ca="1">IF(ISERROR(VLOOKUP($K31,OFFSET(INDIRECT(""&amp;$S$29&amp;"!$A$4"),0,0,200,100),MATCH(Y$30,INDIRECT(""&amp;$S$29&amp;"!$A$4"):INDIRECT(""&amp;$S$29&amp;"!$AA$4"),0),FALSE)),"",VLOOKUP($K31,OFFSET(INDIRECT(""&amp;$S$29&amp;"!$A$4"),0,0,200,100),MATCH(Y$30,INDIRECT(""&amp;$S$29&amp;"!$A$4"):INDIRECT(""&amp;$S$29&amp;"!$AA$4"),0),FALSE))</f>
        <v>338226.26044699998</v>
      </c>
      <c r="Z31" s="76">
        <f ca="1">IF(ISERROR(VLOOKUP($K31,OFFSET(INDIRECT(""&amp;$S$29&amp;"!$A$4"),0,0,200,100),MATCH(Z$30,INDIRECT(""&amp;$S$29&amp;"!$A$4"):INDIRECT(""&amp;$S$29&amp;"!$AA$4"),0),FALSE)),"",VLOOKUP($K31,OFFSET(INDIRECT(""&amp;$S$29&amp;"!$A$4"),0,0,200,100),MATCH(Z$30,INDIRECT(""&amp;$S$29&amp;"!$A$4"):INDIRECT(""&amp;$S$29&amp;"!$AA$4"),0),FALSE))</f>
        <v>336775.02109699999</v>
      </c>
      <c r="AA31" s="76">
        <f ca="1">IF($AA$30=0,0,$Y31)</f>
        <v>338226.26044699998</v>
      </c>
      <c r="AB31" s="105"/>
      <c r="AC31" s="87">
        <f t="shared" ref="AC31:AC70" ca="1" si="48">IF(E$31="","",E31/E$31)</f>
        <v>1</v>
      </c>
      <c r="AD31" s="87">
        <f t="shared" ref="AD31:AD70" ca="1" si="49">IF(F$31="","",F31/F$31)</f>
        <v>1</v>
      </c>
      <c r="AE31" s="87">
        <f t="shared" ref="AE31:AE70" ca="1" si="50">IF(G$31="","",G31/G$31)</f>
        <v>1</v>
      </c>
      <c r="AF31" s="87">
        <f t="shared" ref="AF31:AF70" ca="1" si="51">IF(H$31="","",H31/H$31)</f>
        <v>1</v>
      </c>
      <c r="AG31" s="87">
        <f t="shared" ref="AG31:AH46" ca="1" si="52">IF(I$31="","",I31/I$31)</f>
        <v>1</v>
      </c>
      <c r="AH31" s="87">
        <f t="shared" ca="1" si="52"/>
        <v>1</v>
      </c>
      <c r="AI31" s="144"/>
      <c r="AJ31" s="87">
        <f t="shared" ref="AJ31:AJ70" ca="1" si="53">IF(O$31="","",O31/O$31)</f>
        <v>1</v>
      </c>
      <c r="AK31" s="87">
        <f t="shared" ref="AK31:AK70" ca="1" si="54">IF(P$31="","",P31/P$31)</f>
        <v>1</v>
      </c>
      <c r="AL31" s="87">
        <f t="shared" ref="AL31:AL70" ca="1" si="55">IF(Q$31="","",Q31/Q$31)</f>
        <v>1</v>
      </c>
      <c r="AM31" s="87">
        <f t="shared" ref="AM31:AM70" ca="1" si="56">IF(R$31="","",R31/R$31)</f>
        <v>1</v>
      </c>
      <c r="AN31" s="87">
        <f t="shared" ref="AN31:AN70" ca="1" si="57">IF(S$31="","",S31/S$31)</f>
        <v>1</v>
      </c>
      <c r="AO31" s="87">
        <f t="shared" ref="AO31:AS46" ca="1" si="58">IF(T$31="","",T31/T$31)</f>
        <v>1</v>
      </c>
      <c r="AP31" s="87">
        <f t="shared" ca="1" si="58"/>
        <v>1</v>
      </c>
      <c r="AQ31" s="87">
        <f t="shared" ca="1" si="58"/>
        <v>1</v>
      </c>
      <c r="AR31" s="87">
        <f t="shared" ca="1" si="58"/>
        <v>1</v>
      </c>
      <c r="AS31" s="87">
        <f t="shared" ca="1" si="58"/>
        <v>1</v>
      </c>
      <c r="AT31" s="87">
        <f t="shared" ref="AT31:AU70" ca="1" si="59">IF(Y$31="","",Y31/Y$31)</f>
        <v>1</v>
      </c>
      <c r="AU31" s="87">
        <f t="shared" ca="1" si="59"/>
        <v>1</v>
      </c>
      <c r="AV31" s="87">
        <f t="shared" ref="AV31:AV70" ca="1" si="60">IF(AA$31="","",AA31/AA$31)</f>
        <v>1</v>
      </c>
    </row>
    <row r="32" spans="1:50" s="107" customFormat="1" ht="15.95" customHeight="1" outlineLevel="1">
      <c r="A32" s="85" t="s">
        <v>233</v>
      </c>
      <c r="B32" s="150" t="s">
        <v>114</v>
      </c>
      <c r="C32" s="76">
        <f ca="1">IF(ISERROR(VLOOKUP($B32,OFFSET(INDIRECT(""&amp;$B$29&amp;"!$A$4"),0,0,200,100),MATCH(C$30,INDIRECT(""&amp;$B$29&amp;"!$A$4"):INDIRECT(""&amp;$B$29&amp;"!$o$4"),0),FALSE)),"",VLOOKUP($B32,OFFSET(INDIRECT(""&amp;$B$29&amp;"!$A$4"),0,0,200,100),MATCH(C$30,INDIRECT(""&amp;$B$29&amp;"!$A$4"):INDIRECT(""&amp;$B$29&amp;"!$o$4"),0),FALSE))</f>
        <v>128674.613818</v>
      </c>
      <c r="D32" s="76">
        <f ca="1">IF(ISERROR(VLOOKUP($B32,OFFSET(INDIRECT(""&amp;$B$29&amp;"!$A$4"),0,0,200,100),MATCH(D$30,INDIRECT(""&amp;$B$29&amp;"!$A$4"):INDIRECT(""&amp;$B$29&amp;"!$o$4"),0),FALSE)),"",VLOOKUP($B32,OFFSET(INDIRECT(""&amp;$B$29&amp;"!$A$4"),0,0,200,100),MATCH(D$30,INDIRECT(""&amp;$B$29&amp;"!$A$4"):INDIRECT(""&amp;$B$29&amp;"!$o$4"),0),FALSE))</f>
        <v>126741.61773</v>
      </c>
      <c r="E32" s="76">
        <f ca="1">IF(ISERROR(VLOOKUP($B32,OFFSET(INDIRECT(""&amp;$B$29&amp;"!$A$4"),0,0,200,100),MATCH(E$30,INDIRECT(""&amp;$B$29&amp;"!$A$4"):INDIRECT(""&amp;$B$29&amp;"!$o$4"),0),FALSE)),"",VLOOKUP($B32,OFFSET(INDIRECT(""&amp;$B$29&amp;"!$A$4"),0,0,200,100),MATCH(E$30,INDIRECT(""&amp;$B$29&amp;"!$A$4"):INDIRECT(""&amp;$B$29&amp;"!$o$4"),0),FALSE))</f>
        <v>138094.51189299999</v>
      </c>
      <c r="F32" s="76">
        <f ca="1">IF(ISERROR(VLOOKUP($B32,OFFSET(INDIRECT(""&amp;$B$29&amp;"!$A$4"),0,0,200,100),MATCH(F$30,INDIRECT(""&amp;$B$29&amp;"!$A$4"):INDIRECT(""&amp;$B$29&amp;"!$o$4"),0),FALSE)),"",VLOOKUP($B32,OFFSET(INDIRECT(""&amp;$B$29&amp;"!$A$4"),0,0,200,100),MATCH(F$30,INDIRECT(""&amp;$B$29&amp;"!$A$4"):INDIRECT(""&amp;$B$29&amp;"!$o$4"),0),FALSE))</f>
        <v>119261.974548</v>
      </c>
      <c r="G32" s="76">
        <f ca="1">IF(ISERROR(VLOOKUP($B32,OFFSET(INDIRECT(""&amp;$B$29&amp;"!$A$4"),0,0,200,100),MATCH(G$30,INDIRECT(""&amp;$B$29&amp;"!$A$4"):INDIRECT(""&amp;$B$29&amp;"!$o$4"),0),FALSE)),"",VLOOKUP($B32,OFFSET(INDIRECT(""&amp;$B$29&amp;"!$A$4"),0,0,200,100),MATCH(G$30,INDIRECT(""&amp;$B$29&amp;"!$A$4"):INDIRECT(""&amp;$B$29&amp;"!$o$4"),0),FALSE))</f>
        <v>126479.19818399999</v>
      </c>
      <c r="H32" s="76">
        <f ca="1">IF(ISERROR(VLOOKUP($B32,OFFSET(INDIRECT(""&amp;$B$29&amp;"!$A$4"),0,0,200,100),MATCH(H$30,INDIRECT(""&amp;$B$29&amp;"!$A$4"):INDIRECT(""&amp;$B$29&amp;"!$o$4"),0),FALSE)),"",VLOOKUP($B32,OFFSET(INDIRECT(""&amp;$B$29&amp;"!$A$4"),0,0,200,100),MATCH(H$30,INDIRECT(""&amp;$B$29&amp;"!$A$4"):INDIRECT(""&amp;$B$29&amp;"!$o$4"),0),FALSE))</f>
        <v>111971.96210400001</v>
      </c>
      <c r="I32" s="76">
        <f ca="1">IF(ISERROR(VLOOKUP($B32,OFFSET(INDIRECT(""&amp;$B$29&amp;"!$A$4"),0,0,200,100),MATCH(I$30,INDIRECT(""&amp;$B$29&amp;"!$A$4"):INDIRECT(""&amp;$B$29&amp;"!$o$4"),0),FALSE)),"",VLOOKUP($B32,OFFSET(INDIRECT(""&amp;$B$29&amp;"!$A$4"),0,0,200,100),MATCH(I$30,INDIRECT(""&amp;$B$29&amp;"!$A$4"):INDIRECT(""&amp;$B$29&amp;"!$o$4"),0),FALSE))</f>
        <v>94402.223230000003</v>
      </c>
      <c r="J32" s="76">
        <f ca="1">IF(ISERROR(VLOOKUP($B32,OFFSET(INDIRECT(""&amp;$B$29&amp;"!$A$4"),0,0,200,100),MATCH(J$30,INDIRECT(""&amp;$B$29&amp;"!$A$4"):INDIRECT(""&amp;$B$29&amp;"!$o$4"),0),FALSE)),"",VLOOKUP($B32,OFFSET(INDIRECT(""&amp;$B$29&amp;"!$A$4"),0,0,200,100),MATCH(J$30,INDIRECT(""&amp;$B$29&amp;"!$A$4"):INDIRECT(""&amp;$B$29&amp;"!$o$4"),0),FALSE))</f>
        <v>94402.223230000003</v>
      </c>
      <c r="K32" s="106" t="s">
        <v>114</v>
      </c>
      <c r="L32" s="76">
        <f ca="1">IF(ISERROR(VLOOKUP($K32,OFFSET(INDIRECT(""&amp;$S$29&amp;"!$A$4"),0,0,200,100),MATCH(L$30,INDIRECT(""&amp;$S$29&amp;"!$A$4"):INDIRECT(""&amp;$S$29&amp;"!$AA$4"),0),FALSE)),"",VLOOKUP($K32,OFFSET(INDIRECT(""&amp;$S$29&amp;"!$A$4"),0,0,200,100),MATCH(L$30,INDIRECT(""&amp;$S$29&amp;"!$A$4"):INDIRECT(""&amp;$S$29&amp;"!$AA$4"),0),FALSE))</f>
        <v>149057.298542</v>
      </c>
      <c r="M32" s="76">
        <f ca="1">IF(ISERROR(VLOOKUP($K32,OFFSET(INDIRECT(""&amp;$S$29&amp;"!$A$4"),0,0,200,100),MATCH(M$30,INDIRECT(""&amp;$S$29&amp;"!$A$4"):INDIRECT(""&amp;$S$29&amp;"!$AA$4"),0),FALSE)),"",VLOOKUP($K32,OFFSET(INDIRECT(""&amp;$S$29&amp;"!$A$4"),0,0,200,100),MATCH(M$30,INDIRECT(""&amp;$S$29&amp;"!$A$4"):INDIRECT(""&amp;$S$29&amp;"!$AA$4"),0),FALSE))</f>
        <v>135314.54943799999</v>
      </c>
      <c r="N32" s="76">
        <f ca="1">IF(ISERROR(VLOOKUP($K32,OFFSET(INDIRECT(""&amp;$S$29&amp;"!$A$4"),0,0,200,100),MATCH(N$30,INDIRECT(""&amp;$S$29&amp;"!$A$4"):INDIRECT(""&amp;$S$29&amp;"!$AA$4"),0),FALSE)),"",VLOOKUP($K32,OFFSET(INDIRECT(""&amp;$S$29&amp;"!$A$4"),0,0,200,100),MATCH(N$30,INDIRECT(""&amp;$S$29&amp;"!$A$4"):INDIRECT(""&amp;$S$29&amp;"!$AA$4"),0),FALSE))</f>
        <v>123992.293233</v>
      </c>
      <c r="O32" s="76">
        <f ca="1">IF(ISERROR(VLOOKUP($K32,OFFSET(INDIRECT(""&amp;$S$29&amp;"!$A$4"),0,0,200,100),MATCH(O$30,INDIRECT(""&amp;$S$29&amp;"!$A$4"):INDIRECT(""&amp;$S$29&amp;"!$AA$4"),0),FALSE)),"",VLOOKUP($K32,OFFSET(INDIRECT(""&amp;$S$29&amp;"!$A$4"),0,0,200,100),MATCH(O$30,INDIRECT(""&amp;$S$29&amp;"!$A$4"):INDIRECT(""&amp;$S$29&amp;"!$AA$4"),0),FALSE))</f>
        <v>134239.773051</v>
      </c>
      <c r="P32" s="76">
        <f ca="1">IF(ISERROR(VLOOKUP($K32,OFFSET(INDIRECT(""&amp;$S$29&amp;"!$A$4"),0,0,200,100),MATCH(P$30,INDIRECT(""&amp;$S$29&amp;"!$A$4"):INDIRECT(""&amp;$S$29&amp;"!$AA$4"),0),FALSE)),"",VLOOKUP($K32,OFFSET(INDIRECT(""&amp;$S$29&amp;"!$A$4"),0,0,200,100),MATCH(P$30,INDIRECT(""&amp;$S$29&amp;"!$A$4"):INDIRECT(""&amp;$S$29&amp;"!$AA$4"),0),FALSE))</f>
        <v>128852.49017799999</v>
      </c>
      <c r="Q32" s="76">
        <f ca="1">IF(ISERROR(VLOOKUP($K32,OFFSET(INDIRECT(""&amp;$S$29&amp;"!$A$4"),0,0,200,100),MATCH(Q$30,INDIRECT(""&amp;$S$29&amp;"!$A$4"):INDIRECT(""&amp;$S$29&amp;"!$AA$4"),0),FALSE)),"",VLOOKUP($K32,OFFSET(INDIRECT(""&amp;$S$29&amp;"!$A$4"),0,0,200,100),MATCH(Q$30,INDIRECT(""&amp;$S$29&amp;"!$A$4"):INDIRECT(""&amp;$S$29&amp;"!$AA$4"),0),FALSE))</f>
        <v>158453.08199899999</v>
      </c>
      <c r="R32" s="76">
        <f ca="1">IF(ISERROR(VLOOKUP($K32,OFFSET(INDIRECT(""&amp;$S$29&amp;"!$A$4"),0,0,200,100),MATCH(R$30,INDIRECT(""&amp;$S$29&amp;"!$A$4"):INDIRECT(""&amp;$S$29&amp;"!$AA$4"),0),FALSE)),"",VLOOKUP($K32,OFFSET(INDIRECT(""&amp;$S$29&amp;"!$A$4"),0,0,200,100),MATCH(R$30,INDIRECT(""&amp;$S$29&amp;"!$A$4"):INDIRECT(""&amp;$S$29&amp;"!$AA$4"),0),FALSE))</f>
        <v>134491.266638</v>
      </c>
      <c r="S32" s="76">
        <f ca="1">IF(ISERROR(VLOOKUP($K32,OFFSET(INDIRECT(""&amp;$S$29&amp;"!$A$4"),0,0,200,100),MATCH(S$30,INDIRECT(""&amp;$S$29&amp;"!$A$4"):INDIRECT(""&amp;$S$29&amp;"!$AA$4"),0),FALSE)),"",VLOOKUP($K32,OFFSET(INDIRECT(""&amp;$S$29&amp;"!$A$4"),0,0,200,100),MATCH(S$30,INDIRECT(""&amp;$S$29&amp;"!$A$4"):INDIRECT(""&amp;$S$29&amp;"!$AA$4"),0),FALSE))</f>
        <v>148487.88136999999</v>
      </c>
      <c r="T32" s="76">
        <f ca="1">IF(ISERROR(VLOOKUP($K32,OFFSET(INDIRECT(""&amp;$S$29&amp;"!$A$4"),0,0,200,100),MATCH(T$30,INDIRECT(""&amp;$S$29&amp;"!$A$4"):INDIRECT(""&amp;$S$29&amp;"!$AA$4"),0),FALSE)),"",VLOOKUP($K32,OFFSET(INDIRECT(""&amp;$S$29&amp;"!$A$4"),0,0,200,100),MATCH(T$30,INDIRECT(""&amp;$S$29&amp;"!$A$4"):INDIRECT(""&amp;$S$29&amp;"!$AA$4"),0),FALSE))</f>
        <v>127675.446536</v>
      </c>
      <c r="U32" s="76">
        <f ca="1">IF(ISERROR(VLOOKUP($K32,OFFSET(INDIRECT(""&amp;$S$29&amp;"!$A$4"),0,0,200,100),MATCH(U$30,INDIRECT(""&amp;$S$29&amp;"!$A$4"):INDIRECT(""&amp;$S$29&amp;"!$AA$4"),0),FALSE)),"",VLOOKUP($K32,OFFSET(INDIRECT(""&amp;$S$29&amp;"!$A$4"),0,0,200,100),MATCH(U$30,INDIRECT(""&amp;$S$29&amp;"!$A$4"):INDIRECT(""&amp;$S$29&amp;"!$AA$4"),0),FALSE))</f>
        <v>114067.013173</v>
      </c>
      <c r="V32" s="76">
        <f ca="1">IF(ISERROR(VLOOKUP($K32,OFFSET(INDIRECT(""&amp;$S$29&amp;"!$A$4"),0,0,200,100),MATCH(V$30,INDIRECT(""&amp;$S$29&amp;"!$A$4"):INDIRECT(""&amp;$S$29&amp;"!$AA$4"),0),FALSE)),"",VLOOKUP($K32,OFFSET(INDIRECT(""&amp;$S$29&amp;"!$A$4"),0,0,200,100),MATCH(V$30,INDIRECT(""&amp;$S$29&amp;"!$A$4"):INDIRECT(""&amp;$S$29&amp;"!$AA$4"),0),FALSE))</f>
        <v>109571.407227</v>
      </c>
      <c r="W32" s="76">
        <f ca="1">IF(ISERROR(VLOOKUP($K32,OFFSET(INDIRECT(""&amp;$S$29&amp;"!$A$4"),0,0,200,100),MATCH(W$30,INDIRECT(""&amp;$S$29&amp;"!$A$4"):INDIRECT(""&amp;$S$29&amp;"!$AA$4"),0),FALSE)),"",VLOOKUP($K32,OFFSET(INDIRECT(""&amp;$S$29&amp;"!$A$4"),0,0,200,100),MATCH(W$30,INDIRECT(""&amp;$S$29&amp;"!$A$4"):INDIRECT(""&amp;$S$29&amp;"!$AA$4"),0),FALSE))</f>
        <v>112610.713581</v>
      </c>
      <c r="X32" s="76">
        <f ca="1">IF(ISERROR(VLOOKUP($K32,OFFSET(INDIRECT(""&amp;$S$29&amp;"!$A$4"),0,0,200,100),MATCH(X$30,INDIRECT(""&amp;$S$29&amp;"!$A$4"):INDIRECT(""&amp;$S$29&amp;"!$AA$4"),0),FALSE)),"",VLOOKUP($K32,OFFSET(INDIRECT(""&amp;$S$29&amp;"!$A$4"),0,0,200,100),MATCH(X$30,INDIRECT(""&amp;$S$29&amp;"!$A$4"):INDIRECT(""&amp;$S$29&amp;"!$AA$4"),0),FALSE))</f>
        <v>119077.492383</v>
      </c>
      <c r="Y32" s="76">
        <f ca="1">IF(ISERROR(VLOOKUP($K32,OFFSET(INDIRECT(""&amp;$S$29&amp;"!$A$4"),0,0,200,100),MATCH(Y$30,INDIRECT(""&amp;$S$29&amp;"!$A$4"):INDIRECT(""&amp;$S$29&amp;"!$AA$4"),0),FALSE)),"",VLOOKUP($K32,OFFSET(INDIRECT(""&amp;$S$29&amp;"!$A$4"),0,0,200,100),MATCH(Y$30,INDIRECT(""&amp;$S$29&amp;"!$A$4"):INDIRECT(""&amp;$S$29&amp;"!$AA$4"),0),FALSE))</f>
        <v>96025.730966000003</v>
      </c>
      <c r="Z32" s="76">
        <f ca="1">IF(ISERROR(VLOOKUP($K32,OFFSET(INDIRECT(""&amp;$S$29&amp;"!$A$4"),0,0,200,100),MATCH(Z$30,INDIRECT(""&amp;$S$29&amp;"!$A$4"):INDIRECT(""&amp;$S$29&amp;"!$AA$4"),0),FALSE)),"",VLOOKUP($K32,OFFSET(INDIRECT(""&amp;$S$29&amp;"!$A$4"),0,0,200,100),MATCH(Z$30,INDIRECT(""&amp;$S$29&amp;"!$A$4"):INDIRECT(""&amp;$S$29&amp;"!$AA$4"),0),FALSE))</f>
        <v>88769.066221000001</v>
      </c>
      <c r="AA32" s="76">
        <f t="shared" ref="AA32:AA95" ca="1" si="61">IF($AA$30=0,0,$Y32)</f>
        <v>96025.730966000003</v>
      </c>
      <c r="AB32" s="92"/>
      <c r="AC32" s="87">
        <f t="shared" ca="1" si="48"/>
        <v>0.39587432655403743</v>
      </c>
      <c r="AD32" s="87">
        <f t="shared" ca="1" si="49"/>
        <v>0.31628419293407845</v>
      </c>
      <c r="AE32" s="87">
        <f t="shared" ca="1" si="50"/>
        <v>0.33140616836710568</v>
      </c>
      <c r="AF32" s="87">
        <f t="shared" ca="1" si="51"/>
        <v>0.30577358274513794</v>
      </c>
      <c r="AG32" s="87">
        <f t="shared" ca="1" si="52"/>
        <v>0.27699339086249758</v>
      </c>
      <c r="AH32" s="87">
        <f t="shared" ca="1" si="52"/>
        <v>0.27699339086249758</v>
      </c>
      <c r="AI32" s="144"/>
      <c r="AJ32" s="87">
        <f t="shared" ca="1" si="53"/>
        <v>0.34262802471606546</v>
      </c>
      <c r="AK32" s="87">
        <f t="shared" ca="1" si="54"/>
        <v>0.3313427664012123</v>
      </c>
      <c r="AL32" s="87">
        <f t="shared" ca="1" si="55"/>
        <v>0.38297721493822784</v>
      </c>
      <c r="AM32" s="87">
        <f t="shared" ca="1" si="56"/>
        <v>0.33843812834643094</v>
      </c>
      <c r="AN32" s="87">
        <f t="shared" ca="1" si="57"/>
        <v>0.36844316262479859</v>
      </c>
      <c r="AO32" s="87">
        <f t="shared" ca="1" si="58"/>
        <v>0.33660817161696782</v>
      </c>
      <c r="AP32" s="87">
        <f t="shared" ca="1" si="58"/>
        <v>0.30946213312482002</v>
      </c>
      <c r="AQ32" s="87">
        <f t="shared" ca="1" si="58"/>
        <v>0.3035105495967832</v>
      </c>
      <c r="AR32" s="87">
        <f t="shared" ca="1" si="58"/>
        <v>0.30698241723937275</v>
      </c>
      <c r="AS32" s="87">
        <f t="shared" ca="1" si="58"/>
        <v>0.32294526742243662</v>
      </c>
      <c r="AT32" s="87">
        <f t="shared" ca="1" si="59"/>
        <v>0.28390974384748352</v>
      </c>
      <c r="AU32" s="87">
        <f t="shared" ca="1" si="59"/>
        <v>0.26358566004048201</v>
      </c>
      <c r="AV32" s="87">
        <f t="shared" ca="1" si="60"/>
        <v>0.28390974384748352</v>
      </c>
    </row>
    <row r="33" spans="1:48" s="108" customFormat="1" ht="15.95" customHeight="1">
      <c r="A33" s="85" t="s">
        <v>234</v>
      </c>
      <c r="B33" s="150" t="s">
        <v>115</v>
      </c>
      <c r="C33" s="76">
        <f ca="1">IF(ISERROR(VLOOKUP($B33,OFFSET(INDIRECT(""&amp;$B$29&amp;"!$A$4"),0,0,200,100),MATCH(C$30,INDIRECT(""&amp;$B$29&amp;"!$A$4"):INDIRECT(""&amp;$B$29&amp;"!$o$4"),0),FALSE)),"",VLOOKUP($B33,OFFSET(INDIRECT(""&amp;$B$29&amp;"!$A$4"),0,0,200,100),MATCH(C$30,INDIRECT(""&amp;$B$29&amp;"!$A$4"):INDIRECT(""&amp;$B$29&amp;"!$o$4"),0),FALSE))</f>
        <v>4423.5581490000004</v>
      </c>
      <c r="D33" s="76">
        <f ca="1">IF(ISERROR(VLOOKUP($B33,OFFSET(INDIRECT(""&amp;$B$29&amp;"!$A$4"),0,0,200,100),MATCH(D$30,INDIRECT(""&amp;$B$29&amp;"!$A$4"):INDIRECT(""&amp;$B$29&amp;"!$o$4"),0),FALSE)),"",VLOOKUP($B33,OFFSET(INDIRECT(""&amp;$B$29&amp;"!$A$4"),0,0,200,100),MATCH(D$30,INDIRECT(""&amp;$B$29&amp;"!$A$4"):INDIRECT(""&amp;$B$29&amp;"!$o$4"),0),FALSE))</f>
        <v>6878.3279979999998</v>
      </c>
      <c r="E33" s="76">
        <f ca="1">IF(ISERROR(VLOOKUP($B33,OFFSET(INDIRECT(""&amp;$B$29&amp;"!$A$4"),0,0,200,100),MATCH(E$30,INDIRECT(""&amp;$B$29&amp;"!$A$4"):INDIRECT(""&amp;$B$29&amp;"!$o$4"),0),FALSE)),"",VLOOKUP($B33,OFFSET(INDIRECT(""&amp;$B$29&amp;"!$A$4"),0,0,200,100),MATCH(E$30,INDIRECT(""&amp;$B$29&amp;"!$A$4"):INDIRECT(""&amp;$B$29&amp;"!$o$4"),0),FALSE))</f>
        <v>25326.224829999999</v>
      </c>
      <c r="F33" s="76">
        <f ca="1">IF(ISERROR(VLOOKUP($B33,OFFSET(INDIRECT(""&amp;$B$29&amp;"!$A$4"),0,0,200,100),MATCH(F$30,INDIRECT(""&amp;$B$29&amp;"!$A$4"):INDIRECT(""&amp;$B$29&amp;"!$o$4"),0),FALSE)),"",VLOOKUP($B33,OFFSET(INDIRECT(""&amp;$B$29&amp;"!$A$4"),0,0,200,100),MATCH(F$30,INDIRECT(""&amp;$B$29&amp;"!$A$4"):INDIRECT(""&amp;$B$29&amp;"!$o$4"),0),FALSE))</f>
        <v>7830.2630140000001</v>
      </c>
      <c r="G33" s="76">
        <f ca="1">IF(ISERROR(VLOOKUP($B33,OFFSET(INDIRECT(""&amp;$B$29&amp;"!$A$4"),0,0,200,100),MATCH(G$30,INDIRECT(""&amp;$B$29&amp;"!$A$4"):INDIRECT(""&amp;$B$29&amp;"!$o$4"),0),FALSE)),"",VLOOKUP($B33,OFFSET(INDIRECT(""&amp;$B$29&amp;"!$A$4"),0,0,200,100),MATCH(G$30,INDIRECT(""&amp;$B$29&amp;"!$A$4"):INDIRECT(""&amp;$B$29&amp;"!$o$4"),0),FALSE))</f>
        <v>17641.224359</v>
      </c>
      <c r="H33" s="76">
        <f ca="1">IF(ISERROR(VLOOKUP($B33,OFFSET(INDIRECT(""&amp;$B$29&amp;"!$A$4"),0,0,200,100),MATCH(H$30,INDIRECT(""&amp;$B$29&amp;"!$A$4"):INDIRECT(""&amp;$B$29&amp;"!$o$4"),0),FALSE)),"",VLOOKUP($B33,OFFSET(INDIRECT(""&amp;$B$29&amp;"!$A$4"),0,0,200,100),MATCH(H$30,INDIRECT(""&amp;$B$29&amp;"!$A$4"):INDIRECT(""&amp;$B$29&amp;"!$o$4"),0),FALSE))</f>
        <v>18859.082298000001</v>
      </c>
      <c r="I33" s="76">
        <f ca="1">IF(ISERROR(VLOOKUP($B33,OFFSET(INDIRECT(""&amp;$B$29&amp;"!$A$4"),0,0,200,100),MATCH(I$30,INDIRECT(""&amp;$B$29&amp;"!$A$4"):INDIRECT(""&amp;$B$29&amp;"!$o$4"),0),FALSE)),"",VLOOKUP($B33,OFFSET(INDIRECT(""&amp;$B$29&amp;"!$A$4"),0,0,200,100),MATCH(I$30,INDIRECT(""&amp;$B$29&amp;"!$A$4"):INDIRECT(""&amp;$B$29&amp;"!$o$4"),0),FALSE))</f>
        <v>14070.180453000001</v>
      </c>
      <c r="J33" s="76">
        <f ca="1">IF(ISERROR(VLOOKUP($B33,OFFSET(INDIRECT(""&amp;$B$29&amp;"!$A$4"),0,0,200,100),MATCH(J$30,INDIRECT(""&amp;$B$29&amp;"!$A$4"):INDIRECT(""&amp;$B$29&amp;"!$o$4"),0),FALSE)),"",VLOOKUP($B33,OFFSET(INDIRECT(""&amp;$B$29&amp;"!$A$4"),0,0,200,100),MATCH(J$30,INDIRECT(""&amp;$B$29&amp;"!$A$4"):INDIRECT(""&amp;$B$29&amp;"!$o$4"),0),FALSE))</f>
        <v>14070.180453000001</v>
      </c>
      <c r="K33" s="106" t="s">
        <v>115</v>
      </c>
      <c r="L33" s="76">
        <f ca="1">IF(ISERROR(VLOOKUP($K33,OFFSET(INDIRECT(""&amp;$S$29&amp;"!$A$4"),0,0,200,100),MATCH(L$30,INDIRECT(""&amp;$S$29&amp;"!$A$4"):INDIRECT(""&amp;$S$29&amp;"!$AA$4"),0),FALSE)),"",VLOOKUP($K33,OFFSET(INDIRECT(""&amp;$S$29&amp;"!$A$4"),0,0,200,100),MATCH(L$30,INDIRECT(""&amp;$S$29&amp;"!$A$4"):INDIRECT(""&amp;$S$29&amp;"!$AA$4"),0),FALSE))</f>
        <v>25393.911988</v>
      </c>
      <c r="M33" s="76">
        <f ca="1">IF(ISERROR(VLOOKUP($K33,OFFSET(INDIRECT(""&amp;$S$29&amp;"!$A$4"),0,0,200,100),MATCH(M$30,INDIRECT(""&amp;$S$29&amp;"!$A$4"):INDIRECT(""&amp;$S$29&amp;"!$AA$4"),0),FALSE)),"",VLOOKUP($K33,OFFSET(INDIRECT(""&amp;$S$29&amp;"!$A$4"),0,0,200,100),MATCH(M$30,INDIRECT(""&amp;$S$29&amp;"!$A$4"):INDIRECT(""&amp;$S$29&amp;"!$AA$4"),0),FALSE))</f>
        <v>18628.560022000001</v>
      </c>
      <c r="N33" s="76">
        <f ca="1">IF(ISERROR(VLOOKUP($K33,OFFSET(INDIRECT(""&amp;$S$29&amp;"!$A$4"),0,0,200,100),MATCH(N$30,INDIRECT(""&amp;$S$29&amp;"!$A$4"):INDIRECT(""&amp;$S$29&amp;"!$AA$4"),0),FALSE)),"",VLOOKUP($K33,OFFSET(INDIRECT(""&amp;$S$29&amp;"!$A$4"),0,0,200,100),MATCH(N$30,INDIRECT(""&amp;$S$29&amp;"!$A$4"):INDIRECT(""&amp;$S$29&amp;"!$AA$4"),0),FALSE))</f>
        <v>16934.014331999999</v>
      </c>
      <c r="O33" s="76">
        <f ca="1">IF(ISERROR(VLOOKUP($K33,OFFSET(INDIRECT(""&amp;$S$29&amp;"!$A$4"),0,0,200,100),MATCH(O$30,INDIRECT(""&amp;$S$29&amp;"!$A$4"):INDIRECT(""&amp;$S$29&amp;"!$AA$4"),0),FALSE)),"",VLOOKUP($K33,OFFSET(INDIRECT(""&amp;$S$29&amp;"!$A$4"),0,0,200,100),MATCH(O$30,INDIRECT(""&amp;$S$29&amp;"!$A$4"):INDIRECT(""&amp;$S$29&amp;"!$AA$4"),0),FALSE))</f>
        <v>7830.2630140000001</v>
      </c>
      <c r="P33" s="76">
        <f ca="1">IF(ISERROR(VLOOKUP($K33,OFFSET(INDIRECT(""&amp;$S$29&amp;"!$A$4"),0,0,200,100),MATCH(P$30,INDIRECT(""&amp;$S$29&amp;"!$A$4"):INDIRECT(""&amp;$S$29&amp;"!$AA$4"),0),FALSE)),"",VLOOKUP($K33,OFFSET(INDIRECT(""&amp;$S$29&amp;"!$A$4"),0,0,200,100),MATCH(P$30,INDIRECT(""&amp;$S$29&amp;"!$A$4"):INDIRECT(""&amp;$S$29&amp;"!$AA$4"),0),FALSE))</f>
        <v>13764.108785</v>
      </c>
      <c r="Q33" s="76">
        <f ca="1">IF(ISERROR(VLOOKUP($K33,OFFSET(INDIRECT(""&amp;$S$29&amp;"!$A$4"),0,0,200,100),MATCH(Q$30,INDIRECT(""&amp;$S$29&amp;"!$A$4"):INDIRECT(""&amp;$S$29&amp;"!$AA$4"),0),FALSE)),"",VLOOKUP($K33,OFFSET(INDIRECT(""&amp;$S$29&amp;"!$A$4"),0,0,200,100),MATCH(Q$30,INDIRECT(""&amp;$S$29&amp;"!$A$4"):INDIRECT(""&amp;$S$29&amp;"!$AA$4"),0),FALSE))</f>
        <v>23094.325461</v>
      </c>
      <c r="R33" s="76">
        <f ca="1">IF(ISERROR(VLOOKUP($K33,OFFSET(INDIRECT(""&amp;$S$29&amp;"!$A$4"),0,0,200,100),MATCH(R$30,INDIRECT(""&amp;$S$29&amp;"!$A$4"):INDIRECT(""&amp;$S$29&amp;"!$AA$4"),0),FALSE)),"",VLOOKUP($K33,OFFSET(INDIRECT(""&amp;$S$29&amp;"!$A$4"),0,0,200,100),MATCH(R$30,INDIRECT(""&amp;$S$29&amp;"!$A$4"):INDIRECT(""&amp;$S$29&amp;"!$AA$4"),0),FALSE))</f>
        <v>3491.4767870000001</v>
      </c>
      <c r="S33" s="76">
        <f ca="1">IF(ISERROR(VLOOKUP($K33,OFFSET(INDIRECT(""&amp;$S$29&amp;"!$A$4"),0,0,200,100),MATCH(S$30,INDIRECT(""&amp;$S$29&amp;"!$A$4"):INDIRECT(""&amp;$S$29&amp;"!$AA$4"),0),FALSE)),"",VLOOKUP($K33,OFFSET(INDIRECT(""&amp;$S$29&amp;"!$A$4"),0,0,200,100),MATCH(S$30,INDIRECT(""&amp;$S$29&amp;"!$A$4"):INDIRECT(""&amp;$S$29&amp;"!$AA$4"),0),FALSE))</f>
        <v>17641.224359</v>
      </c>
      <c r="T33" s="76">
        <f ca="1">IF(ISERROR(VLOOKUP($K33,OFFSET(INDIRECT(""&amp;$S$29&amp;"!$A$4"),0,0,200,100),MATCH(T$30,INDIRECT(""&amp;$S$29&amp;"!$A$4"):INDIRECT(""&amp;$S$29&amp;"!$AA$4"),0),FALSE)),"",VLOOKUP($K33,OFFSET(INDIRECT(""&amp;$S$29&amp;"!$A$4"),0,0,200,100),MATCH(T$30,INDIRECT(""&amp;$S$29&amp;"!$A$4"):INDIRECT(""&amp;$S$29&amp;"!$AA$4"),0),FALSE))</f>
        <v>8617.7745570000006</v>
      </c>
      <c r="U33" s="76">
        <f ca="1">IF(ISERROR(VLOOKUP($K33,OFFSET(INDIRECT(""&amp;$S$29&amp;"!$A$4"),0,0,200,100),MATCH(U$30,INDIRECT(""&amp;$S$29&amp;"!$A$4"):INDIRECT(""&amp;$S$29&amp;"!$AA$4"),0),FALSE)),"",VLOOKUP($K33,OFFSET(INDIRECT(""&amp;$S$29&amp;"!$A$4"),0,0,200,100),MATCH(U$30,INDIRECT(""&amp;$S$29&amp;"!$A$4"):INDIRECT(""&amp;$S$29&amp;"!$AA$4"),0),FALSE))</f>
        <v>11920.487399</v>
      </c>
      <c r="V33" s="76">
        <f ca="1">IF(ISERROR(VLOOKUP($K33,OFFSET(INDIRECT(""&amp;$S$29&amp;"!$A$4"),0,0,200,100),MATCH(V$30,INDIRECT(""&amp;$S$29&amp;"!$A$4"):INDIRECT(""&amp;$S$29&amp;"!$AA$4"),0),FALSE)),"",VLOOKUP($K33,OFFSET(INDIRECT(""&amp;$S$29&amp;"!$A$4"),0,0,200,100),MATCH(V$30,INDIRECT(""&amp;$S$29&amp;"!$A$4"):INDIRECT(""&amp;$S$29&amp;"!$AA$4"),0),FALSE))</f>
        <v>11744.425682999999</v>
      </c>
      <c r="W33" s="76">
        <f ca="1">IF(ISERROR(VLOOKUP($K33,OFFSET(INDIRECT(""&amp;$S$29&amp;"!$A$4"),0,0,200,100),MATCH(W$30,INDIRECT(""&amp;$S$29&amp;"!$A$4"):INDIRECT(""&amp;$S$29&amp;"!$AA$4"),0),FALSE)),"",VLOOKUP($K33,OFFSET(INDIRECT(""&amp;$S$29&amp;"!$A$4"),0,0,200,100),MATCH(W$30,INDIRECT(""&amp;$S$29&amp;"!$A$4"):INDIRECT(""&amp;$S$29&amp;"!$AA$4"),0),FALSE))</f>
        <v>18860.546086999999</v>
      </c>
      <c r="X33" s="76">
        <f ca="1">IF(ISERROR(VLOOKUP($K33,OFFSET(INDIRECT(""&amp;$S$29&amp;"!$A$4"),0,0,200,100),MATCH(X$30,INDIRECT(""&amp;$S$29&amp;"!$A$4"):INDIRECT(""&amp;$S$29&amp;"!$AA$4"),0),FALSE)),"",VLOOKUP($K33,OFFSET(INDIRECT(""&amp;$S$29&amp;"!$A$4"),0,0,200,100),MATCH(X$30,INDIRECT(""&amp;$S$29&amp;"!$A$4"):INDIRECT(""&amp;$S$29&amp;"!$AA$4"),0),FALSE))</f>
        <v>24263.878058999999</v>
      </c>
      <c r="Y33" s="76">
        <f ca="1">IF(ISERROR(VLOOKUP($K33,OFFSET(INDIRECT(""&amp;$S$29&amp;"!$A$4"),0,0,200,100),MATCH(Y$30,INDIRECT(""&amp;$S$29&amp;"!$A$4"):INDIRECT(""&amp;$S$29&amp;"!$AA$4"),0),FALSE)),"",VLOOKUP($K33,OFFSET(INDIRECT(""&amp;$S$29&amp;"!$A$4"),0,0,200,100),MATCH(Y$30,INDIRECT(""&amp;$S$29&amp;"!$A$4"):INDIRECT(""&amp;$S$29&amp;"!$AA$4"),0),FALSE))</f>
        <v>9209.0169249999999</v>
      </c>
      <c r="Z33" s="76">
        <f ca="1">IF(ISERROR(VLOOKUP($K33,OFFSET(INDIRECT(""&amp;$S$29&amp;"!$A$4"),0,0,200,100),MATCH(Z$30,INDIRECT(""&amp;$S$29&amp;"!$A$4"):INDIRECT(""&amp;$S$29&amp;"!$AA$4"),0),FALSE)),"",VLOOKUP($K33,OFFSET(INDIRECT(""&amp;$S$29&amp;"!$A$4"),0,0,200,100),MATCH(Z$30,INDIRECT(""&amp;$S$29&amp;"!$A$4"):INDIRECT(""&amp;$S$29&amp;"!$AA$4"),0),FALSE))</f>
        <v>6807.467138</v>
      </c>
      <c r="AA33" s="76">
        <f t="shared" ca="1" si="61"/>
        <v>9209.0169249999999</v>
      </c>
      <c r="AB33" s="92"/>
      <c r="AC33" s="87">
        <f t="shared" ca="1" si="48"/>
        <v>7.2602466682389635E-2</v>
      </c>
      <c r="AD33" s="87">
        <f t="shared" ca="1" si="49"/>
        <v>2.0765951823544467E-2</v>
      </c>
      <c r="AE33" s="87">
        <f t="shared" ca="1" si="50"/>
        <v>4.6224285527295739E-2</v>
      </c>
      <c r="AF33" s="87">
        <f t="shared" ca="1" si="51"/>
        <v>5.1500474343647032E-2</v>
      </c>
      <c r="AG33" s="87">
        <f t="shared" ca="1" si="52"/>
        <v>4.1284483144303399E-2</v>
      </c>
      <c r="AH33" s="87">
        <f t="shared" ca="1" si="52"/>
        <v>4.1284483144303399E-2</v>
      </c>
      <c r="AI33" s="144"/>
      <c r="AJ33" s="87">
        <f t="shared" ca="1" si="53"/>
        <v>1.9985638298679317E-2</v>
      </c>
      <c r="AK33" s="87">
        <f t="shared" ca="1" si="54"/>
        <v>3.5394254900071795E-2</v>
      </c>
      <c r="AL33" s="87">
        <f t="shared" ca="1" si="55"/>
        <v>5.5818418514488745E-2</v>
      </c>
      <c r="AM33" s="87">
        <f t="shared" ca="1" si="56"/>
        <v>8.7860639467233614E-3</v>
      </c>
      <c r="AN33" s="87">
        <f t="shared" ca="1" si="57"/>
        <v>4.3773191693721555E-2</v>
      </c>
      <c r="AO33" s="87">
        <f t="shared" ca="1" si="58"/>
        <v>2.2720212975492256E-2</v>
      </c>
      <c r="AP33" s="87">
        <f t="shared" ca="1" si="58"/>
        <v>3.234010741376421E-2</v>
      </c>
      <c r="AQ33" s="87">
        <f t="shared" ca="1" si="58"/>
        <v>3.253181814450172E-2</v>
      </c>
      <c r="AR33" s="87">
        <f t="shared" ca="1" si="58"/>
        <v>5.1414788558970061E-2</v>
      </c>
      <c r="AS33" s="87">
        <f t="shared" ca="1" si="58"/>
        <v>6.5805085677029529E-2</v>
      </c>
      <c r="AT33" s="87">
        <f t="shared" ca="1" si="59"/>
        <v>2.7227385930440051E-2</v>
      </c>
      <c r="AU33" s="87">
        <f t="shared" ca="1" si="59"/>
        <v>2.0213693746720222E-2</v>
      </c>
      <c r="AV33" s="87">
        <f t="shared" ca="1" si="60"/>
        <v>2.7227385930440051E-2</v>
      </c>
    </row>
    <row r="34" spans="1:48" s="108" customFormat="1" ht="15.95" customHeight="1">
      <c r="A34" s="85" t="s">
        <v>235</v>
      </c>
      <c r="B34" s="116" t="s">
        <v>118</v>
      </c>
      <c r="C34" s="76">
        <f ca="1">IF(ISERROR(VLOOKUP($B34,OFFSET(INDIRECT(""&amp;$B$29&amp;"!$A$4"),0,0,200,100),MATCH(C$30,INDIRECT(""&amp;$B$29&amp;"!$A$4"):INDIRECT(""&amp;$B$29&amp;"!$o$4"),0),FALSE)),"",VLOOKUP($B34,OFFSET(INDIRECT(""&amp;$B$29&amp;"!$A$4"),0,0,200,100),MATCH(C$30,INDIRECT(""&amp;$B$29&amp;"!$A$4"):INDIRECT(""&amp;$B$29&amp;"!$o$4"),0),FALSE))</f>
        <v>95000.866510000007</v>
      </c>
      <c r="D34" s="76">
        <f ca="1">IF(ISERROR(VLOOKUP($B34,OFFSET(INDIRECT(""&amp;$B$29&amp;"!$A$4"),0,0,200,100),MATCH(D$30,INDIRECT(""&amp;$B$29&amp;"!$A$4"):INDIRECT(""&amp;$B$29&amp;"!$o$4"),0),FALSE)),"",VLOOKUP($B34,OFFSET(INDIRECT(""&amp;$B$29&amp;"!$A$4"),0,0,200,100),MATCH(D$30,INDIRECT(""&amp;$B$29&amp;"!$A$4"):INDIRECT(""&amp;$B$29&amp;"!$o$4"),0),FALSE))</f>
        <v>59968.844679000002</v>
      </c>
      <c r="E34" s="76">
        <f ca="1">IF(ISERROR(VLOOKUP($B34,OFFSET(INDIRECT(""&amp;$B$29&amp;"!$A$4"),0,0,200,100),MATCH(E$30,INDIRECT(""&amp;$B$29&amp;"!$A$4"):INDIRECT(""&amp;$B$29&amp;"!$o$4"),0),FALSE)),"",VLOOKUP($B34,OFFSET(INDIRECT(""&amp;$B$29&amp;"!$A$4"),0,0,200,100),MATCH(E$30,INDIRECT(""&amp;$B$29&amp;"!$A$4"):INDIRECT(""&amp;$B$29&amp;"!$o$4"),0),FALSE))</f>
        <v>44939.749156999998</v>
      </c>
      <c r="F34" s="76">
        <f ca="1">IF(ISERROR(VLOOKUP($B34,OFFSET(INDIRECT(""&amp;$B$29&amp;"!$A$4"),0,0,200,100),MATCH(F$30,INDIRECT(""&amp;$B$29&amp;"!$A$4"):INDIRECT(""&amp;$B$29&amp;"!$o$4"),0),FALSE)),"",VLOOKUP($B34,OFFSET(INDIRECT(""&amp;$B$29&amp;"!$A$4"),0,0,200,100),MATCH(F$30,INDIRECT(""&amp;$B$29&amp;"!$A$4"):INDIRECT(""&amp;$B$29&amp;"!$o$4"),0),FALSE))</f>
        <v>33734.559433000002</v>
      </c>
      <c r="G34" s="76">
        <f ca="1">IF(ISERROR(VLOOKUP($B34,OFFSET(INDIRECT(""&amp;$B$29&amp;"!$A$4"),0,0,200,100),MATCH(G$30,INDIRECT(""&amp;$B$29&amp;"!$A$4"):INDIRECT(""&amp;$B$29&amp;"!$o$4"),0),FALSE)),"",VLOOKUP($B34,OFFSET(INDIRECT(""&amp;$B$29&amp;"!$A$4"),0,0,200,100),MATCH(G$30,INDIRECT(""&amp;$B$29&amp;"!$A$4"):INDIRECT(""&amp;$B$29&amp;"!$o$4"),0),FALSE))</f>
        <v>26298.748533999998</v>
      </c>
      <c r="H34" s="76">
        <f ca="1">IF(ISERROR(VLOOKUP($B34,OFFSET(INDIRECT(""&amp;$B$29&amp;"!$A$4"),0,0,200,100),MATCH(H$30,INDIRECT(""&amp;$B$29&amp;"!$A$4"):INDIRECT(""&amp;$B$29&amp;"!$o$4"),0),FALSE)),"",VLOOKUP($B34,OFFSET(INDIRECT(""&amp;$B$29&amp;"!$A$4"),0,0,200,100),MATCH(H$30,INDIRECT(""&amp;$B$29&amp;"!$A$4"):INDIRECT(""&amp;$B$29&amp;"!$o$4"),0),FALSE))</f>
        <v>27503.288784</v>
      </c>
      <c r="I34" s="76">
        <f ca="1">IF(ISERROR(VLOOKUP($B34,OFFSET(INDIRECT(""&amp;$B$29&amp;"!$A$4"),0,0,200,100),MATCH(I$30,INDIRECT(""&amp;$B$29&amp;"!$A$4"):INDIRECT(""&amp;$B$29&amp;"!$o$4"),0),FALSE)),"",VLOOKUP($B34,OFFSET(INDIRECT(""&amp;$B$29&amp;"!$A$4"),0,0,200,100),MATCH(I$30,INDIRECT(""&amp;$B$29&amp;"!$A$4"):INDIRECT(""&amp;$B$29&amp;"!$o$4"),0),FALSE))</f>
        <v>19130.770533999999</v>
      </c>
      <c r="J34" s="76">
        <f ca="1">IF(ISERROR(VLOOKUP($B34,OFFSET(INDIRECT(""&amp;$B$29&amp;"!$A$4"),0,0,200,100),MATCH(J$30,INDIRECT(""&amp;$B$29&amp;"!$A$4"):INDIRECT(""&amp;$B$29&amp;"!$o$4"),0),FALSE)),"",VLOOKUP($B34,OFFSET(INDIRECT(""&amp;$B$29&amp;"!$A$4"),0,0,200,100),MATCH(J$30,INDIRECT(""&amp;$B$29&amp;"!$A$4"):INDIRECT(""&amp;$B$29&amp;"!$o$4"),0),FALSE))</f>
        <v>19130.770533999999</v>
      </c>
      <c r="K34" s="109" t="s">
        <v>118</v>
      </c>
      <c r="L34" s="76">
        <f ca="1">IF(ISERROR(VLOOKUP($K34,OFFSET(INDIRECT(""&amp;$S$29&amp;"!$A$4"),0,0,200,100),MATCH(L$30,INDIRECT(""&amp;$S$29&amp;"!$A$4"):INDIRECT(""&amp;$S$29&amp;"!$AA$4"),0),FALSE)),"",VLOOKUP($K34,OFFSET(INDIRECT(""&amp;$S$29&amp;"!$A$4"),0,0,200,100),MATCH(L$30,INDIRECT(""&amp;$S$29&amp;"!$A$4"):INDIRECT(""&amp;$S$29&amp;"!$AA$4"),0),FALSE))</f>
        <v>44372.567432999997</v>
      </c>
      <c r="M34" s="76">
        <f ca="1">IF(ISERROR(VLOOKUP($K34,OFFSET(INDIRECT(""&amp;$S$29&amp;"!$A$4"),0,0,200,100),MATCH(M$30,INDIRECT(""&amp;$S$29&amp;"!$A$4"):INDIRECT(""&amp;$S$29&amp;"!$AA$4"),0),FALSE)),"",VLOOKUP($K34,OFFSET(INDIRECT(""&amp;$S$29&amp;"!$A$4"),0,0,200,100),MATCH(M$30,INDIRECT(""&amp;$S$29&amp;"!$A$4"):INDIRECT(""&amp;$S$29&amp;"!$AA$4"),0),FALSE))</f>
        <v>34891.985433000002</v>
      </c>
      <c r="N34" s="76">
        <f ca="1">IF(ISERROR(VLOOKUP($K34,OFFSET(INDIRECT(""&amp;$S$29&amp;"!$A$4"),0,0,200,100),MATCH(N$30,INDIRECT(""&amp;$S$29&amp;"!$A$4"):INDIRECT(""&amp;$S$29&amp;"!$AA$4"),0),FALSE)),"",VLOOKUP($K34,OFFSET(INDIRECT(""&amp;$S$29&amp;"!$A$4"),0,0,200,100),MATCH(N$30,INDIRECT(""&amp;$S$29&amp;"!$A$4"):INDIRECT(""&amp;$S$29&amp;"!$AA$4"),0),FALSE))</f>
        <v>33383.059433000002</v>
      </c>
      <c r="O34" s="76">
        <f ca="1">IF(ISERROR(VLOOKUP($K34,OFFSET(INDIRECT(""&amp;$S$29&amp;"!$A$4"),0,0,200,100),MATCH(O$30,INDIRECT(""&amp;$S$29&amp;"!$A$4"):INDIRECT(""&amp;$S$29&amp;"!$AA$4"),0),FALSE)),"",VLOOKUP($K34,OFFSET(INDIRECT(""&amp;$S$29&amp;"!$A$4"),0,0,200,100),MATCH(O$30,INDIRECT(""&amp;$S$29&amp;"!$A$4"):INDIRECT(""&amp;$S$29&amp;"!$AA$4"),0),FALSE))</f>
        <v>33990.059433000002</v>
      </c>
      <c r="P34" s="76">
        <f ca="1">IF(ISERROR(VLOOKUP($K34,OFFSET(INDIRECT(""&amp;$S$29&amp;"!$A$4"),0,0,200,100),MATCH(P$30,INDIRECT(""&amp;$S$29&amp;"!$A$4"):INDIRECT(""&amp;$S$29&amp;"!$AA$4"),0),FALSE)),"",VLOOKUP($K34,OFFSET(INDIRECT(""&amp;$S$29&amp;"!$A$4"),0,0,200,100),MATCH(P$30,INDIRECT(""&amp;$S$29&amp;"!$A$4"):INDIRECT(""&amp;$S$29&amp;"!$AA$4"),0),FALSE))</f>
        <v>33463.559433000002</v>
      </c>
      <c r="Q34" s="76">
        <f ca="1">IF(ISERROR(VLOOKUP($K34,OFFSET(INDIRECT(""&amp;$S$29&amp;"!$A$4"),0,0,200,100),MATCH(Q$30,INDIRECT(""&amp;$S$29&amp;"!$A$4"):INDIRECT(""&amp;$S$29&amp;"!$AA$4"),0),FALSE)),"",VLOOKUP($K34,OFFSET(INDIRECT(""&amp;$S$29&amp;"!$A$4"),0,0,200,100),MATCH(Q$30,INDIRECT(""&amp;$S$29&amp;"!$A$4"):INDIRECT(""&amp;$S$29&amp;"!$AA$4"),0),FALSE))</f>
        <v>51809.109432999998</v>
      </c>
      <c r="R34" s="76">
        <f ca="1">IF(ISERROR(VLOOKUP($K34,OFFSET(INDIRECT(""&amp;$S$29&amp;"!$A$4"),0,0,200,100),MATCH(R$30,INDIRECT(""&amp;$S$29&amp;"!$A$4"):INDIRECT(""&amp;$S$29&amp;"!$AA$4"),0),FALSE)),"",VLOOKUP($K34,OFFSET(INDIRECT(""&amp;$S$29&amp;"!$A$4"),0,0,200,100),MATCH(R$30,INDIRECT(""&amp;$S$29&amp;"!$A$4"):INDIRECT(""&amp;$S$29&amp;"!$AA$4"),0),FALSE))</f>
        <v>50473.109432999998</v>
      </c>
      <c r="S34" s="76">
        <f ca="1">IF(ISERROR(VLOOKUP($K34,OFFSET(INDIRECT(""&amp;$S$29&amp;"!$A$4"),0,0,200,100),MATCH(S$30,INDIRECT(""&amp;$S$29&amp;"!$A$4"):INDIRECT(""&amp;$S$29&amp;"!$AA$4"),0),FALSE)),"",VLOOKUP($K34,OFFSET(INDIRECT(""&amp;$S$29&amp;"!$A$4"),0,0,200,100),MATCH(S$30,INDIRECT(""&amp;$S$29&amp;"!$A$4"):INDIRECT(""&amp;$S$29&amp;"!$AA$4"),0),FALSE))</f>
        <v>30281.625156999999</v>
      </c>
      <c r="T34" s="76">
        <f ca="1">IF(ISERROR(VLOOKUP($K34,OFFSET(INDIRECT(""&amp;$S$29&amp;"!$A$4"),0,0,200,100),MATCH(T$30,INDIRECT(""&amp;$S$29&amp;"!$A$4"):INDIRECT(""&amp;$S$29&amp;"!$AA$4"),0),FALSE)),"",VLOOKUP($K34,OFFSET(INDIRECT(""&amp;$S$29&amp;"!$A$4"),0,0,200,100),MATCH(T$30,INDIRECT(""&amp;$S$29&amp;"!$A$4"):INDIRECT(""&amp;$S$29&amp;"!$AA$4"),0),FALSE))</f>
        <v>27008.748533999998</v>
      </c>
      <c r="U34" s="76">
        <f ca="1">IF(ISERROR(VLOOKUP($K34,OFFSET(INDIRECT(""&amp;$S$29&amp;"!$A$4"),0,0,200,100),MATCH(U$30,INDIRECT(""&amp;$S$29&amp;"!$A$4"):INDIRECT(""&amp;$S$29&amp;"!$AA$4"),0),FALSE)),"",VLOOKUP($K34,OFFSET(INDIRECT(""&amp;$S$29&amp;"!$A$4"),0,0,200,100),MATCH(U$30,INDIRECT(""&amp;$S$29&amp;"!$A$4"):INDIRECT(""&amp;$S$29&amp;"!$AA$4"),0),FALSE))</f>
        <v>27335.756384</v>
      </c>
      <c r="V34" s="76">
        <f ca="1">IF(ISERROR(VLOOKUP($K34,OFFSET(INDIRECT(""&amp;$S$29&amp;"!$A$4"),0,0,200,100),MATCH(V$30,INDIRECT(""&amp;$S$29&amp;"!$A$4"):INDIRECT(""&amp;$S$29&amp;"!$AA$4"),0),FALSE)),"",VLOOKUP($K34,OFFSET(INDIRECT(""&amp;$S$29&amp;"!$A$4"),0,0,200,100),MATCH(V$30,INDIRECT(""&amp;$S$29&amp;"!$A$4"):INDIRECT(""&amp;$S$29&amp;"!$AA$4"),0),FALSE))</f>
        <v>26944.756384</v>
      </c>
      <c r="W34" s="76">
        <f ca="1">IF(ISERROR(VLOOKUP($K34,OFFSET(INDIRECT(""&amp;$S$29&amp;"!$A$4"),0,0,200,100),MATCH(W$30,INDIRECT(""&amp;$S$29&amp;"!$A$4"):INDIRECT(""&amp;$S$29&amp;"!$AA$4"),0),FALSE)),"",VLOOKUP($K34,OFFSET(INDIRECT(""&amp;$S$29&amp;"!$A$4"),0,0,200,100),MATCH(W$30,INDIRECT(""&amp;$S$29&amp;"!$A$4"):INDIRECT(""&amp;$S$29&amp;"!$AA$4"),0),FALSE))</f>
        <v>27399.206384000001</v>
      </c>
      <c r="X34" s="76">
        <f ca="1">IF(ISERROR(VLOOKUP($K34,OFFSET(INDIRECT(""&amp;$S$29&amp;"!$A$4"),0,0,200,100),MATCH(X$30,INDIRECT(""&amp;$S$29&amp;"!$A$4"):INDIRECT(""&amp;$S$29&amp;"!$AA$4"),0),FALSE)),"",VLOOKUP($K34,OFFSET(INDIRECT(""&amp;$S$29&amp;"!$A$4"),0,0,200,100),MATCH(X$30,INDIRECT(""&amp;$S$29&amp;"!$A$4"):INDIRECT(""&amp;$S$29&amp;"!$AA$4"),0),FALSE))</f>
        <v>24965.998533999998</v>
      </c>
      <c r="Y34" s="76">
        <f ca="1">IF(ISERROR(VLOOKUP($K34,OFFSET(INDIRECT(""&amp;$S$29&amp;"!$A$4"),0,0,200,100),MATCH(Y$30,INDIRECT(""&amp;$S$29&amp;"!$A$4"):INDIRECT(""&amp;$S$29&amp;"!$AA$4"),0),FALSE)),"",VLOOKUP($K34,OFFSET(INDIRECT(""&amp;$S$29&amp;"!$A$4"),0,0,200,100),MATCH(Y$30,INDIRECT(""&amp;$S$29&amp;"!$A$4"):INDIRECT(""&amp;$S$29&amp;"!$AA$4"),0),FALSE))</f>
        <v>22632.068533999998</v>
      </c>
      <c r="Z34" s="76">
        <f ca="1">IF(ISERROR(VLOOKUP($K34,OFFSET(INDIRECT(""&amp;$S$29&amp;"!$A$4"),0,0,200,100),MATCH(Z$30,INDIRECT(""&amp;$S$29&amp;"!$A$4"):INDIRECT(""&amp;$S$29&amp;"!$AA$4"),0),FALSE)),"",VLOOKUP($K34,OFFSET(INDIRECT(""&amp;$S$29&amp;"!$A$4"),0,0,200,100),MATCH(Z$30,INDIRECT(""&amp;$S$29&amp;"!$A$4"):INDIRECT(""&amp;$S$29&amp;"!$AA$4"),0),FALSE))</f>
        <v>19258.899534</v>
      </c>
      <c r="AA34" s="76">
        <f t="shared" ca="1" si="61"/>
        <v>22632.068533999998</v>
      </c>
      <c r="AB34" s="110"/>
      <c r="AC34" s="87">
        <f t="shared" ca="1" si="48"/>
        <v>0.12882838491669665</v>
      </c>
      <c r="AD34" s="87">
        <f t="shared" ca="1" si="49"/>
        <v>8.9464457927105792E-2</v>
      </c>
      <c r="AE34" s="87">
        <f t="shared" ca="1" si="50"/>
        <v>6.8909098172995245E-2</v>
      </c>
      <c r="AF34" s="87">
        <f t="shared" ca="1" si="51"/>
        <v>7.5106115769828272E-2</v>
      </c>
      <c r="AG34" s="87">
        <f t="shared" ca="1" si="52"/>
        <v>5.6133180117107849E-2</v>
      </c>
      <c r="AH34" s="87">
        <f t="shared" ca="1" si="52"/>
        <v>5.6133180117107849E-2</v>
      </c>
      <c r="AI34" s="144"/>
      <c r="AJ34" s="87">
        <f t="shared" ca="1" si="53"/>
        <v>8.6754816838717108E-2</v>
      </c>
      <c r="AK34" s="87">
        <f t="shared" ca="1" si="54"/>
        <v>8.6051176355571357E-2</v>
      </c>
      <c r="AL34" s="87">
        <f t="shared" ca="1" si="55"/>
        <v>0.12522134747246777</v>
      </c>
      <c r="AM34" s="87">
        <f t="shared" ca="1" si="56"/>
        <v>0.12701214818883003</v>
      </c>
      <c r="AN34" s="87">
        <f t="shared" ca="1" si="57"/>
        <v>7.5137833736496962E-2</v>
      </c>
      <c r="AO34" s="87">
        <f t="shared" ca="1" si="58"/>
        <v>7.1206842884459803E-2</v>
      </c>
      <c r="AP34" s="87">
        <f t="shared" ca="1" si="58"/>
        <v>7.4161505994227411E-2</v>
      </c>
      <c r="AQ34" s="87">
        <f t="shared" ca="1" si="58"/>
        <v>7.463642227316479E-2</v>
      </c>
      <c r="AR34" s="87">
        <f t="shared" ca="1" si="58"/>
        <v>7.4691602057478781E-2</v>
      </c>
      <c r="AS34" s="87">
        <f t="shared" ca="1" si="58"/>
        <v>6.7709278316830324E-2</v>
      </c>
      <c r="AT34" s="87">
        <f t="shared" ca="1" si="59"/>
        <v>6.6913989777403579E-2</v>
      </c>
      <c r="AU34" s="87">
        <f t="shared" ca="1" si="59"/>
        <v>5.7186246982530616E-2</v>
      </c>
      <c r="AV34" s="87">
        <f t="shared" ca="1" si="60"/>
        <v>6.6913989777403579E-2</v>
      </c>
    </row>
    <row r="35" spans="1:48" s="112" customFormat="1" ht="15.95" customHeight="1">
      <c r="A35" s="113" t="s">
        <v>236</v>
      </c>
      <c r="B35" s="111" t="s">
        <v>119</v>
      </c>
      <c r="C35" s="90">
        <f ca="1">IF(ISERROR(VLOOKUP($B35,OFFSET(INDIRECT(""&amp;$B$29&amp;"!$A$4"),0,0,200,100),MATCH(C$30,INDIRECT(""&amp;$B$29&amp;"!$A$4"):INDIRECT(""&amp;$B$29&amp;"!$o$4"),0),FALSE)),"",VLOOKUP($B35,OFFSET(INDIRECT(""&amp;$B$29&amp;"!$A$4"),0,0,200,100),MATCH(C$30,INDIRECT(""&amp;$B$29&amp;"!$A$4"):INDIRECT(""&amp;$B$29&amp;"!$o$4"),0),FALSE))</f>
        <v>99240.866510000007</v>
      </c>
      <c r="D35" s="90">
        <f ca="1">IF(ISERROR(VLOOKUP($B35,OFFSET(INDIRECT(""&amp;$B$29&amp;"!$A$4"),0,0,200,100),MATCH(D$30,INDIRECT(""&amp;$B$29&amp;"!$A$4"):INDIRECT(""&amp;$B$29&amp;"!$o$4"),0),FALSE)),"",VLOOKUP($B35,OFFSET(INDIRECT(""&amp;$B$29&amp;"!$A$4"),0,0,200,100),MATCH(D$30,INDIRECT(""&amp;$B$29&amp;"!$A$4"):INDIRECT(""&amp;$B$29&amp;"!$o$4"),0),FALSE))</f>
        <v>73312.811749999993</v>
      </c>
      <c r="E35" s="90">
        <f ca="1">IF(ISERROR(VLOOKUP($B35,OFFSET(INDIRECT(""&amp;$B$29&amp;"!$A$4"),0,0,200,100),MATCH(E$30,INDIRECT(""&amp;$B$29&amp;"!$A$4"):INDIRECT(""&amp;$B$29&amp;"!$o$4"),0),FALSE)),"",VLOOKUP($B35,OFFSET(INDIRECT(""&amp;$B$29&amp;"!$A$4"),0,0,200,100),MATCH(E$30,INDIRECT(""&amp;$B$29&amp;"!$A$4"):INDIRECT(""&amp;$B$29&amp;"!$o$4"),0),FALSE))</f>
        <v>45292.874156999998</v>
      </c>
      <c r="F35" s="90">
        <f ca="1">IF(ISERROR(VLOOKUP($B35,OFFSET(INDIRECT(""&amp;$B$29&amp;"!$A$4"),0,0,200,100),MATCH(F$30,INDIRECT(""&amp;$B$29&amp;"!$A$4"):INDIRECT(""&amp;$B$29&amp;"!$o$4"),0),FALSE)),"",VLOOKUP($B35,OFFSET(INDIRECT(""&amp;$B$29&amp;"!$A$4"),0,0,200,100),MATCH(F$30,INDIRECT(""&amp;$B$29&amp;"!$A$4"):INDIRECT(""&amp;$B$29&amp;"!$o$4"),0),FALSE))</f>
        <v>33990.059433000002</v>
      </c>
      <c r="G35" s="90">
        <f ca="1">IF(ISERROR(VLOOKUP($B35,OFFSET(INDIRECT(""&amp;$B$29&amp;"!$A$4"),0,0,200,100),MATCH(G$30,INDIRECT(""&amp;$B$29&amp;"!$A$4"):INDIRECT(""&amp;$B$29&amp;"!$o$4"),0),FALSE)),"",VLOOKUP($B35,OFFSET(INDIRECT(""&amp;$B$29&amp;"!$A$4"),0,0,200,100),MATCH(G$30,INDIRECT(""&amp;$B$29&amp;"!$A$4"):INDIRECT(""&amp;$B$29&amp;"!$o$4"),0),FALSE))</f>
        <v>31494.575156999999</v>
      </c>
      <c r="H35" s="90">
        <f ca="1">IF(ISERROR(VLOOKUP($B35,OFFSET(INDIRECT(""&amp;$B$29&amp;"!$A$4"),0,0,200,100),MATCH(H$30,INDIRECT(""&amp;$B$29&amp;"!$A$4"):INDIRECT(""&amp;$B$29&amp;"!$o$4"),0),FALSE)),"",VLOOKUP($B35,OFFSET(INDIRECT(""&amp;$B$29&amp;"!$A$4"),0,0,200,100),MATCH(H$30,INDIRECT(""&amp;$B$29&amp;"!$A$4"):INDIRECT(""&amp;$B$29&amp;"!$o$4"),0),FALSE))</f>
        <v>31122.575156999999</v>
      </c>
      <c r="I35" s="90">
        <f ca="1">IF(ISERROR(VLOOKUP($B35,OFFSET(INDIRECT(""&amp;$B$29&amp;"!$A$4"),0,0,200,100),MATCH(I$30,INDIRECT(""&amp;$B$29&amp;"!$A$4"):INDIRECT(""&amp;$B$29&amp;"!$o$4"),0),FALSE)),"",VLOOKUP($B35,OFFSET(INDIRECT(""&amp;$B$29&amp;"!$A$4"),0,0,200,100),MATCH(I$30,INDIRECT(""&amp;$B$29&amp;"!$A$4"):INDIRECT(""&amp;$B$29&amp;"!$o$4"),0),FALSE))</f>
        <v>22433.147156999999</v>
      </c>
      <c r="J35" s="90">
        <f ca="1">IF(ISERROR(VLOOKUP($B35,OFFSET(INDIRECT(""&amp;$B$29&amp;"!$A$4"),0,0,200,100),MATCH(J$30,INDIRECT(""&amp;$B$29&amp;"!$A$4"):INDIRECT(""&amp;$B$29&amp;"!$o$4"),0),FALSE)),"",VLOOKUP($B35,OFFSET(INDIRECT(""&amp;$B$29&amp;"!$A$4"),0,0,200,100),MATCH(J$30,INDIRECT(""&amp;$B$29&amp;"!$A$4"):INDIRECT(""&amp;$B$29&amp;"!$o$4"),0),FALSE))</f>
        <v>22433.147156999999</v>
      </c>
      <c r="K35" s="109" t="s">
        <v>119</v>
      </c>
      <c r="L35" s="90">
        <f ca="1">IF(ISERROR(VLOOKUP($K35,OFFSET(INDIRECT(""&amp;$S$29&amp;"!$A$4"),0,0,200,100),MATCH(L$30,INDIRECT(""&amp;$S$29&amp;"!$A$4"):INDIRECT(""&amp;$S$29&amp;"!$AA$4"),0),FALSE)),"",VLOOKUP($K35,OFFSET(INDIRECT(""&amp;$S$29&amp;"!$A$4"),0,0,200,100),MATCH(L$30,INDIRECT(""&amp;$S$29&amp;"!$A$4"):INDIRECT(""&amp;$S$29&amp;"!$AA$4"),0),FALSE))</f>
        <v>44725.692432999997</v>
      </c>
      <c r="M35" s="90">
        <f ca="1">IF(ISERROR(VLOOKUP($K35,OFFSET(INDIRECT(""&amp;$S$29&amp;"!$A$4"),0,0,200,100),MATCH(M$30,INDIRECT(""&amp;$S$29&amp;"!$A$4"):INDIRECT(""&amp;$S$29&amp;"!$AA$4"),0),FALSE)),"",VLOOKUP($K35,OFFSET(INDIRECT(""&amp;$S$29&amp;"!$A$4"),0,0,200,100),MATCH(M$30,INDIRECT(""&amp;$S$29&amp;"!$A$4"):INDIRECT(""&amp;$S$29&amp;"!$AA$4"),0),FALSE))</f>
        <v>34891.985433000002</v>
      </c>
      <c r="N35" s="90">
        <f ca="1">IF(ISERROR(VLOOKUP($K35,OFFSET(INDIRECT(""&amp;$S$29&amp;"!$A$4"),0,0,200,100),MATCH(N$30,INDIRECT(""&amp;$S$29&amp;"!$A$4"):INDIRECT(""&amp;$S$29&amp;"!$AA$4"),0),FALSE)),"",VLOOKUP($K35,OFFSET(INDIRECT(""&amp;$S$29&amp;"!$A$4"),0,0,200,100),MATCH(N$30,INDIRECT(""&amp;$S$29&amp;"!$A$4"):INDIRECT(""&amp;$S$29&amp;"!$AA$4"),0),FALSE))</f>
        <v>33383.059433000002</v>
      </c>
      <c r="O35" s="90">
        <f ca="1">IF(ISERROR(VLOOKUP($K35,OFFSET(INDIRECT(""&amp;$S$29&amp;"!$A$4"),0,0,200,100),MATCH(O$30,INDIRECT(""&amp;$S$29&amp;"!$A$4"):INDIRECT(""&amp;$S$29&amp;"!$AA$4"),0),FALSE)),"",VLOOKUP($K35,OFFSET(INDIRECT(""&amp;$S$29&amp;"!$A$4"),0,0,200,100),MATCH(O$30,INDIRECT(""&amp;$S$29&amp;"!$A$4"):INDIRECT(""&amp;$S$29&amp;"!$AA$4"),0),FALSE))</f>
        <v>33990.059433000002</v>
      </c>
      <c r="P35" s="90">
        <f ca="1">IF(ISERROR(VLOOKUP($K35,OFFSET(INDIRECT(""&amp;$S$29&amp;"!$A$4"),0,0,200,100),MATCH(P$30,INDIRECT(""&amp;$S$29&amp;"!$A$4"):INDIRECT(""&amp;$S$29&amp;"!$AA$4"),0),FALSE)),"",VLOOKUP($K35,OFFSET(INDIRECT(""&amp;$S$29&amp;"!$A$4"),0,0,200,100),MATCH(P$30,INDIRECT(""&amp;$S$29&amp;"!$A$4"):INDIRECT(""&amp;$S$29&amp;"!$AA$4"),0),FALSE))</f>
        <v>33719.059433000002</v>
      </c>
      <c r="Q35" s="90">
        <f ca="1">IF(ISERROR(VLOOKUP($K35,OFFSET(INDIRECT(""&amp;$S$29&amp;"!$A$4"),0,0,200,100),MATCH(Q$30,INDIRECT(""&amp;$S$29&amp;"!$A$4"):INDIRECT(""&amp;$S$29&amp;"!$AA$4"),0),FALSE)),"",VLOOKUP($K35,OFFSET(INDIRECT(""&amp;$S$29&amp;"!$A$4"),0,0,200,100),MATCH(Q$30,INDIRECT(""&amp;$S$29&amp;"!$A$4"):INDIRECT(""&amp;$S$29&amp;"!$AA$4"),0),FALSE))</f>
        <v>53022.059433000002</v>
      </c>
      <c r="R35" s="90">
        <f ca="1">IF(ISERROR(VLOOKUP($K35,OFFSET(INDIRECT(""&amp;$S$29&amp;"!$A$4"),0,0,200,100),MATCH(R$30,INDIRECT(""&amp;$S$29&amp;"!$A$4"):INDIRECT(""&amp;$S$29&amp;"!$AA$4"),0),FALSE)),"",VLOOKUP($K35,OFFSET(INDIRECT(""&amp;$S$29&amp;"!$A$4"),0,0,200,100),MATCH(R$30,INDIRECT(""&amp;$S$29&amp;"!$A$4"):INDIRECT(""&amp;$S$29&amp;"!$AA$4"),0),FALSE))</f>
        <v>51686.059433000002</v>
      </c>
      <c r="S35" s="90">
        <f ca="1">IF(ISERROR(VLOOKUP($K35,OFFSET(INDIRECT(""&amp;$S$29&amp;"!$A$4"),0,0,200,100),MATCH(S$30,INDIRECT(""&amp;$S$29&amp;"!$A$4"):INDIRECT(""&amp;$S$29&amp;"!$AA$4"),0),FALSE)),"",VLOOKUP($K35,OFFSET(INDIRECT(""&amp;$S$29&amp;"!$A$4"),0,0,200,100),MATCH(S$30,INDIRECT(""&amp;$S$29&amp;"!$A$4"):INDIRECT(""&amp;$S$29&amp;"!$AA$4"),0),FALSE))</f>
        <v>31494.575156999999</v>
      </c>
      <c r="T35" s="90">
        <f ca="1">IF(ISERROR(VLOOKUP($K35,OFFSET(INDIRECT(""&amp;$S$29&amp;"!$A$4"),0,0,200,100),MATCH(T$30,INDIRECT(""&amp;$S$29&amp;"!$A$4"):INDIRECT(""&amp;$S$29&amp;"!$AA$4"),0),FALSE)),"",VLOOKUP($K35,OFFSET(INDIRECT(""&amp;$S$29&amp;"!$A$4"),0,0,200,100),MATCH(T$30,INDIRECT(""&amp;$S$29&amp;"!$A$4"):INDIRECT(""&amp;$S$29&amp;"!$AA$4"),0),FALSE))</f>
        <v>32204.575156999999</v>
      </c>
      <c r="U35" s="90">
        <f ca="1">IF(ISERROR(VLOOKUP($K35,OFFSET(INDIRECT(""&amp;$S$29&amp;"!$A$4"),0,0,200,100),MATCH(U$30,INDIRECT(""&amp;$S$29&amp;"!$A$4"):INDIRECT(""&amp;$S$29&amp;"!$AA$4"),0),FALSE)),"",VLOOKUP($K35,OFFSET(INDIRECT(""&amp;$S$29&amp;"!$A$4"),0,0,200,100),MATCH(U$30,INDIRECT(""&amp;$S$29&amp;"!$A$4"):INDIRECT(""&amp;$S$29&amp;"!$AA$4"),0),FALSE))</f>
        <v>31791.575156999999</v>
      </c>
      <c r="V35" s="90">
        <f ca="1">IF(ISERROR(VLOOKUP($K35,OFFSET(INDIRECT(""&amp;$S$29&amp;"!$A$4"),0,0,200,100),MATCH(V$30,INDIRECT(""&amp;$S$29&amp;"!$A$4"):INDIRECT(""&amp;$S$29&amp;"!$AA$4"),0),FALSE)),"",VLOOKUP($K35,OFFSET(INDIRECT(""&amp;$S$29&amp;"!$A$4"),0,0,200,100),MATCH(V$30,INDIRECT(""&amp;$S$29&amp;"!$A$4"):INDIRECT(""&amp;$S$29&amp;"!$AA$4"),0),FALSE))</f>
        <v>31400.575156999999</v>
      </c>
      <c r="W35" s="90">
        <f ca="1">IF(ISERROR(VLOOKUP($K35,OFFSET(INDIRECT(""&amp;$S$29&amp;"!$A$4"),0,0,200,100),MATCH(W$30,INDIRECT(""&amp;$S$29&amp;"!$A$4"):INDIRECT(""&amp;$S$29&amp;"!$AA$4"),0),FALSE)),"",VLOOKUP($K35,OFFSET(INDIRECT(""&amp;$S$29&amp;"!$A$4"),0,0,200,100),MATCH(W$30,INDIRECT(""&amp;$S$29&amp;"!$A$4"):INDIRECT(""&amp;$S$29&amp;"!$AA$4"),0),FALSE))</f>
        <v>31122.575156999999</v>
      </c>
      <c r="X35" s="90">
        <f ca="1">IF(ISERROR(VLOOKUP($K35,OFFSET(INDIRECT(""&amp;$S$29&amp;"!$A$4"),0,0,200,100),MATCH(X$30,INDIRECT(""&amp;$S$29&amp;"!$A$4"):INDIRECT(""&amp;$S$29&amp;"!$AA$4"),0),FALSE)),"",VLOOKUP($K35,OFFSET(INDIRECT(""&amp;$S$29&amp;"!$A$4"),0,0,200,100),MATCH(X$30,INDIRECT(""&amp;$S$29&amp;"!$A$4"):INDIRECT(""&amp;$S$29&amp;"!$AA$4"),0),FALSE))</f>
        <v>28368.375156999999</v>
      </c>
      <c r="Y35" s="90">
        <f ca="1">IF(ISERROR(VLOOKUP($K35,OFFSET(INDIRECT(""&amp;$S$29&amp;"!$A$4"),0,0,200,100),MATCH(Y$30,INDIRECT(""&amp;$S$29&amp;"!$A$4"):INDIRECT(""&amp;$S$29&amp;"!$AA$4"),0),FALSE)),"",VLOOKUP($K35,OFFSET(INDIRECT(""&amp;$S$29&amp;"!$A$4"),0,0,200,100),MATCH(Y$30,INDIRECT(""&amp;$S$29&amp;"!$A$4"):INDIRECT(""&amp;$S$29&amp;"!$AA$4"),0),FALSE))</f>
        <v>26752.445156999998</v>
      </c>
      <c r="Z35" s="90">
        <f ca="1">IF(ISERROR(VLOOKUP($K35,OFFSET(INDIRECT(""&amp;$S$29&amp;"!$A$4"),0,0,200,100),MATCH(Z$30,INDIRECT(""&amp;$S$29&amp;"!$A$4"):INDIRECT(""&amp;$S$29&amp;"!$AA$4"),0),FALSE)),"",VLOOKUP($K35,OFFSET(INDIRECT(""&amp;$S$29&amp;"!$A$4"),0,0,200,100),MATCH(Z$30,INDIRECT(""&amp;$S$29&amp;"!$A$4"):INDIRECT(""&amp;$S$29&amp;"!$AA$4"),0),FALSE))</f>
        <v>22599.276157</v>
      </c>
      <c r="AA35" s="90">
        <f t="shared" ca="1" si="61"/>
        <v>26752.445156999998</v>
      </c>
      <c r="AB35" s="110"/>
      <c r="AC35" s="87">
        <f t="shared" ca="1" si="48"/>
        <v>0.12984068525831133</v>
      </c>
      <c r="AD35" s="87">
        <f t="shared" ca="1" si="49"/>
        <v>9.0142047004436829E-2</v>
      </c>
      <c r="AE35" s="87">
        <f t="shared" ca="1" si="50"/>
        <v>8.2523423827741985E-2</v>
      </c>
      <c r="AF35" s="87">
        <f t="shared" ca="1" si="51"/>
        <v>8.4989680730715306E-2</v>
      </c>
      <c r="AG35" s="87">
        <f t="shared" ca="1" si="52"/>
        <v>6.5822957194509563E-2</v>
      </c>
      <c r="AH35" s="87">
        <f t="shared" ca="1" si="52"/>
        <v>6.5822957194509563E-2</v>
      </c>
      <c r="AI35" s="145"/>
      <c r="AJ35" s="87">
        <f t="shared" ca="1" si="53"/>
        <v>8.6754816838717108E-2</v>
      </c>
      <c r="AK35" s="87">
        <f t="shared" ca="1" si="54"/>
        <v>8.6708191805552656E-2</v>
      </c>
      <c r="AL35" s="87">
        <f t="shared" ca="1" si="55"/>
        <v>0.12815301788871286</v>
      </c>
      <c r="AM35" s="87">
        <f t="shared" ca="1" si="56"/>
        <v>0.13006445439457601</v>
      </c>
      <c r="AN35" s="87">
        <f t="shared" ca="1" si="57"/>
        <v>7.8147528062946156E-2</v>
      </c>
      <c r="AO35" s="87">
        <f t="shared" ca="1" si="58"/>
        <v>8.4905308384744152E-2</v>
      </c>
      <c r="AP35" s="87">
        <f t="shared" ca="1" si="58"/>
        <v>8.6250076948731796E-2</v>
      </c>
      <c r="AQ35" s="87">
        <f t="shared" ca="1" si="58"/>
        <v>8.6978948840293197E-2</v>
      </c>
      <c r="AR35" s="87">
        <f t="shared" ca="1" si="58"/>
        <v>8.4841690888831228E-2</v>
      </c>
      <c r="AS35" s="87">
        <f t="shared" ca="1" si="58"/>
        <v>7.693672681610228E-2</v>
      </c>
      <c r="AT35" s="87">
        <f t="shared" ca="1" si="59"/>
        <v>7.9096298204769655E-2</v>
      </c>
      <c r="AU35" s="87">
        <f t="shared" ca="1" si="59"/>
        <v>6.7104965455531268E-2</v>
      </c>
      <c r="AV35" s="87">
        <f t="shared" ca="1" si="60"/>
        <v>7.9096298204769655E-2</v>
      </c>
    </row>
    <row r="36" spans="1:48" s="108" customFormat="1" ht="15.95" customHeight="1">
      <c r="A36" s="113" t="s">
        <v>241</v>
      </c>
      <c r="B36" s="111" t="s">
        <v>120</v>
      </c>
      <c r="C36" s="90">
        <f ca="1">IF(ISERROR(VLOOKUP($B36,OFFSET(INDIRECT(""&amp;$B$29&amp;"!$A$4"),0,0,200,100),MATCH(C$30,INDIRECT(""&amp;$B$29&amp;"!$A$4"):INDIRECT(""&amp;$B$29&amp;"!$o$4"),0),FALSE)),"",VLOOKUP($B36,OFFSET(INDIRECT(""&amp;$B$29&amp;"!$A$4"),0,0,200,100),MATCH(C$30,INDIRECT(""&amp;$B$29&amp;"!$A$4"):INDIRECT(""&amp;$B$29&amp;"!$o$4"),0),FALSE))</f>
        <v>-4240</v>
      </c>
      <c r="D36" s="90">
        <f ca="1">IF(ISERROR(VLOOKUP($B36,OFFSET(INDIRECT(""&amp;$B$29&amp;"!$A$4"),0,0,200,100),MATCH(D$30,INDIRECT(""&amp;$B$29&amp;"!$A$4"):INDIRECT(""&amp;$B$29&amp;"!$o$4"),0),FALSE)),"",VLOOKUP($B36,OFFSET(INDIRECT(""&amp;$B$29&amp;"!$A$4"),0,0,200,100),MATCH(D$30,INDIRECT(""&amp;$B$29&amp;"!$A$4"):INDIRECT(""&amp;$B$29&amp;"!$o$4"),0),FALSE))</f>
        <v>-13343.967070999999</v>
      </c>
      <c r="E36" s="90">
        <f ca="1">IF(ISERROR(VLOOKUP($B36,OFFSET(INDIRECT(""&amp;$B$29&amp;"!$A$4"),0,0,200,100),MATCH(E$30,INDIRECT(""&amp;$B$29&amp;"!$A$4"):INDIRECT(""&amp;$B$29&amp;"!$o$4"),0),FALSE)),"",VLOOKUP($B36,OFFSET(INDIRECT(""&amp;$B$29&amp;"!$A$4"),0,0,200,100),MATCH(E$30,INDIRECT(""&amp;$B$29&amp;"!$A$4"):INDIRECT(""&amp;$B$29&amp;"!$o$4"),0),FALSE))</f>
        <v>-353.125</v>
      </c>
      <c r="F36" s="90">
        <f ca="1">IF(ISERROR(VLOOKUP($B36,OFFSET(INDIRECT(""&amp;$B$29&amp;"!$A$4"),0,0,200,100),MATCH(F$30,INDIRECT(""&amp;$B$29&amp;"!$A$4"):INDIRECT(""&amp;$B$29&amp;"!$o$4"),0),FALSE)),"",VLOOKUP($B36,OFFSET(INDIRECT(""&amp;$B$29&amp;"!$A$4"),0,0,200,100),MATCH(F$30,INDIRECT(""&amp;$B$29&amp;"!$A$4"):INDIRECT(""&amp;$B$29&amp;"!$o$4"),0),FALSE))</f>
        <v>-255.5</v>
      </c>
      <c r="G36" s="90">
        <f ca="1">IF(ISERROR(VLOOKUP($B36,OFFSET(INDIRECT(""&amp;$B$29&amp;"!$A$4"),0,0,200,100),MATCH(G$30,INDIRECT(""&amp;$B$29&amp;"!$A$4"):INDIRECT(""&amp;$B$29&amp;"!$o$4"),0),FALSE)),"",VLOOKUP($B36,OFFSET(INDIRECT(""&amp;$B$29&amp;"!$A$4"),0,0,200,100),MATCH(G$30,INDIRECT(""&amp;$B$29&amp;"!$A$4"):INDIRECT(""&amp;$B$29&amp;"!$o$4"),0),FALSE))</f>
        <v>-5195.8266229999999</v>
      </c>
      <c r="H36" s="90">
        <f ca="1">IF(ISERROR(VLOOKUP($B36,OFFSET(INDIRECT(""&amp;$B$29&amp;"!$A$4"),0,0,200,100),MATCH(H$30,INDIRECT(""&amp;$B$29&amp;"!$A$4"):INDIRECT(""&amp;$B$29&amp;"!$o$4"),0),FALSE)),"",VLOOKUP($B36,OFFSET(INDIRECT(""&amp;$B$29&amp;"!$A$4"),0,0,200,100),MATCH(H$30,INDIRECT(""&amp;$B$29&amp;"!$A$4"):INDIRECT(""&amp;$B$29&amp;"!$o$4"),0),FALSE))</f>
        <v>-3619.2863729999999</v>
      </c>
      <c r="I36" s="90">
        <f ca="1">IF(ISERROR(VLOOKUP($B36,OFFSET(INDIRECT(""&amp;$B$29&amp;"!$A$4"),0,0,200,100),MATCH(I$30,INDIRECT(""&amp;$B$29&amp;"!$A$4"):INDIRECT(""&amp;$B$29&amp;"!$o$4"),0),FALSE)),"",VLOOKUP($B36,OFFSET(INDIRECT(""&amp;$B$29&amp;"!$A$4"),0,0,200,100),MATCH(I$30,INDIRECT(""&amp;$B$29&amp;"!$A$4"):INDIRECT(""&amp;$B$29&amp;"!$o$4"),0),FALSE))</f>
        <v>-3302.3766230000001</v>
      </c>
      <c r="J36" s="90">
        <f ca="1">IF(ISERROR(VLOOKUP($B36,OFFSET(INDIRECT(""&amp;$B$29&amp;"!$A$4"),0,0,200,100),MATCH(J$30,INDIRECT(""&amp;$B$29&amp;"!$A$4"):INDIRECT(""&amp;$B$29&amp;"!$o$4"),0),FALSE)),"",VLOOKUP($B36,OFFSET(INDIRECT(""&amp;$B$29&amp;"!$A$4"),0,0,200,100),MATCH(J$30,INDIRECT(""&amp;$B$29&amp;"!$A$4"):INDIRECT(""&amp;$B$29&amp;"!$o$4"),0),FALSE))</f>
        <v>-3302.3766230000001</v>
      </c>
      <c r="K36" s="109" t="s">
        <v>120</v>
      </c>
      <c r="L36" s="76">
        <f ca="1">IF(ISERROR(VLOOKUP($K36,OFFSET(INDIRECT(""&amp;$S$29&amp;"!$A$4"),0,0,200,100),MATCH(L$30,INDIRECT(""&amp;$S$29&amp;"!$A$4"):INDIRECT(""&amp;$S$29&amp;"!$AA$4"),0),FALSE)),"",VLOOKUP($K36,OFFSET(INDIRECT(""&amp;$S$29&amp;"!$A$4"),0,0,200,100),MATCH(L$30,INDIRECT(""&amp;$S$29&amp;"!$A$4"):INDIRECT(""&amp;$S$29&amp;"!$AA$4"),0),FALSE))</f>
        <v>-353.125</v>
      </c>
      <c r="M36" s="76">
        <f ca="1">IF(ISERROR(VLOOKUP($K36,OFFSET(INDIRECT(""&amp;$S$29&amp;"!$A$4"),0,0,200,100),MATCH(M$30,INDIRECT(""&amp;$S$29&amp;"!$A$4"):INDIRECT(""&amp;$S$29&amp;"!$AA$4"),0),FALSE)),"",VLOOKUP($K36,OFFSET(INDIRECT(""&amp;$S$29&amp;"!$A$4"),0,0,200,100),MATCH(M$30,INDIRECT(""&amp;$S$29&amp;"!$A$4"):INDIRECT(""&amp;$S$29&amp;"!$AA$4"),0),FALSE))</f>
        <v>0</v>
      </c>
      <c r="N36" s="76">
        <f ca="1">IF(ISERROR(VLOOKUP($K36,OFFSET(INDIRECT(""&amp;$S$29&amp;"!$A$4"),0,0,200,100),MATCH(N$30,INDIRECT(""&amp;$S$29&amp;"!$A$4"):INDIRECT(""&amp;$S$29&amp;"!$AA$4"),0),FALSE)),"",VLOOKUP($K36,OFFSET(INDIRECT(""&amp;$S$29&amp;"!$A$4"),0,0,200,100),MATCH(N$30,INDIRECT(""&amp;$S$29&amp;"!$A$4"):INDIRECT(""&amp;$S$29&amp;"!$AA$4"),0),FALSE))</f>
        <v>0</v>
      </c>
      <c r="O36" s="76">
        <f ca="1">IF(ISERROR(VLOOKUP($K36,OFFSET(INDIRECT(""&amp;$S$29&amp;"!$A$4"),0,0,200,100),MATCH(O$30,INDIRECT(""&amp;$S$29&amp;"!$A$4"):INDIRECT(""&amp;$S$29&amp;"!$AA$4"),0),FALSE)),"",VLOOKUP($K36,OFFSET(INDIRECT(""&amp;$S$29&amp;"!$A$4"),0,0,200,100),MATCH(O$30,INDIRECT(""&amp;$S$29&amp;"!$A$4"):INDIRECT(""&amp;$S$29&amp;"!$AA$4"),0),FALSE))</f>
        <v>0</v>
      </c>
      <c r="P36" s="76">
        <f ca="1">IF(ISERROR(VLOOKUP($K36,OFFSET(INDIRECT(""&amp;$S$29&amp;"!$A$4"),0,0,200,100),MATCH(P$30,INDIRECT(""&amp;$S$29&amp;"!$A$4"):INDIRECT(""&amp;$S$29&amp;"!$AA$4"),0),FALSE)),"",VLOOKUP($K36,OFFSET(INDIRECT(""&amp;$S$29&amp;"!$A$4"),0,0,200,100),MATCH(P$30,INDIRECT(""&amp;$S$29&amp;"!$A$4"):INDIRECT(""&amp;$S$29&amp;"!$AA$4"),0),FALSE))</f>
        <v>-255.5</v>
      </c>
      <c r="Q36" s="76">
        <f ca="1">IF(ISERROR(VLOOKUP($K36,OFFSET(INDIRECT(""&amp;$S$29&amp;"!$A$4"),0,0,200,100),MATCH(Q$30,INDIRECT(""&amp;$S$29&amp;"!$A$4"):INDIRECT(""&amp;$S$29&amp;"!$AA$4"),0),FALSE)),"",VLOOKUP($K36,OFFSET(INDIRECT(""&amp;$S$29&amp;"!$A$4"),0,0,200,100),MATCH(Q$30,INDIRECT(""&amp;$S$29&amp;"!$A$4"):INDIRECT(""&amp;$S$29&amp;"!$AA$4"),0),FALSE))</f>
        <v>-1212.95</v>
      </c>
      <c r="R36" s="76">
        <f ca="1">IF(ISERROR(VLOOKUP($K36,OFFSET(INDIRECT(""&amp;$S$29&amp;"!$A$4"),0,0,200,100),MATCH(R$30,INDIRECT(""&amp;$S$29&amp;"!$A$4"):INDIRECT(""&amp;$S$29&amp;"!$AA$4"),0),FALSE)),"",VLOOKUP($K36,OFFSET(INDIRECT(""&amp;$S$29&amp;"!$A$4"),0,0,200,100),MATCH(R$30,INDIRECT(""&amp;$S$29&amp;"!$A$4"):INDIRECT(""&amp;$S$29&amp;"!$AA$4"),0),FALSE))</f>
        <v>-1212.95</v>
      </c>
      <c r="S36" s="76">
        <f ca="1">IF(ISERROR(VLOOKUP($K36,OFFSET(INDIRECT(""&amp;$S$29&amp;"!$A$4"),0,0,200,100),MATCH(S$30,INDIRECT(""&amp;$S$29&amp;"!$A$4"):INDIRECT(""&amp;$S$29&amp;"!$AA$4"),0),FALSE)),"",VLOOKUP($K36,OFFSET(INDIRECT(""&amp;$S$29&amp;"!$A$4"),0,0,200,100),MATCH(S$30,INDIRECT(""&amp;$S$29&amp;"!$A$4"):INDIRECT(""&amp;$S$29&amp;"!$AA$4"),0),FALSE))</f>
        <v>-1212.95</v>
      </c>
      <c r="T36" s="76">
        <f ca="1">IF(ISERROR(VLOOKUP($K36,OFFSET(INDIRECT(""&amp;$S$29&amp;"!$A$4"),0,0,200,100),MATCH(T$30,INDIRECT(""&amp;$S$29&amp;"!$A$4"):INDIRECT(""&amp;$S$29&amp;"!$AA$4"),0),FALSE)),"",VLOOKUP($K36,OFFSET(INDIRECT(""&amp;$S$29&amp;"!$A$4"),0,0,200,100),MATCH(T$30,INDIRECT(""&amp;$S$29&amp;"!$A$4"):INDIRECT(""&amp;$S$29&amp;"!$AA$4"),0),FALSE))</f>
        <v>-5195.8266229999999</v>
      </c>
      <c r="U36" s="76">
        <f ca="1">IF(ISERROR(VLOOKUP($K36,OFFSET(INDIRECT(""&amp;$S$29&amp;"!$A$4"),0,0,200,100),MATCH(U$30,INDIRECT(""&amp;$S$29&amp;"!$A$4"):INDIRECT(""&amp;$S$29&amp;"!$AA$4"),0),FALSE)),"",VLOOKUP($K36,OFFSET(INDIRECT(""&amp;$S$29&amp;"!$A$4"),0,0,200,100),MATCH(U$30,INDIRECT(""&amp;$S$29&amp;"!$A$4"):INDIRECT(""&amp;$S$29&amp;"!$AA$4"),0),FALSE))</f>
        <v>-4455.818773</v>
      </c>
      <c r="V36" s="76">
        <f ca="1">IF(ISERROR(VLOOKUP($K36,OFFSET(INDIRECT(""&amp;$S$29&amp;"!$A$4"),0,0,200,100),MATCH(V$30,INDIRECT(""&amp;$S$29&amp;"!$A$4"):INDIRECT(""&amp;$S$29&amp;"!$AA$4"),0),FALSE)),"",VLOOKUP($K36,OFFSET(INDIRECT(""&amp;$S$29&amp;"!$A$4"),0,0,200,100),MATCH(V$30,INDIRECT(""&amp;$S$29&amp;"!$A$4"):INDIRECT(""&amp;$S$29&amp;"!$AA$4"),0),FALSE))</f>
        <v>-4455.818773</v>
      </c>
      <c r="W36" s="76">
        <f ca="1">IF(ISERROR(VLOOKUP($K36,OFFSET(INDIRECT(""&amp;$S$29&amp;"!$A$4"),0,0,200,100),MATCH(W$30,INDIRECT(""&amp;$S$29&amp;"!$A$4"):INDIRECT(""&amp;$S$29&amp;"!$AA$4"),0),FALSE)),"",VLOOKUP($K36,OFFSET(INDIRECT(""&amp;$S$29&amp;"!$A$4"),0,0,200,100),MATCH(W$30,INDIRECT(""&amp;$S$29&amp;"!$A$4"):INDIRECT(""&amp;$S$29&amp;"!$AA$4"),0),FALSE))</f>
        <v>-3723.3687730000001</v>
      </c>
      <c r="X36" s="76">
        <f ca="1">IF(ISERROR(VLOOKUP($K36,OFFSET(INDIRECT(""&amp;$S$29&amp;"!$A$4"),0,0,200,100),MATCH(X$30,INDIRECT(""&amp;$S$29&amp;"!$A$4"):INDIRECT(""&amp;$S$29&amp;"!$AA$4"),0),FALSE)),"",VLOOKUP($K36,OFFSET(INDIRECT(""&amp;$S$29&amp;"!$A$4"),0,0,200,100),MATCH(X$30,INDIRECT(""&amp;$S$29&amp;"!$A$4"):INDIRECT(""&amp;$S$29&amp;"!$AA$4"),0),FALSE))</f>
        <v>-3402.3766230000001</v>
      </c>
      <c r="Y36" s="76">
        <f ca="1">IF(ISERROR(VLOOKUP($K36,OFFSET(INDIRECT(""&amp;$S$29&amp;"!$A$4"),0,0,200,100),MATCH(Y$30,INDIRECT(""&amp;$S$29&amp;"!$A$4"):INDIRECT(""&amp;$S$29&amp;"!$AA$4"),0),FALSE)),"",VLOOKUP($K36,OFFSET(INDIRECT(""&amp;$S$29&amp;"!$A$4"),0,0,200,100),MATCH(Y$30,INDIRECT(""&amp;$S$29&amp;"!$A$4"):INDIRECT(""&amp;$S$29&amp;"!$AA$4"),0),FALSE))</f>
        <v>-4120.3766230000001</v>
      </c>
      <c r="Z36" s="76">
        <f ca="1">IF(ISERROR(VLOOKUP($K36,OFFSET(INDIRECT(""&amp;$S$29&amp;"!$A$4"),0,0,200,100),MATCH(Z$30,INDIRECT(""&amp;$S$29&amp;"!$A$4"):INDIRECT(""&amp;$S$29&amp;"!$AA$4"),0),FALSE)),"",VLOOKUP($K36,OFFSET(INDIRECT(""&amp;$S$29&amp;"!$A$4"),0,0,200,100),MATCH(Z$30,INDIRECT(""&amp;$S$29&amp;"!$A$4"):INDIRECT(""&amp;$S$29&amp;"!$AA$4"),0),FALSE))</f>
        <v>-3340.3766230000001</v>
      </c>
      <c r="AA36" s="76">
        <f t="shared" ca="1" si="61"/>
        <v>-4120.3766230000001</v>
      </c>
      <c r="AB36" s="110"/>
      <c r="AC36" s="87">
        <f t="shared" ca="1" si="48"/>
        <v>-1.0123003416146663E-3</v>
      </c>
      <c r="AD36" s="87">
        <f t="shared" ca="1" si="49"/>
        <v>-6.7758907733103787E-4</v>
      </c>
      <c r="AE36" s="87">
        <f t="shared" ca="1" si="50"/>
        <v>-1.3614325654746738E-2</v>
      </c>
      <c r="AF36" s="87">
        <f t="shared" ca="1" si="51"/>
        <v>-9.8835649608870375E-3</v>
      </c>
      <c r="AG36" s="87">
        <f t="shared" ca="1" si="52"/>
        <v>-9.6897770774017154E-3</v>
      </c>
      <c r="AH36" s="87">
        <f t="shared" ca="1" si="52"/>
        <v>-9.6897770774017154E-3</v>
      </c>
      <c r="AI36" s="145"/>
      <c r="AJ36" s="87">
        <f t="shared" ca="1" si="53"/>
        <v>0</v>
      </c>
      <c r="AK36" s="87">
        <f t="shared" ca="1" si="54"/>
        <v>-6.5701544998130021E-4</v>
      </c>
      <c r="AL36" s="87">
        <f t="shared" ca="1" si="55"/>
        <v>-2.9316704162450761E-3</v>
      </c>
      <c r="AM36" s="87">
        <f t="shared" ca="1" si="56"/>
        <v>-3.0523062057459705E-3</v>
      </c>
      <c r="AN36" s="87">
        <f t="shared" ca="1" si="57"/>
        <v>-3.0096943264491909E-3</v>
      </c>
      <c r="AO36" s="87">
        <f t="shared" ca="1" si="58"/>
        <v>-1.3698465500284345E-2</v>
      </c>
      <c r="AP36" s="87">
        <f t="shared" ca="1" si="58"/>
        <v>-1.2088570954504396E-2</v>
      </c>
      <c r="AQ36" s="87">
        <f t="shared" ca="1" si="58"/>
        <v>-1.2342526567128417E-2</v>
      </c>
      <c r="AR36" s="87">
        <f t="shared" ca="1" si="58"/>
        <v>-1.0150088831352447E-2</v>
      </c>
      <c r="AS36" s="87">
        <f t="shared" ca="1" si="58"/>
        <v>-9.2274484992719615E-3</v>
      </c>
      <c r="AT36" s="87">
        <f t="shared" ca="1" si="59"/>
        <v>-1.2182308427366072E-2</v>
      </c>
      <c r="AU36" s="87">
        <f t="shared" ca="1" si="59"/>
        <v>-9.9187184730006577E-3</v>
      </c>
      <c r="AV36" s="87">
        <f t="shared" ca="1" si="60"/>
        <v>-1.2182308427366072E-2</v>
      </c>
    </row>
    <row r="37" spans="1:48" s="108" customFormat="1" ht="15.95" customHeight="1">
      <c r="A37" s="85" t="s">
        <v>237</v>
      </c>
      <c r="B37" s="116" t="s">
        <v>121</v>
      </c>
      <c r="C37" s="76">
        <f ca="1">IF(ISERROR(VLOOKUP($B37,OFFSET(INDIRECT(""&amp;$B$29&amp;"!$A$4"),0,0,200,100),MATCH(C$30,INDIRECT(""&amp;$B$29&amp;"!$A$4"):INDIRECT(""&amp;$B$29&amp;"!$o$4"),0),FALSE)),"",VLOOKUP($B37,OFFSET(INDIRECT(""&amp;$B$29&amp;"!$A$4"),0,0,200,100),MATCH(C$30,INDIRECT(""&amp;$B$29&amp;"!$A$4"):INDIRECT(""&amp;$B$29&amp;"!$o$4"),0),FALSE))</f>
        <v>21729.315476</v>
      </c>
      <c r="D37" s="76">
        <f ca="1">IF(ISERROR(VLOOKUP($B37,OFFSET(INDIRECT(""&amp;$B$29&amp;"!$A$4"),0,0,200,100),MATCH(D$30,INDIRECT(""&amp;$B$29&amp;"!$A$4"):INDIRECT(""&amp;$B$29&amp;"!$o$4"),0),FALSE)),"",VLOOKUP($B37,OFFSET(INDIRECT(""&amp;$B$29&amp;"!$A$4"),0,0,200,100),MATCH(D$30,INDIRECT(""&amp;$B$29&amp;"!$A$4"):INDIRECT(""&amp;$B$29&amp;"!$o$4"),0),FALSE))</f>
        <v>27155.795999999998</v>
      </c>
      <c r="E37" s="76">
        <f ca="1">IF(ISERROR(VLOOKUP($B37,OFFSET(INDIRECT(""&amp;$B$29&amp;"!$A$4"),0,0,200,100),MATCH(E$30,INDIRECT(""&amp;$B$29&amp;"!$A$4"):INDIRECT(""&amp;$B$29&amp;"!$o$4"),0),FALSE)),"",VLOOKUP($B37,OFFSET(INDIRECT(""&amp;$B$29&amp;"!$A$4"),0,0,200,100),MATCH(E$30,INDIRECT(""&amp;$B$29&amp;"!$A$4"):INDIRECT(""&amp;$B$29&amp;"!$o$4"),0),FALSE))</f>
        <v>32815.562960000003</v>
      </c>
      <c r="F37" s="76">
        <f ca="1">IF(ISERROR(VLOOKUP($B37,OFFSET(INDIRECT(""&amp;$B$29&amp;"!$A$4"),0,0,200,100),MATCH(F$30,INDIRECT(""&amp;$B$29&amp;"!$A$4"):INDIRECT(""&amp;$B$29&amp;"!$o$4"),0),FALSE)),"",VLOOKUP($B37,OFFSET(INDIRECT(""&amp;$B$29&amp;"!$A$4"),0,0,200,100),MATCH(F$30,INDIRECT(""&amp;$B$29&amp;"!$A$4"):INDIRECT(""&amp;$B$29&amp;"!$o$4"),0),FALSE))</f>
        <v>29743.365677000002</v>
      </c>
      <c r="G37" s="76">
        <f ca="1">IF(ISERROR(VLOOKUP($B37,OFFSET(INDIRECT(""&amp;$B$29&amp;"!$A$4"),0,0,200,100),MATCH(G$30,INDIRECT(""&amp;$B$29&amp;"!$A$4"):INDIRECT(""&amp;$B$29&amp;"!$o$4"),0),FALSE)),"",VLOOKUP($B37,OFFSET(INDIRECT(""&amp;$B$29&amp;"!$A$4"),0,0,200,100),MATCH(G$30,INDIRECT(""&amp;$B$29&amp;"!$A$4"):INDIRECT(""&amp;$B$29&amp;"!$o$4"),0),FALSE))</f>
        <v>36962.891757999998</v>
      </c>
      <c r="H37" s="76">
        <f ca="1">IF(ISERROR(VLOOKUP($B37,OFFSET(INDIRECT(""&amp;$B$29&amp;"!$A$4"),0,0,200,100),MATCH(H$30,INDIRECT(""&amp;$B$29&amp;"!$A$4"):INDIRECT(""&amp;$B$29&amp;"!$o$4"),0),FALSE)),"",VLOOKUP($B37,OFFSET(INDIRECT(""&amp;$B$29&amp;"!$A$4"),0,0,200,100),MATCH(H$30,INDIRECT(""&amp;$B$29&amp;"!$A$4"):INDIRECT(""&amp;$B$29&amp;"!$o$4"),0),FALSE))</f>
        <v>41603.863453999998</v>
      </c>
      <c r="I37" s="76">
        <f ca="1">IF(ISERROR(VLOOKUP($B37,OFFSET(INDIRECT(""&amp;$B$29&amp;"!$A$4"),0,0,200,100),MATCH(I$30,INDIRECT(""&amp;$B$29&amp;"!$A$4"):INDIRECT(""&amp;$B$29&amp;"!$o$4"),0),FALSE)),"",VLOOKUP($B37,OFFSET(INDIRECT(""&amp;$B$29&amp;"!$A$4"),0,0,200,100),MATCH(I$30,INDIRECT(""&amp;$B$29&amp;"!$A$4"):INDIRECT(""&amp;$B$29&amp;"!$o$4"),0),FALSE))</f>
        <v>47635.269694000002</v>
      </c>
      <c r="J37" s="76">
        <f ca="1">IF(ISERROR(VLOOKUP($B37,OFFSET(INDIRECT(""&amp;$B$29&amp;"!$A$4"),0,0,200,100),MATCH(J$30,INDIRECT(""&amp;$B$29&amp;"!$A$4"):INDIRECT(""&amp;$B$29&amp;"!$o$4"),0),FALSE)),"",VLOOKUP($B37,OFFSET(INDIRECT(""&amp;$B$29&amp;"!$A$4"),0,0,200,100),MATCH(J$30,INDIRECT(""&amp;$B$29&amp;"!$A$4"):INDIRECT(""&amp;$B$29&amp;"!$o$4"),0),FALSE))</f>
        <v>47635.269694000002</v>
      </c>
      <c r="K37" s="109" t="s">
        <v>121</v>
      </c>
      <c r="L37" s="76">
        <f ca="1">IF(ISERROR(VLOOKUP($K37,OFFSET(INDIRECT(""&amp;$S$29&amp;"!$A$4"),0,0,200,100),MATCH(L$30,INDIRECT(""&amp;$S$29&amp;"!$A$4"):INDIRECT(""&amp;$S$29&amp;"!$AA$4"),0),FALSE)),"",VLOOKUP($K37,OFFSET(INDIRECT(""&amp;$S$29&amp;"!$A$4"),0,0,200,100),MATCH(L$30,INDIRECT(""&amp;$S$29&amp;"!$A$4"):INDIRECT(""&amp;$S$29&amp;"!$AA$4"),0),FALSE))</f>
        <v>36013.415495000001</v>
      </c>
      <c r="M37" s="76">
        <f ca="1">IF(ISERROR(VLOOKUP($K37,OFFSET(INDIRECT(""&amp;$S$29&amp;"!$A$4"),0,0,200,100),MATCH(M$30,INDIRECT(""&amp;$S$29&amp;"!$A$4"):INDIRECT(""&amp;$S$29&amp;"!$AA$4"),0),FALSE)),"",VLOOKUP($K37,OFFSET(INDIRECT(""&amp;$S$29&amp;"!$A$4"),0,0,200,100),MATCH(M$30,INDIRECT(""&amp;$S$29&amp;"!$A$4"):INDIRECT(""&amp;$S$29&amp;"!$AA$4"),0),FALSE))</f>
        <v>33062.171987000002</v>
      </c>
      <c r="N37" s="76">
        <f ca="1">IF(ISERROR(VLOOKUP($K37,OFFSET(INDIRECT(""&amp;$S$29&amp;"!$A$4"),0,0,200,100),MATCH(N$30,INDIRECT(""&amp;$S$29&amp;"!$A$4"):INDIRECT(""&amp;$S$29&amp;"!$AA$4"),0),FALSE)),"",VLOOKUP($K37,OFFSET(INDIRECT(""&amp;$S$29&amp;"!$A$4"),0,0,200,100),MATCH(N$30,INDIRECT(""&amp;$S$29&amp;"!$A$4"):INDIRECT(""&amp;$S$29&amp;"!$AA$4"),0),FALSE))</f>
        <v>28853.464689</v>
      </c>
      <c r="O37" s="76">
        <f ca="1">IF(ISERROR(VLOOKUP($K37,OFFSET(INDIRECT(""&amp;$S$29&amp;"!$A$4"),0,0,200,100),MATCH(O$30,INDIRECT(""&amp;$S$29&amp;"!$A$4"):INDIRECT(""&amp;$S$29&amp;"!$AA$4"),0),FALSE)),"",VLOOKUP($K37,OFFSET(INDIRECT(""&amp;$S$29&amp;"!$A$4"),0,0,200,100),MATCH(O$30,INDIRECT(""&amp;$S$29&amp;"!$A$4"):INDIRECT(""&amp;$S$29&amp;"!$AA$4"),0),FALSE))</f>
        <v>46793.558283999999</v>
      </c>
      <c r="P37" s="76">
        <f ca="1">IF(ISERROR(VLOOKUP($K37,OFFSET(INDIRECT(""&amp;$S$29&amp;"!$A$4"),0,0,200,100),MATCH(P$30,INDIRECT(""&amp;$S$29&amp;"!$A$4"):INDIRECT(""&amp;$S$29&amp;"!$AA$4"),0),FALSE)),"",VLOOKUP($K37,OFFSET(INDIRECT(""&amp;$S$29&amp;"!$A$4"),0,0,200,100),MATCH(P$30,INDIRECT(""&amp;$S$29&amp;"!$A$4"):INDIRECT(""&amp;$S$29&amp;"!$AA$4"),0),FALSE))</f>
        <v>34783.006535</v>
      </c>
      <c r="Q37" s="76">
        <f ca="1">IF(ISERROR(VLOOKUP($K37,OFFSET(INDIRECT(""&amp;$S$29&amp;"!$A$4"),0,0,200,100),MATCH(Q$30,INDIRECT(""&amp;$S$29&amp;"!$A$4"):INDIRECT(""&amp;$S$29&amp;"!$AA$4"),0),FALSE)),"",VLOOKUP($K37,OFFSET(INDIRECT(""&amp;$S$29&amp;"!$A$4"),0,0,200,100),MATCH(Q$30,INDIRECT(""&amp;$S$29&amp;"!$A$4"):INDIRECT(""&amp;$S$29&amp;"!$AA$4"),0),FALSE))</f>
        <v>36588.398147</v>
      </c>
      <c r="R37" s="76">
        <f ca="1">IF(ISERROR(VLOOKUP($K37,OFFSET(INDIRECT(""&amp;$S$29&amp;"!$A$4"),0,0,200,100),MATCH(R$30,INDIRECT(""&amp;$S$29&amp;"!$A$4"):INDIRECT(""&amp;$S$29&amp;"!$AA$4"),0),FALSE)),"",VLOOKUP($K37,OFFSET(INDIRECT(""&amp;$S$29&amp;"!$A$4"),0,0,200,100),MATCH(R$30,INDIRECT(""&amp;$S$29&amp;"!$A$4"):INDIRECT(""&amp;$S$29&amp;"!$AA$4"),0),FALSE))</f>
        <v>36727.030602999999</v>
      </c>
      <c r="S37" s="76">
        <f ca="1">IF(ISERROR(VLOOKUP($K37,OFFSET(INDIRECT(""&amp;$S$29&amp;"!$A$4"),0,0,200,100),MATCH(S$30,INDIRECT(""&amp;$S$29&amp;"!$A$4"):INDIRECT(""&amp;$S$29&amp;"!$AA$4"),0),FALSE)),"",VLOOKUP($K37,OFFSET(INDIRECT(""&amp;$S$29&amp;"!$A$4"),0,0,200,100),MATCH(S$30,INDIRECT(""&amp;$S$29&amp;"!$A$4"):INDIRECT(""&amp;$S$29&amp;"!$AA$4"),0),FALSE))</f>
        <v>56385.772663999996</v>
      </c>
      <c r="T37" s="76">
        <f ca="1">IF(ISERROR(VLOOKUP($K37,OFFSET(INDIRECT(""&amp;$S$29&amp;"!$A$4"),0,0,200,100),MATCH(T$30,INDIRECT(""&amp;$S$29&amp;"!$A$4"):INDIRECT(""&amp;$S$29&amp;"!$AA$4"),0),FALSE)),"",VLOOKUP($K37,OFFSET(INDIRECT(""&amp;$S$29&amp;"!$A$4"),0,0,200,100),MATCH(T$30,INDIRECT(""&amp;$S$29&amp;"!$A$4"):INDIRECT(""&amp;$S$29&amp;"!$AA$4"),0),FALSE))</f>
        <v>47473.731508999997</v>
      </c>
      <c r="U37" s="76">
        <f ca="1">IF(ISERROR(VLOOKUP($K37,OFFSET(INDIRECT(""&amp;$S$29&amp;"!$A$4"),0,0,200,100),MATCH(U$30,INDIRECT(""&amp;$S$29&amp;"!$A$4"):INDIRECT(""&amp;$S$29&amp;"!$AA$4"),0),FALSE)),"",VLOOKUP($K37,OFFSET(INDIRECT(""&amp;$S$29&amp;"!$A$4"),0,0,200,100),MATCH(U$30,INDIRECT(""&amp;$S$29&amp;"!$A$4"):INDIRECT(""&amp;$S$29&amp;"!$AA$4"),0),FALSE))</f>
        <v>41369.181110999998</v>
      </c>
      <c r="V37" s="76">
        <f ca="1">IF(ISERROR(VLOOKUP($K37,OFFSET(INDIRECT(""&amp;$S$29&amp;"!$A$4"),0,0,200,100),MATCH(V$30,INDIRECT(""&amp;$S$29&amp;"!$A$4"):INDIRECT(""&amp;$S$29&amp;"!$AA$4"),0),FALSE)),"",VLOOKUP($K37,OFFSET(INDIRECT(""&amp;$S$29&amp;"!$A$4"),0,0,200,100),MATCH(V$30,INDIRECT(""&amp;$S$29&amp;"!$A$4"):INDIRECT(""&amp;$S$29&amp;"!$AA$4"),0),FALSE))</f>
        <v>42154.337099999997</v>
      </c>
      <c r="W37" s="76">
        <f ca="1">IF(ISERROR(VLOOKUP($K37,OFFSET(INDIRECT(""&amp;$S$29&amp;"!$A$4"),0,0,200,100),MATCH(W$30,INDIRECT(""&amp;$S$29&amp;"!$A$4"):INDIRECT(""&amp;$S$29&amp;"!$AA$4"),0),FALSE)),"",VLOOKUP($K37,OFFSET(INDIRECT(""&amp;$S$29&amp;"!$A$4"),0,0,200,100),MATCH(W$30,INDIRECT(""&amp;$S$29&amp;"!$A$4"):INDIRECT(""&amp;$S$29&amp;"!$AA$4"),0),FALSE))</f>
        <v>41532.548672999998</v>
      </c>
      <c r="X37" s="76">
        <f ca="1">IF(ISERROR(VLOOKUP($K37,OFFSET(INDIRECT(""&amp;$S$29&amp;"!$A$4"),0,0,200,100),MATCH(X$30,INDIRECT(""&amp;$S$29&amp;"!$A$4"):INDIRECT(""&amp;$S$29&amp;"!$AA$4"),0),FALSE)),"",VLOOKUP($K37,OFFSET(INDIRECT(""&amp;$S$29&amp;"!$A$4"),0,0,200,100),MATCH(X$30,INDIRECT(""&amp;$S$29&amp;"!$A$4"):INDIRECT(""&amp;$S$29&amp;"!$AA$4"),0),FALSE))</f>
        <v>49813.873892000003</v>
      </c>
      <c r="Y37" s="76">
        <f ca="1">IF(ISERROR(VLOOKUP($K37,OFFSET(INDIRECT(""&amp;$S$29&amp;"!$A$4"),0,0,200,100),MATCH(Y$30,INDIRECT(""&amp;$S$29&amp;"!$A$4"):INDIRECT(""&amp;$S$29&amp;"!$AA$4"),0),FALSE)),"",VLOOKUP($K37,OFFSET(INDIRECT(""&amp;$S$29&amp;"!$A$4"),0,0,200,100),MATCH(Y$30,INDIRECT(""&amp;$S$29&amp;"!$A$4"):INDIRECT(""&amp;$S$29&amp;"!$AA$4"),0),FALSE))</f>
        <v>53560.820502000002</v>
      </c>
      <c r="Z37" s="76">
        <f ca="1">IF(ISERROR(VLOOKUP($K37,OFFSET(INDIRECT(""&amp;$S$29&amp;"!$A$4"),0,0,200,100),MATCH(Z$30,INDIRECT(""&amp;$S$29&amp;"!$A$4"):INDIRECT(""&amp;$S$29&amp;"!$AA$4"),0),FALSE)),"",VLOOKUP($K37,OFFSET(INDIRECT(""&amp;$S$29&amp;"!$A$4"),0,0,200,100),MATCH(Z$30,INDIRECT(""&amp;$S$29&amp;"!$A$4"):INDIRECT(""&amp;$S$29&amp;"!$AA$4"),0),FALSE))</f>
        <v>51087.022666999997</v>
      </c>
      <c r="AA37" s="76">
        <f t="shared" ca="1" si="61"/>
        <v>53560.820502000002</v>
      </c>
      <c r="AB37" s="110"/>
      <c r="AC37" s="87">
        <f t="shared" ca="1" si="48"/>
        <v>9.4072086639817601E-2</v>
      </c>
      <c r="AD37" s="87">
        <f t="shared" ca="1" si="49"/>
        <v>7.8879764014865322E-2</v>
      </c>
      <c r="AE37" s="87">
        <f t="shared" ca="1" si="50"/>
        <v>9.6851739299186029E-2</v>
      </c>
      <c r="AF37" s="87">
        <f t="shared" ca="1" si="51"/>
        <v>0.11361203416756631</v>
      </c>
      <c r="AG37" s="87">
        <f t="shared" ca="1" si="52"/>
        <v>0.13977059465054537</v>
      </c>
      <c r="AH37" s="87">
        <f t="shared" ca="1" si="52"/>
        <v>0.13977059465054537</v>
      </c>
      <c r="AI37" s="144"/>
      <c r="AJ37" s="87">
        <f t="shared" ca="1" si="53"/>
        <v>0.11943393585887448</v>
      </c>
      <c r="AK37" s="87">
        <f t="shared" ca="1" si="54"/>
        <v>8.9444120118573514E-2</v>
      </c>
      <c r="AL37" s="87">
        <f t="shared" ca="1" si="55"/>
        <v>8.8433261408430733E-2</v>
      </c>
      <c r="AM37" s="87">
        <f t="shared" ca="1" si="56"/>
        <v>9.2421075417914236E-2</v>
      </c>
      <c r="AN37" s="87">
        <f t="shared" ca="1" si="57"/>
        <v>0.13991008704340219</v>
      </c>
      <c r="AO37" s="87">
        <f t="shared" ca="1" si="58"/>
        <v>0.12516146523578839</v>
      </c>
      <c r="AP37" s="87">
        <f t="shared" ca="1" si="58"/>
        <v>0.11223398137742585</v>
      </c>
      <c r="AQ37" s="87">
        <f t="shared" ca="1" si="58"/>
        <v>0.11676664875356613</v>
      </c>
      <c r="AR37" s="87">
        <f t="shared" ca="1" si="58"/>
        <v>0.11321979748026939</v>
      </c>
      <c r="AS37" s="87">
        <f t="shared" ca="1" si="58"/>
        <v>0.13509819952923482</v>
      </c>
      <c r="AT37" s="87">
        <f t="shared" ca="1" si="59"/>
        <v>0.1583579596427965</v>
      </c>
      <c r="AU37" s="87">
        <f t="shared" ca="1" si="59"/>
        <v>0.15169480949207811</v>
      </c>
      <c r="AV37" s="87">
        <f t="shared" ca="1" si="60"/>
        <v>0.1583579596427965</v>
      </c>
    </row>
    <row r="38" spans="1:48" s="108" customFormat="1" ht="15.95" customHeight="1">
      <c r="A38" s="113" t="s">
        <v>238</v>
      </c>
      <c r="B38" s="111" t="s">
        <v>122</v>
      </c>
      <c r="C38" s="90">
        <f ca="1">IF(ISERROR(VLOOKUP($B38,OFFSET(INDIRECT(""&amp;$B$29&amp;"!$A$4"),0,0,200,100),MATCH(C$30,INDIRECT(""&amp;$B$29&amp;"!$A$4"):INDIRECT(""&amp;$B$29&amp;"!$o$4"),0),FALSE)),"",VLOOKUP($B38,OFFSET(INDIRECT(""&amp;$B$29&amp;"!$A$4"),0,0,200,100),MATCH(C$30,INDIRECT(""&amp;$B$29&amp;"!$A$4"):INDIRECT(""&amp;$B$29&amp;"!$o$4"),0),FALSE))</f>
        <v>6971.1559980000002</v>
      </c>
      <c r="D38" s="90">
        <f ca="1">IF(ISERROR(VLOOKUP($B38,OFFSET(INDIRECT(""&amp;$B$29&amp;"!$A$4"),0,0,200,100),MATCH(D$30,INDIRECT(""&amp;$B$29&amp;"!$A$4"):INDIRECT(""&amp;$B$29&amp;"!$o$4"),0),FALSE)),"",VLOOKUP($B38,OFFSET(INDIRECT(""&amp;$B$29&amp;"!$A$4"),0,0,200,100),MATCH(D$30,INDIRECT(""&amp;$B$29&amp;"!$A$4"):INDIRECT(""&amp;$B$29&amp;"!$o$4"),0),FALSE))</f>
        <v>10477.452374</v>
      </c>
      <c r="E38" s="90">
        <f ca="1">IF(ISERROR(VLOOKUP($B38,OFFSET(INDIRECT(""&amp;$B$29&amp;"!$A$4"),0,0,200,100),MATCH(E$30,INDIRECT(""&amp;$B$29&amp;"!$A$4"):INDIRECT(""&amp;$B$29&amp;"!$o$4"),0),FALSE)),"",VLOOKUP($B38,OFFSET(INDIRECT(""&amp;$B$29&amp;"!$A$4"),0,0,200,100),MATCH(E$30,INDIRECT(""&amp;$B$29&amp;"!$A$4"):INDIRECT(""&amp;$B$29&amp;"!$o$4"),0),FALSE))</f>
        <v>11846.564186</v>
      </c>
      <c r="F38" s="90">
        <f ca="1">IF(ISERROR(VLOOKUP($B38,OFFSET(INDIRECT(""&amp;$B$29&amp;"!$A$4"),0,0,200,100),MATCH(F$30,INDIRECT(""&amp;$B$29&amp;"!$A$4"):INDIRECT(""&amp;$B$29&amp;"!$o$4"),0),FALSE)),"",VLOOKUP($B38,OFFSET(INDIRECT(""&amp;$B$29&amp;"!$A$4"),0,0,200,100),MATCH(F$30,INDIRECT(""&amp;$B$29&amp;"!$A$4"):INDIRECT(""&amp;$B$29&amp;"!$o$4"),0),FALSE))</f>
        <v>17647.565831</v>
      </c>
      <c r="G38" s="90">
        <f ca="1">IF(ISERROR(VLOOKUP($B38,OFFSET(INDIRECT(""&amp;$B$29&amp;"!$A$4"),0,0,200,100),MATCH(G$30,INDIRECT(""&amp;$B$29&amp;"!$A$4"):INDIRECT(""&amp;$B$29&amp;"!$o$4"),0),FALSE)),"",VLOOKUP($B38,OFFSET(INDIRECT(""&amp;$B$29&amp;"!$A$4"),0,0,200,100),MATCH(G$30,INDIRECT(""&amp;$B$29&amp;"!$A$4"):INDIRECT(""&amp;$B$29&amp;"!$o$4"),0),FALSE))</f>
        <v>18176.178513999999</v>
      </c>
      <c r="H38" s="90">
        <f ca="1">IF(ISERROR(VLOOKUP($B38,OFFSET(INDIRECT(""&amp;$B$29&amp;"!$A$4"),0,0,200,100),MATCH(H$30,INDIRECT(""&amp;$B$29&amp;"!$A$4"):INDIRECT(""&amp;$B$29&amp;"!$o$4"),0),FALSE)),"",VLOOKUP($B38,OFFSET(INDIRECT(""&amp;$B$29&amp;"!$A$4"),0,0,200,100),MATCH(H$30,INDIRECT(""&amp;$B$29&amp;"!$A$4"):INDIRECT(""&amp;$B$29&amp;"!$o$4"),0),FALSE))</f>
        <v>20158.676141</v>
      </c>
      <c r="I38" s="90">
        <f ca="1">IF(ISERROR(VLOOKUP($B38,OFFSET(INDIRECT(""&amp;$B$29&amp;"!$A$4"),0,0,200,100),MATCH(I$30,INDIRECT(""&amp;$B$29&amp;"!$A$4"):INDIRECT(""&amp;$B$29&amp;"!$o$4"),0),FALSE)),"",VLOOKUP($B38,OFFSET(INDIRECT(""&amp;$B$29&amp;"!$A$4"),0,0,200,100),MATCH(I$30,INDIRECT(""&amp;$B$29&amp;"!$A$4"):INDIRECT(""&amp;$B$29&amp;"!$o$4"),0),FALSE))</f>
        <v>24635.600811</v>
      </c>
      <c r="J38" s="90">
        <f ca="1">IF(ISERROR(VLOOKUP($B38,OFFSET(INDIRECT(""&amp;$B$29&amp;"!$A$4"),0,0,200,100),MATCH(J$30,INDIRECT(""&amp;$B$29&amp;"!$A$4"):INDIRECT(""&amp;$B$29&amp;"!$o$4"),0),FALSE)),"",VLOOKUP($B38,OFFSET(INDIRECT(""&amp;$B$29&amp;"!$A$4"),0,0,200,100),MATCH(J$30,INDIRECT(""&amp;$B$29&amp;"!$A$4"):INDIRECT(""&amp;$B$29&amp;"!$o$4"),0),FALSE))</f>
        <v>24635.600811</v>
      </c>
      <c r="K38" s="109" t="s">
        <v>122</v>
      </c>
      <c r="L38" s="90">
        <f ca="1">IF(ISERROR(VLOOKUP($K38,OFFSET(INDIRECT(""&amp;$S$29&amp;"!$A$4"),0,0,200,100),MATCH(L$30,INDIRECT(""&amp;$S$29&amp;"!$A$4"):INDIRECT(""&amp;$S$29&amp;"!$AA$4"),0),FALSE)),"",VLOOKUP($K38,OFFSET(INDIRECT(""&amp;$S$29&amp;"!$A$4"),0,0,200,100),MATCH(L$30,INDIRECT(""&amp;$S$29&amp;"!$A$4"):INDIRECT(""&amp;$S$29&amp;"!$AA$4"),0),FALSE))</f>
        <v>14824.339362999999</v>
      </c>
      <c r="M38" s="90">
        <f ca="1">IF(ISERROR(VLOOKUP($K38,OFFSET(INDIRECT(""&amp;$S$29&amp;"!$A$4"),0,0,200,100),MATCH(M$30,INDIRECT(""&amp;$S$29&amp;"!$A$4"):INDIRECT(""&amp;$S$29&amp;"!$AA$4"),0),FALSE)),"",VLOOKUP($K38,OFFSET(INDIRECT(""&amp;$S$29&amp;"!$A$4"),0,0,200,100),MATCH(M$30,INDIRECT(""&amp;$S$29&amp;"!$A$4"):INDIRECT(""&amp;$S$29&amp;"!$AA$4"),0),FALSE))</f>
        <v>20340.388714000001</v>
      </c>
      <c r="N38" s="90">
        <f ca="1">IF(ISERROR(VLOOKUP($K38,OFFSET(INDIRECT(""&amp;$S$29&amp;"!$A$4"),0,0,200,100),MATCH(N$30,INDIRECT(""&amp;$S$29&amp;"!$A$4"):INDIRECT(""&amp;$S$29&amp;"!$AA$4"),0),FALSE)),"",VLOOKUP($K38,OFFSET(INDIRECT(""&amp;$S$29&amp;"!$A$4"),0,0,200,100),MATCH(N$30,INDIRECT(""&amp;$S$29&amp;"!$A$4"):INDIRECT(""&amp;$S$29&amp;"!$AA$4"),0),FALSE))</f>
        <v>16630.779595</v>
      </c>
      <c r="O38" s="90">
        <f ca="1">IF(ISERROR(VLOOKUP($K38,OFFSET(INDIRECT(""&amp;$S$29&amp;"!$A$4"),0,0,200,100),MATCH(O$30,INDIRECT(""&amp;$S$29&amp;"!$A$4"):INDIRECT(""&amp;$S$29&amp;"!$AA$4"),0),FALSE)),"",VLOOKUP($K38,OFFSET(INDIRECT(""&amp;$S$29&amp;"!$A$4"),0,0,200,100),MATCH(O$30,INDIRECT(""&amp;$S$29&amp;"!$A$4"):INDIRECT(""&amp;$S$29&amp;"!$AA$4"),0),FALSE))</f>
        <v>17647.565831</v>
      </c>
      <c r="P38" s="90">
        <f ca="1">IF(ISERROR(VLOOKUP($K38,OFFSET(INDIRECT(""&amp;$S$29&amp;"!$A$4"),0,0,200,100),MATCH(P$30,INDIRECT(""&amp;$S$29&amp;"!$A$4"):INDIRECT(""&amp;$S$29&amp;"!$AA$4"),0),FALSE)),"",VLOOKUP($K38,OFFSET(INDIRECT(""&amp;$S$29&amp;"!$A$4"),0,0,200,100),MATCH(P$30,INDIRECT(""&amp;$S$29&amp;"!$A$4"):INDIRECT(""&amp;$S$29&amp;"!$AA$4"),0),FALSE))</f>
        <v>27296.605866999998</v>
      </c>
      <c r="Q38" s="90">
        <f ca="1">IF(ISERROR(VLOOKUP($K38,OFFSET(INDIRECT(""&amp;$S$29&amp;"!$A$4"),0,0,200,100),MATCH(Q$30,INDIRECT(""&amp;$S$29&amp;"!$A$4"):INDIRECT(""&amp;$S$29&amp;"!$AA$4"),0),FALSE)),"",VLOOKUP($K38,OFFSET(INDIRECT(""&amp;$S$29&amp;"!$A$4"),0,0,200,100),MATCH(Q$30,INDIRECT(""&amp;$S$29&amp;"!$A$4"):INDIRECT(""&amp;$S$29&amp;"!$AA$4"),0),FALSE))</f>
        <v>20587.416421000002</v>
      </c>
      <c r="R38" s="90">
        <f ca="1">IF(ISERROR(VLOOKUP($K38,OFFSET(INDIRECT(""&amp;$S$29&amp;"!$A$4"),0,0,200,100),MATCH(R$30,INDIRECT(""&amp;$S$29&amp;"!$A$4"):INDIRECT(""&amp;$S$29&amp;"!$AA$4"),0),FALSE)),"",VLOOKUP($K38,OFFSET(INDIRECT(""&amp;$S$29&amp;"!$A$4"),0,0,200,100),MATCH(R$30,INDIRECT(""&amp;$S$29&amp;"!$A$4"):INDIRECT(""&amp;$S$29&amp;"!$AA$4"),0),FALSE))</f>
        <v>23014.873548</v>
      </c>
      <c r="S38" s="90">
        <f ca="1">IF(ISERROR(VLOOKUP($K38,OFFSET(INDIRECT(""&amp;$S$29&amp;"!$A$4"),0,0,200,100),MATCH(S$30,INDIRECT(""&amp;$S$29&amp;"!$A$4"):INDIRECT(""&amp;$S$29&amp;"!$AA$4"),0),FALSE)),"",VLOOKUP($K38,OFFSET(INDIRECT(""&amp;$S$29&amp;"!$A$4"),0,0,200,100),MATCH(S$30,INDIRECT(""&amp;$S$29&amp;"!$A$4"):INDIRECT(""&amp;$S$29&amp;"!$AA$4"),0),FALSE))</f>
        <v>18205.359715999999</v>
      </c>
      <c r="T38" s="90">
        <f ca="1">IF(ISERROR(VLOOKUP($K38,OFFSET(INDIRECT(""&amp;$S$29&amp;"!$A$4"),0,0,200,100),MATCH(T$30,INDIRECT(""&amp;$S$29&amp;"!$A$4"):INDIRECT(""&amp;$S$29&amp;"!$AA$4"),0),FALSE)),"",VLOOKUP($K38,OFFSET(INDIRECT(""&amp;$S$29&amp;"!$A$4"),0,0,200,100),MATCH(T$30,INDIRECT(""&amp;$S$29&amp;"!$A$4"):INDIRECT(""&amp;$S$29&amp;"!$AA$4"),0),FALSE))</f>
        <v>24087.972005</v>
      </c>
      <c r="U38" s="90">
        <f ca="1">IF(ISERROR(VLOOKUP($K38,OFFSET(INDIRECT(""&amp;$S$29&amp;"!$A$4"),0,0,200,100),MATCH(U$30,INDIRECT(""&amp;$S$29&amp;"!$A$4"):INDIRECT(""&amp;$S$29&amp;"!$AA$4"),0),FALSE)),"",VLOOKUP($K38,OFFSET(INDIRECT(""&amp;$S$29&amp;"!$A$4"),0,0,200,100),MATCH(U$30,INDIRECT(""&amp;$S$29&amp;"!$A$4"):INDIRECT(""&amp;$S$29&amp;"!$AA$4"),0),FALSE))</f>
        <v>23006.779639</v>
      </c>
      <c r="V38" s="90">
        <f ca="1">IF(ISERROR(VLOOKUP($K38,OFFSET(INDIRECT(""&amp;$S$29&amp;"!$A$4"),0,0,200,100),MATCH(V$30,INDIRECT(""&amp;$S$29&amp;"!$A$4"):INDIRECT(""&amp;$S$29&amp;"!$AA$4"),0),FALSE)),"",VLOOKUP($K38,OFFSET(INDIRECT(""&amp;$S$29&amp;"!$A$4"),0,0,200,100),MATCH(V$30,INDIRECT(""&amp;$S$29&amp;"!$A$4"):INDIRECT(""&amp;$S$29&amp;"!$AA$4"),0),FALSE))</f>
        <v>21438.22609</v>
      </c>
      <c r="W38" s="90">
        <f ca="1">IF(ISERROR(VLOOKUP($K38,OFFSET(INDIRECT(""&amp;$S$29&amp;"!$A$4"),0,0,200,100),MATCH(W$30,INDIRECT(""&amp;$S$29&amp;"!$A$4"):INDIRECT(""&amp;$S$29&amp;"!$AA$4"),0),FALSE)),"",VLOOKUP($K38,OFFSET(INDIRECT(""&amp;$S$29&amp;"!$A$4"),0,0,200,100),MATCH(W$30,INDIRECT(""&amp;$S$29&amp;"!$A$4"):INDIRECT(""&amp;$S$29&amp;"!$AA$4"),0),FALSE))</f>
        <v>20158.676141</v>
      </c>
      <c r="X38" s="90">
        <f ca="1">IF(ISERROR(VLOOKUP($K38,OFFSET(INDIRECT(""&amp;$S$29&amp;"!$A$4"),0,0,200,100),MATCH(X$30,INDIRECT(""&amp;$S$29&amp;"!$A$4"):INDIRECT(""&amp;$S$29&amp;"!$AA$4"),0),FALSE)),"",VLOOKUP($K38,OFFSET(INDIRECT(""&amp;$S$29&amp;"!$A$4"),0,0,200,100),MATCH(X$30,INDIRECT(""&amp;$S$29&amp;"!$A$4"):INDIRECT(""&amp;$S$29&amp;"!$AA$4"),0),FALSE))</f>
        <v>25779.896604000001</v>
      </c>
      <c r="Y38" s="90">
        <f ca="1">IF(ISERROR(VLOOKUP($K38,OFFSET(INDIRECT(""&amp;$S$29&amp;"!$A$4"),0,0,200,100),MATCH(Y$30,INDIRECT(""&amp;$S$29&amp;"!$A$4"):INDIRECT(""&amp;$S$29&amp;"!$AA$4"),0),FALSE)),"",VLOOKUP($K38,OFFSET(INDIRECT(""&amp;$S$29&amp;"!$A$4"),0,0,200,100),MATCH(Y$30,INDIRECT(""&amp;$S$29&amp;"!$A$4"):INDIRECT(""&amp;$S$29&amp;"!$AA$4"),0),FALSE))</f>
        <v>28087.859688</v>
      </c>
      <c r="Z38" s="90">
        <f ca="1">IF(ISERROR(VLOOKUP($K38,OFFSET(INDIRECT(""&amp;$S$29&amp;"!$A$4"),0,0,200,100),MATCH(Z$30,INDIRECT(""&amp;$S$29&amp;"!$A$4"):INDIRECT(""&amp;$S$29&amp;"!$AA$4"),0),FALSE)),"",VLOOKUP($K38,OFFSET(INDIRECT(""&amp;$S$29&amp;"!$A$4"),0,0,200,100),MATCH(Z$30,INDIRECT(""&amp;$S$29&amp;"!$A$4"):INDIRECT(""&amp;$S$29&amp;"!$AA$4"),0),FALSE))</f>
        <v>27368.515766</v>
      </c>
      <c r="AA38" s="90">
        <f t="shared" ca="1" si="61"/>
        <v>28087.859688</v>
      </c>
      <c r="AB38" s="110"/>
      <c r="AC38" s="87">
        <f t="shared" ca="1" si="48"/>
        <v>3.396044169188777E-2</v>
      </c>
      <c r="AD38" s="87">
        <f t="shared" ca="1" si="49"/>
        <v>4.6801557137244772E-2</v>
      </c>
      <c r="AE38" s="87">
        <f t="shared" ca="1" si="50"/>
        <v>4.7625995130978531E-2</v>
      </c>
      <c r="AF38" s="87">
        <f t="shared" ca="1" si="51"/>
        <v>5.5049411577760533E-2</v>
      </c>
      <c r="AG38" s="87">
        <f t="shared" ca="1" si="52"/>
        <v>7.2285359084691803E-2</v>
      </c>
      <c r="AH38" s="87">
        <f t="shared" ca="1" si="52"/>
        <v>7.2285359084691803E-2</v>
      </c>
      <c r="AI38" s="145"/>
      <c r="AJ38" s="87">
        <f t="shared" ca="1" si="53"/>
        <v>4.5042914512564557E-2</v>
      </c>
      <c r="AK38" s="87">
        <f t="shared" ca="1" si="54"/>
        <v>7.019292284410647E-2</v>
      </c>
      <c r="AL38" s="87">
        <f t="shared" ca="1" si="55"/>
        <v>4.9759280818140718E-2</v>
      </c>
      <c r="AM38" s="87">
        <f t="shared" ca="1" si="56"/>
        <v>5.7915364487422551E-2</v>
      </c>
      <c r="AN38" s="87">
        <f t="shared" ca="1" si="57"/>
        <v>4.5172981448709223E-2</v>
      </c>
      <c r="AO38" s="87">
        <f t="shared" ca="1" si="58"/>
        <v>6.3506401853683947E-2</v>
      </c>
      <c r="AP38" s="87">
        <f t="shared" ca="1" si="58"/>
        <v>6.2417055600635971E-2</v>
      </c>
      <c r="AQ38" s="87">
        <f t="shared" ca="1" si="58"/>
        <v>5.9383446353627217E-2</v>
      </c>
      <c r="AR38" s="87">
        <f t="shared" ca="1" si="58"/>
        <v>5.4953555779207568E-2</v>
      </c>
      <c r="AS38" s="87">
        <f t="shared" ca="1" si="58"/>
        <v>6.9916618466598884E-2</v>
      </c>
      <c r="AT38" s="87">
        <f t="shared" ca="1" si="59"/>
        <v>8.3044585748247551E-2</v>
      </c>
      <c r="AU38" s="87">
        <f t="shared" ca="1" si="59"/>
        <v>8.1266465894206427E-2</v>
      </c>
      <c r="AV38" s="87">
        <f t="shared" ca="1" si="60"/>
        <v>8.3044585748247551E-2</v>
      </c>
    </row>
    <row r="39" spans="1:48" s="108" customFormat="1" ht="15.95" customHeight="1">
      <c r="A39" s="113" t="s">
        <v>239</v>
      </c>
      <c r="B39" s="111" t="s">
        <v>123</v>
      </c>
      <c r="C39" s="90">
        <f ca="1">IF(ISERROR(VLOOKUP($B39,OFFSET(INDIRECT(""&amp;$B$29&amp;"!$A$4"),0,0,200,100),MATCH(C$30,INDIRECT(""&amp;$B$29&amp;"!$A$4"):INDIRECT(""&amp;$B$29&amp;"!$o$4"),0),FALSE)),"",VLOOKUP($B39,OFFSET(INDIRECT(""&amp;$B$29&amp;"!$A$4"),0,0,200,100),MATCH(C$30,INDIRECT(""&amp;$B$29&amp;"!$A$4"):INDIRECT(""&amp;$B$29&amp;"!$o$4"),0),FALSE))</f>
        <v>5370.1947049999999</v>
      </c>
      <c r="D39" s="90">
        <f ca="1">IF(ISERROR(VLOOKUP($B39,OFFSET(INDIRECT(""&amp;$B$29&amp;"!$A$4"),0,0,200,100),MATCH(D$30,INDIRECT(""&amp;$B$29&amp;"!$A$4"):INDIRECT(""&amp;$B$29&amp;"!$o$4"),0),FALSE)),"",VLOOKUP($B39,OFFSET(INDIRECT(""&amp;$B$29&amp;"!$A$4"),0,0,200,100),MATCH(D$30,INDIRECT(""&amp;$B$29&amp;"!$A$4"):INDIRECT(""&amp;$B$29&amp;"!$o$4"),0),FALSE))</f>
        <v>4923.2170050000004</v>
      </c>
      <c r="E39" s="90">
        <f ca="1">IF(ISERROR(VLOOKUP($B39,OFFSET(INDIRECT(""&amp;$B$29&amp;"!$A$4"),0,0,200,100),MATCH(E$30,INDIRECT(""&amp;$B$29&amp;"!$A$4"):INDIRECT(""&amp;$B$29&amp;"!$o$4"),0),FALSE)),"",VLOOKUP($B39,OFFSET(INDIRECT(""&amp;$B$29&amp;"!$A$4"),0,0,200,100),MATCH(E$30,INDIRECT(""&amp;$B$29&amp;"!$A$4"):INDIRECT(""&amp;$B$29&amp;"!$o$4"),0),FALSE))</f>
        <v>7568.8804229999996</v>
      </c>
      <c r="F39" s="90">
        <f ca="1">IF(ISERROR(VLOOKUP($B39,OFFSET(INDIRECT(""&amp;$B$29&amp;"!$A$4"),0,0,200,100),MATCH(F$30,INDIRECT(""&amp;$B$29&amp;"!$A$4"):INDIRECT(""&amp;$B$29&amp;"!$o$4"),0),FALSE)),"",VLOOKUP($B39,OFFSET(INDIRECT(""&amp;$B$29&amp;"!$A$4"),0,0,200,100),MATCH(F$30,INDIRECT(""&amp;$B$29&amp;"!$A$4"):INDIRECT(""&amp;$B$29&amp;"!$o$4"),0),FALSE))</f>
        <v>9190.7982539999994</v>
      </c>
      <c r="G39" s="90">
        <f ca="1">IF(ISERROR(VLOOKUP($B39,OFFSET(INDIRECT(""&amp;$B$29&amp;"!$A$4"),0,0,200,100),MATCH(G$30,INDIRECT(""&amp;$B$29&amp;"!$A$4"):INDIRECT(""&amp;$B$29&amp;"!$o$4"),0),FALSE)),"",VLOOKUP($B39,OFFSET(INDIRECT(""&amp;$B$29&amp;"!$A$4"),0,0,200,100),MATCH(G$30,INDIRECT(""&amp;$B$29&amp;"!$A$4"):INDIRECT(""&amp;$B$29&amp;"!$o$4"),0),FALSE))</f>
        <v>11308.339099000001</v>
      </c>
      <c r="H39" s="90">
        <f ca="1">IF(ISERROR(VLOOKUP($B39,OFFSET(INDIRECT(""&amp;$B$29&amp;"!$A$4"),0,0,200,100),MATCH(H$30,INDIRECT(""&amp;$B$29&amp;"!$A$4"):INDIRECT(""&amp;$B$29&amp;"!$o$4"),0),FALSE)),"",VLOOKUP($B39,OFFSET(INDIRECT(""&amp;$B$29&amp;"!$A$4"),0,0,200,100),MATCH(H$30,INDIRECT(""&amp;$B$29&amp;"!$A$4"):INDIRECT(""&amp;$B$29&amp;"!$o$4"),0),FALSE))</f>
        <v>12487.348884999999</v>
      </c>
      <c r="I39" s="90">
        <f ca="1">IF(ISERROR(VLOOKUP($B39,OFFSET(INDIRECT(""&amp;$B$29&amp;"!$A$4"),0,0,200,100),MATCH(I$30,INDIRECT(""&amp;$B$29&amp;"!$A$4"):INDIRECT(""&amp;$B$29&amp;"!$o$4"),0),FALSE)),"",VLOOKUP($B39,OFFSET(INDIRECT(""&amp;$B$29&amp;"!$A$4"),0,0,200,100),MATCH(I$30,INDIRECT(""&amp;$B$29&amp;"!$A$4"):INDIRECT(""&amp;$B$29&amp;"!$o$4"),0),FALSE))</f>
        <v>15326.281085000001</v>
      </c>
      <c r="J39" s="90">
        <f ca="1">IF(ISERROR(VLOOKUP($B39,OFFSET(INDIRECT(""&amp;$B$29&amp;"!$A$4"),0,0,200,100),MATCH(J$30,INDIRECT(""&amp;$B$29&amp;"!$A$4"):INDIRECT(""&amp;$B$29&amp;"!$o$4"),0),FALSE)),"",VLOOKUP($B39,OFFSET(INDIRECT(""&amp;$B$29&amp;"!$A$4"),0,0,200,100),MATCH(J$30,INDIRECT(""&amp;$B$29&amp;"!$A$4"):INDIRECT(""&amp;$B$29&amp;"!$o$4"),0),FALSE))</f>
        <v>15326.281085000001</v>
      </c>
      <c r="K39" s="109" t="s">
        <v>123</v>
      </c>
      <c r="L39" s="90">
        <f ca="1">IF(ISERROR(VLOOKUP($K39,OFFSET(INDIRECT(""&amp;$S$29&amp;"!$A$4"),0,0,200,100),MATCH(L$30,INDIRECT(""&amp;$S$29&amp;"!$A$4"):INDIRECT(""&amp;$S$29&amp;"!$AA$4"),0),FALSE)),"",VLOOKUP($K39,OFFSET(INDIRECT(""&amp;$S$29&amp;"!$A$4"),0,0,200,100),MATCH(L$30,INDIRECT(""&amp;$S$29&amp;"!$A$4"):INDIRECT(""&amp;$S$29&amp;"!$AA$4"),0),FALSE))</f>
        <v>7634.4913420000003</v>
      </c>
      <c r="M39" s="90">
        <f ca="1">IF(ISERROR(VLOOKUP($K39,OFFSET(INDIRECT(""&amp;$S$29&amp;"!$A$4"),0,0,200,100),MATCH(M$30,INDIRECT(""&amp;$S$29&amp;"!$A$4"):INDIRECT(""&amp;$S$29&amp;"!$AA$4"),0),FALSE)),"",VLOOKUP($K39,OFFSET(INDIRECT(""&amp;$S$29&amp;"!$A$4"),0,0,200,100),MATCH(M$30,INDIRECT(""&amp;$S$29&amp;"!$A$4"):INDIRECT(""&amp;$S$29&amp;"!$AA$4"),0),FALSE))</f>
        <v>8151.9448270000003</v>
      </c>
      <c r="N39" s="90">
        <f ca="1">IF(ISERROR(VLOOKUP($K39,OFFSET(INDIRECT(""&amp;$S$29&amp;"!$A$4"),0,0,200,100),MATCH(N$30,INDIRECT(""&amp;$S$29&amp;"!$A$4"):INDIRECT(""&amp;$S$29&amp;"!$AA$4"),0),FALSE)),"",VLOOKUP($K39,OFFSET(INDIRECT(""&amp;$S$29&amp;"!$A$4"),0,0,200,100),MATCH(N$30,INDIRECT(""&amp;$S$29&amp;"!$A$4"):INDIRECT(""&amp;$S$29&amp;"!$AA$4"),0),FALSE))</f>
        <v>9829.081021</v>
      </c>
      <c r="O39" s="90">
        <f ca="1">IF(ISERROR(VLOOKUP($K39,OFFSET(INDIRECT(""&amp;$S$29&amp;"!$A$4"),0,0,200,100),MATCH(O$30,INDIRECT(""&amp;$S$29&amp;"!$A$4"):INDIRECT(""&amp;$S$29&amp;"!$AA$4"),0),FALSE)),"",VLOOKUP($K39,OFFSET(INDIRECT(""&amp;$S$29&amp;"!$A$4"),0,0,200,100),MATCH(O$30,INDIRECT(""&amp;$S$29&amp;"!$A$4"):INDIRECT(""&amp;$S$29&amp;"!$AA$4"),0),FALSE))</f>
        <v>9190.7982539999994</v>
      </c>
      <c r="P39" s="90">
        <f ca="1">IF(ISERROR(VLOOKUP($K39,OFFSET(INDIRECT(""&amp;$S$29&amp;"!$A$4"),0,0,200,100),MATCH(P$30,INDIRECT(""&amp;$S$29&amp;"!$A$4"):INDIRECT(""&amp;$S$29&amp;"!$AA$4"),0),FALSE)),"",VLOOKUP($K39,OFFSET(INDIRECT(""&amp;$S$29&amp;"!$A$4"),0,0,200,100),MATCH(P$30,INDIRECT(""&amp;$S$29&amp;"!$A$4"):INDIRECT(""&amp;$S$29&amp;"!$AA$4"),0),FALSE))</f>
        <v>3959.3248549999998</v>
      </c>
      <c r="Q39" s="90">
        <f ca="1">IF(ISERROR(VLOOKUP($K39,OFFSET(INDIRECT(""&amp;$S$29&amp;"!$A$4"),0,0,200,100),MATCH(Q$30,INDIRECT(""&amp;$S$29&amp;"!$A$4"):INDIRECT(""&amp;$S$29&amp;"!$AA$4"),0),FALSE)),"",VLOOKUP($K39,OFFSET(INDIRECT(""&amp;$S$29&amp;"!$A$4"),0,0,200,100),MATCH(Q$30,INDIRECT(""&amp;$S$29&amp;"!$A$4"):INDIRECT(""&amp;$S$29&amp;"!$AA$4"),0),FALSE))</f>
        <v>12587.944812</v>
      </c>
      <c r="R39" s="90">
        <f ca="1">IF(ISERROR(VLOOKUP($K39,OFFSET(INDIRECT(""&amp;$S$29&amp;"!$A$4"),0,0,200,100),MATCH(R$30,INDIRECT(""&amp;$S$29&amp;"!$A$4"):INDIRECT(""&amp;$S$29&amp;"!$AA$4"),0),FALSE)),"",VLOOKUP($K39,OFFSET(INDIRECT(""&amp;$S$29&amp;"!$A$4"),0,0,200,100),MATCH(R$30,INDIRECT(""&amp;$S$29&amp;"!$A$4"):INDIRECT(""&amp;$S$29&amp;"!$AA$4"),0),FALSE))</f>
        <v>11657.865107</v>
      </c>
      <c r="S39" s="90">
        <f ca="1">IF(ISERROR(VLOOKUP($K39,OFFSET(INDIRECT(""&amp;$S$29&amp;"!$A$4"),0,0,200,100),MATCH(S$30,INDIRECT(""&amp;$S$29&amp;"!$A$4"):INDIRECT(""&amp;$S$29&amp;"!$AA$4"),0),FALSE)),"",VLOOKUP($K39,OFFSET(INDIRECT(""&amp;$S$29&amp;"!$A$4"),0,0,200,100),MATCH(S$30,INDIRECT(""&amp;$S$29&amp;"!$A$4"):INDIRECT(""&amp;$S$29&amp;"!$AA$4"),0),FALSE))</f>
        <v>11308.339099000001</v>
      </c>
      <c r="T39" s="90">
        <f ca="1">IF(ISERROR(VLOOKUP($K39,OFFSET(INDIRECT(""&amp;$S$29&amp;"!$A$4"),0,0,200,100),MATCH(T$30,INDIRECT(""&amp;$S$29&amp;"!$A$4"):INDIRECT(""&amp;$S$29&amp;"!$AA$4"),0),FALSE)),"",VLOOKUP($K39,OFFSET(INDIRECT(""&amp;$S$29&amp;"!$A$4"),0,0,200,100),MATCH(T$30,INDIRECT(""&amp;$S$29&amp;"!$A$4"):INDIRECT(""&amp;$S$29&amp;"!$AA$4"),0),FALSE))</f>
        <v>15182.103574000001</v>
      </c>
      <c r="U39" s="90">
        <f ca="1">IF(ISERROR(VLOOKUP($K39,OFFSET(INDIRECT(""&amp;$S$29&amp;"!$A$4"),0,0,200,100),MATCH(U$30,INDIRECT(""&amp;$S$29&amp;"!$A$4"):INDIRECT(""&amp;$S$29&amp;"!$AA$4"),0),FALSE)),"",VLOOKUP($K39,OFFSET(INDIRECT(""&amp;$S$29&amp;"!$A$4"),0,0,200,100),MATCH(U$30,INDIRECT(""&amp;$S$29&amp;"!$A$4"):INDIRECT(""&amp;$S$29&amp;"!$AA$4"),0),FALSE))</f>
        <v>13599.530102000001</v>
      </c>
      <c r="V39" s="90">
        <f ca="1">IF(ISERROR(VLOOKUP($K39,OFFSET(INDIRECT(""&amp;$S$29&amp;"!$A$4"),0,0,200,100),MATCH(V$30,INDIRECT(""&amp;$S$29&amp;"!$A$4"):INDIRECT(""&amp;$S$29&amp;"!$AA$4"),0),FALSE)),"",VLOOKUP($K39,OFFSET(INDIRECT(""&amp;$S$29&amp;"!$A$4"),0,0,200,100),MATCH(V$30,INDIRECT(""&amp;$S$29&amp;"!$A$4"):INDIRECT(""&amp;$S$29&amp;"!$AA$4"),0),FALSE))</f>
        <v>15813.545735</v>
      </c>
      <c r="W39" s="90">
        <f ca="1">IF(ISERROR(VLOOKUP($K39,OFFSET(INDIRECT(""&amp;$S$29&amp;"!$A$4"),0,0,200,100),MATCH(W$30,INDIRECT(""&amp;$S$29&amp;"!$A$4"):INDIRECT(""&amp;$S$29&amp;"!$AA$4"),0),FALSE)),"",VLOOKUP($K39,OFFSET(INDIRECT(""&amp;$S$29&amp;"!$A$4"),0,0,200,100),MATCH(W$30,INDIRECT(""&amp;$S$29&amp;"!$A$4"):INDIRECT(""&amp;$S$29&amp;"!$AA$4"),0),FALSE))</f>
        <v>12487.348884999999</v>
      </c>
      <c r="X39" s="90">
        <f ca="1">IF(ISERROR(VLOOKUP($K39,OFFSET(INDIRECT(""&amp;$S$29&amp;"!$A$4"),0,0,200,100),MATCH(X$30,INDIRECT(""&amp;$S$29&amp;"!$A$4"):INDIRECT(""&amp;$S$29&amp;"!$AA$4"),0),FALSE)),"",VLOOKUP($K39,OFFSET(INDIRECT(""&amp;$S$29&amp;"!$A$4"),0,0,200,100),MATCH(X$30,INDIRECT(""&amp;$S$29&amp;"!$A$4"):INDIRECT(""&amp;$S$29&amp;"!$AA$4"),0),FALSE))</f>
        <v>16765.76886</v>
      </c>
      <c r="Y39" s="90">
        <f ca="1">IF(ISERROR(VLOOKUP($K39,OFFSET(INDIRECT(""&amp;$S$29&amp;"!$A$4"),0,0,200,100),MATCH(Y$30,INDIRECT(""&amp;$S$29&amp;"!$A$4"):INDIRECT(""&amp;$S$29&amp;"!$AA$4"),0),FALSE)),"",VLOOKUP($K39,OFFSET(INDIRECT(""&amp;$S$29&amp;"!$A$4"),0,0,200,100),MATCH(Y$30,INDIRECT(""&amp;$S$29&amp;"!$A$4"):INDIRECT(""&amp;$S$29&amp;"!$AA$4"),0),FALSE))</f>
        <v>17866.669243</v>
      </c>
      <c r="Z39" s="90">
        <f ca="1">IF(ISERROR(VLOOKUP($K39,OFFSET(INDIRECT(""&amp;$S$29&amp;"!$A$4"),0,0,200,100),MATCH(Z$30,INDIRECT(""&amp;$S$29&amp;"!$A$4"):INDIRECT(""&amp;$S$29&amp;"!$AA$4"),0),FALSE)),"",VLOOKUP($K39,OFFSET(INDIRECT(""&amp;$S$29&amp;"!$A$4"),0,0,200,100),MATCH(Z$30,INDIRECT(""&amp;$S$29&amp;"!$A$4"):INDIRECT(""&amp;$S$29&amp;"!$AA$4"),0),FALSE))</f>
        <v>16111.726097999999</v>
      </c>
      <c r="AA39" s="90">
        <f t="shared" ca="1" si="61"/>
        <v>17866.669243</v>
      </c>
      <c r="AB39" s="110"/>
      <c r="AC39" s="87">
        <f t="shared" ca="1" si="48"/>
        <v>2.1697643151415105E-2</v>
      </c>
      <c r="AD39" s="87">
        <f t="shared" ca="1" si="49"/>
        <v>2.4374107666785022E-2</v>
      </c>
      <c r="AE39" s="87">
        <f t="shared" ca="1" si="50"/>
        <v>2.9630590525593702E-2</v>
      </c>
      <c r="AF39" s="87">
        <f t="shared" ca="1" si="51"/>
        <v>3.4100513519701475E-2</v>
      </c>
      <c r="AG39" s="87">
        <f t="shared" ca="1" si="52"/>
        <v>4.4970112162536491E-2</v>
      </c>
      <c r="AH39" s="87">
        <f t="shared" ca="1" si="52"/>
        <v>4.4970112162536491E-2</v>
      </c>
      <c r="AI39" s="145"/>
      <c r="AJ39" s="87">
        <f t="shared" ca="1" si="53"/>
        <v>2.3458211972211204E-2</v>
      </c>
      <c r="AK39" s="87">
        <f t="shared" ca="1" si="54"/>
        <v>1.0181360474481297E-2</v>
      </c>
      <c r="AL39" s="87">
        <f t="shared" ca="1" si="55"/>
        <v>3.0424754034928135E-2</v>
      </c>
      <c r="AM39" s="87">
        <f t="shared" ca="1" si="56"/>
        <v>2.9336224915986239E-2</v>
      </c>
      <c r="AN39" s="87">
        <f t="shared" ca="1" si="57"/>
        <v>2.8059395711137192E-2</v>
      </c>
      <c r="AO39" s="87">
        <f t="shared" ca="1" si="58"/>
        <v>4.0026647754097443E-2</v>
      </c>
      <c r="AP39" s="87">
        <f t="shared" ca="1" si="58"/>
        <v>3.6895325631760255E-2</v>
      </c>
      <c r="AQ39" s="87">
        <f t="shared" ca="1" si="58"/>
        <v>4.380319718957694E-2</v>
      </c>
      <c r="AR39" s="87">
        <f t="shared" ca="1" si="58"/>
        <v>3.4041135374489516E-2</v>
      </c>
      <c r="AS39" s="87">
        <f t="shared" ca="1" si="58"/>
        <v>4.5469765945528477E-2</v>
      </c>
      <c r="AT39" s="87">
        <f t="shared" ca="1" si="59"/>
        <v>5.2824606875253866E-2</v>
      </c>
      <c r="AU39" s="87">
        <f t="shared" ca="1" si="59"/>
        <v>4.7841214724055801E-2</v>
      </c>
      <c r="AV39" s="87">
        <f t="shared" ca="1" si="60"/>
        <v>5.2824606875253866E-2</v>
      </c>
    </row>
    <row r="40" spans="1:48" s="108" customFormat="1" ht="15.95" customHeight="1">
      <c r="A40" s="113" t="s">
        <v>242</v>
      </c>
      <c r="B40" s="111" t="s">
        <v>124</v>
      </c>
      <c r="C40" s="90">
        <f ca="1">IF(ISERROR(VLOOKUP($B40,OFFSET(INDIRECT(""&amp;$B$29&amp;"!$A$4"),0,0,200,100),MATCH(C$30,INDIRECT(""&amp;$B$29&amp;"!$A$4"):INDIRECT(""&amp;$B$29&amp;"!$o$4"),0),FALSE)),"",VLOOKUP($B40,OFFSET(INDIRECT(""&amp;$B$29&amp;"!$A$4"),0,0,200,100),MATCH(C$30,INDIRECT(""&amp;$B$29&amp;"!$A$4"):INDIRECT(""&amp;$B$29&amp;"!$o$4"),0),FALSE))</f>
        <v>0</v>
      </c>
      <c r="D40" s="90">
        <f ca="1">IF(ISERROR(VLOOKUP($B40,OFFSET(INDIRECT(""&amp;$B$29&amp;"!$A$4"),0,0,200,100),MATCH(D$30,INDIRECT(""&amp;$B$29&amp;"!$A$4"):INDIRECT(""&amp;$B$29&amp;"!$o$4"),0),FALSE)),"",VLOOKUP($B40,OFFSET(INDIRECT(""&amp;$B$29&amp;"!$A$4"),0,0,200,100),MATCH(D$30,INDIRECT(""&amp;$B$29&amp;"!$A$4"):INDIRECT(""&amp;$B$29&amp;"!$o$4"),0),FALSE))</f>
        <v>0</v>
      </c>
      <c r="E40" s="90">
        <f ca="1">IF(ISERROR(VLOOKUP($B40,OFFSET(INDIRECT(""&amp;$B$29&amp;"!$A$4"),0,0,200,100),MATCH(E$30,INDIRECT(""&amp;$B$29&amp;"!$A$4"):INDIRECT(""&amp;$B$29&amp;"!$o$4"),0),FALSE)),"",VLOOKUP($B40,OFFSET(INDIRECT(""&amp;$B$29&amp;"!$A$4"),0,0,200,100),MATCH(E$30,INDIRECT(""&amp;$B$29&amp;"!$A$4"):INDIRECT(""&amp;$B$29&amp;"!$o$4"),0),FALSE))</f>
        <v>0</v>
      </c>
      <c r="F40" s="90">
        <f ca="1">IF(ISERROR(VLOOKUP($B40,OFFSET(INDIRECT(""&amp;$B$29&amp;"!$A$4"),0,0,200,100),MATCH(F$30,INDIRECT(""&amp;$B$29&amp;"!$A$4"):INDIRECT(""&amp;$B$29&amp;"!$o$4"),0),FALSE)),"",VLOOKUP($B40,OFFSET(INDIRECT(""&amp;$B$29&amp;"!$A$4"),0,0,200,100),MATCH(F$30,INDIRECT(""&amp;$B$29&amp;"!$A$4"):INDIRECT(""&amp;$B$29&amp;"!$o$4"),0),FALSE))</f>
        <v>0</v>
      </c>
      <c r="G40" s="90">
        <f ca="1">IF(ISERROR(VLOOKUP($B40,OFFSET(INDIRECT(""&amp;$B$29&amp;"!$A$4"),0,0,200,100),MATCH(G$30,INDIRECT(""&amp;$B$29&amp;"!$A$4"):INDIRECT(""&amp;$B$29&amp;"!$o$4"),0),FALSE)),"",VLOOKUP($B40,OFFSET(INDIRECT(""&amp;$B$29&amp;"!$A$4"),0,0,200,100),MATCH(G$30,INDIRECT(""&amp;$B$29&amp;"!$A$4"):INDIRECT(""&amp;$B$29&amp;"!$o$4"),0),FALSE))</f>
        <v>0</v>
      </c>
      <c r="H40" s="90">
        <f ca="1">IF(ISERROR(VLOOKUP($B40,OFFSET(INDIRECT(""&amp;$B$29&amp;"!$A$4"),0,0,200,100),MATCH(H$30,INDIRECT(""&amp;$B$29&amp;"!$A$4"):INDIRECT(""&amp;$B$29&amp;"!$o$4"),0),FALSE)),"",VLOOKUP($B40,OFFSET(INDIRECT(""&amp;$B$29&amp;"!$A$4"),0,0,200,100),MATCH(H$30,INDIRECT(""&amp;$B$29&amp;"!$A$4"):INDIRECT(""&amp;$B$29&amp;"!$o$4"),0),FALSE))</f>
        <v>0</v>
      </c>
      <c r="I40" s="90">
        <f ca="1">IF(ISERROR(VLOOKUP($B40,OFFSET(INDIRECT(""&amp;$B$29&amp;"!$A$4"),0,0,200,100),MATCH(I$30,INDIRECT(""&amp;$B$29&amp;"!$A$4"):INDIRECT(""&amp;$B$29&amp;"!$o$4"),0),FALSE)),"",VLOOKUP($B40,OFFSET(INDIRECT(""&amp;$B$29&amp;"!$A$4"),0,0,200,100),MATCH(I$30,INDIRECT(""&amp;$B$29&amp;"!$A$4"):INDIRECT(""&amp;$B$29&amp;"!$o$4"),0),FALSE))</f>
        <v>0</v>
      </c>
      <c r="J40" s="90">
        <f ca="1">IF(ISERROR(VLOOKUP($B40,OFFSET(INDIRECT(""&amp;$B$29&amp;"!$A$4"),0,0,200,100),MATCH(J$30,INDIRECT(""&amp;$B$29&amp;"!$A$4"):INDIRECT(""&amp;$B$29&amp;"!$o$4"),0),FALSE)),"",VLOOKUP($B40,OFFSET(INDIRECT(""&amp;$B$29&amp;"!$A$4"),0,0,200,100),MATCH(J$30,INDIRECT(""&amp;$B$29&amp;"!$A$4"):INDIRECT(""&amp;$B$29&amp;"!$o$4"),0),FALSE))</f>
        <v>0</v>
      </c>
      <c r="K40" s="109" t="s">
        <v>124</v>
      </c>
      <c r="L40" s="90">
        <f ca="1">IF(ISERROR(VLOOKUP($K40,OFFSET(INDIRECT(""&amp;$S$29&amp;"!$A$4"),0,0,200,100),MATCH(L$30,INDIRECT(""&amp;$S$29&amp;"!$A$4"):INDIRECT(""&amp;$S$29&amp;"!$AA$4"),0),FALSE)),"",VLOOKUP($K40,OFFSET(INDIRECT(""&amp;$S$29&amp;"!$A$4"),0,0,200,100),MATCH(L$30,INDIRECT(""&amp;$S$29&amp;"!$A$4"):INDIRECT(""&amp;$S$29&amp;"!$AA$4"),0),FALSE))</f>
        <v>0</v>
      </c>
      <c r="M40" s="90">
        <f ca="1">IF(ISERROR(VLOOKUP($K40,OFFSET(INDIRECT(""&amp;$S$29&amp;"!$A$4"),0,0,200,100),MATCH(M$30,INDIRECT(""&amp;$S$29&amp;"!$A$4"):INDIRECT(""&amp;$S$29&amp;"!$AA$4"),0),FALSE)),"",VLOOKUP($K40,OFFSET(INDIRECT(""&amp;$S$29&amp;"!$A$4"),0,0,200,100),MATCH(M$30,INDIRECT(""&amp;$S$29&amp;"!$A$4"):INDIRECT(""&amp;$S$29&amp;"!$AA$4"),0),FALSE))</f>
        <v>0</v>
      </c>
      <c r="N40" s="90">
        <f ca="1">IF(ISERROR(VLOOKUP($K40,OFFSET(INDIRECT(""&amp;$S$29&amp;"!$A$4"),0,0,200,100),MATCH(N$30,INDIRECT(""&amp;$S$29&amp;"!$A$4"):INDIRECT(""&amp;$S$29&amp;"!$AA$4"),0),FALSE)),"",VLOOKUP($K40,OFFSET(INDIRECT(""&amp;$S$29&amp;"!$A$4"),0,0,200,100),MATCH(N$30,INDIRECT(""&amp;$S$29&amp;"!$A$4"):INDIRECT(""&amp;$S$29&amp;"!$AA$4"),0),FALSE))</f>
        <v>0</v>
      </c>
      <c r="O40" s="90">
        <f ca="1">IF(ISERROR(VLOOKUP($K40,OFFSET(INDIRECT(""&amp;$S$29&amp;"!$A$4"),0,0,200,100),MATCH(O$30,INDIRECT(""&amp;$S$29&amp;"!$A$4"):INDIRECT(""&amp;$S$29&amp;"!$AA$4"),0),FALSE)),"",VLOOKUP($K40,OFFSET(INDIRECT(""&amp;$S$29&amp;"!$A$4"),0,0,200,100),MATCH(O$30,INDIRECT(""&amp;$S$29&amp;"!$A$4"):INDIRECT(""&amp;$S$29&amp;"!$AA$4"),0),FALSE))</f>
        <v>0</v>
      </c>
      <c r="P40" s="90">
        <f ca="1">IF(ISERROR(VLOOKUP($K40,OFFSET(INDIRECT(""&amp;$S$29&amp;"!$A$4"),0,0,200,100),MATCH(P$30,INDIRECT(""&amp;$S$29&amp;"!$A$4"):INDIRECT(""&amp;$S$29&amp;"!$AA$4"),0),FALSE)),"",VLOOKUP($K40,OFFSET(INDIRECT(""&amp;$S$29&amp;"!$A$4"),0,0,200,100),MATCH(P$30,INDIRECT(""&amp;$S$29&amp;"!$A$4"):INDIRECT(""&amp;$S$29&amp;"!$AA$4"),0),FALSE))</f>
        <v>0</v>
      </c>
      <c r="Q40" s="90">
        <f ca="1">IF(ISERROR(VLOOKUP($K40,OFFSET(INDIRECT(""&amp;$S$29&amp;"!$A$4"),0,0,200,100),MATCH(Q$30,INDIRECT(""&amp;$S$29&amp;"!$A$4"):INDIRECT(""&amp;$S$29&amp;"!$AA$4"),0),FALSE)),"",VLOOKUP($K40,OFFSET(INDIRECT(""&amp;$S$29&amp;"!$A$4"),0,0,200,100),MATCH(Q$30,INDIRECT(""&amp;$S$29&amp;"!$A$4"):INDIRECT(""&amp;$S$29&amp;"!$AA$4"),0),FALSE))</f>
        <v>0</v>
      </c>
      <c r="R40" s="90">
        <f ca="1">IF(ISERROR(VLOOKUP($K40,OFFSET(INDIRECT(""&amp;$S$29&amp;"!$A$4"),0,0,200,100),MATCH(R$30,INDIRECT(""&amp;$S$29&amp;"!$A$4"):INDIRECT(""&amp;$S$29&amp;"!$AA$4"),0),FALSE)),"",VLOOKUP($K40,OFFSET(INDIRECT(""&amp;$S$29&amp;"!$A$4"),0,0,200,100),MATCH(R$30,INDIRECT(""&amp;$S$29&amp;"!$A$4"):INDIRECT(""&amp;$S$29&amp;"!$AA$4"),0),FALSE))</f>
        <v>0</v>
      </c>
      <c r="S40" s="90">
        <f ca="1">IF(ISERROR(VLOOKUP($K40,OFFSET(INDIRECT(""&amp;$S$29&amp;"!$A$4"),0,0,200,100),MATCH(S$30,INDIRECT(""&amp;$S$29&amp;"!$A$4"):INDIRECT(""&amp;$S$29&amp;"!$AA$4"),0),FALSE)),"",VLOOKUP($K40,OFFSET(INDIRECT(""&amp;$S$29&amp;"!$A$4"),0,0,200,100),MATCH(S$30,INDIRECT(""&amp;$S$29&amp;"!$A$4"):INDIRECT(""&amp;$S$29&amp;"!$AA$4"),0),FALSE))</f>
        <v>0</v>
      </c>
      <c r="T40" s="90">
        <f ca="1">IF(ISERROR(VLOOKUP($K40,OFFSET(INDIRECT(""&amp;$S$29&amp;"!$A$4"),0,0,200,100),MATCH(T$30,INDIRECT(""&amp;$S$29&amp;"!$A$4"):INDIRECT(""&amp;$S$29&amp;"!$AA$4"),0),FALSE)),"",VLOOKUP($K40,OFFSET(INDIRECT(""&amp;$S$29&amp;"!$A$4"),0,0,200,100),MATCH(T$30,INDIRECT(""&amp;$S$29&amp;"!$A$4"):INDIRECT(""&amp;$S$29&amp;"!$AA$4"),0),FALSE))</f>
        <v>0</v>
      </c>
      <c r="U40" s="90">
        <f ca="1">IF(ISERROR(VLOOKUP($K40,OFFSET(INDIRECT(""&amp;$S$29&amp;"!$A$4"),0,0,200,100),MATCH(U$30,INDIRECT(""&amp;$S$29&amp;"!$A$4"):INDIRECT(""&amp;$S$29&amp;"!$AA$4"),0),FALSE)),"",VLOOKUP($K40,OFFSET(INDIRECT(""&amp;$S$29&amp;"!$A$4"),0,0,200,100),MATCH(U$30,INDIRECT(""&amp;$S$29&amp;"!$A$4"):INDIRECT(""&amp;$S$29&amp;"!$AA$4"),0),FALSE))</f>
        <v>0</v>
      </c>
      <c r="V40" s="90">
        <f ca="1">IF(ISERROR(VLOOKUP($K40,OFFSET(INDIRECT(""&amp;$S$29&amp;"!$A$4"),0,0,200,100),MATCH(V$30,INDIRECT(""&amp;$S$29&amp;"!$A$4"):INDIRECT(""&amp;$S$29&amp;"!$AA$4"),0),FALSE)),"",VLOOKUP($K40,OFFSET(INDIRECT(""&amp;$S$29&amp;"!$A$4"),0,0,200,100),MATCH(V$30,INDIRECT(""&amp;$S$29&amp;"!$A$4"):INDIRECT(""&amp;$S$29&amp;"!$AA$4"),0),FALSE))</f>
        <v>0</v>
      </c>
      <c r="W40" s="90">
        <f ca="1">IF(ISERROR(VLOOKUP($K40,OFFSET(INDIRECT(""&amp;$S$29&amp;"!$A$4"),0,0,200,100),MATCH(W$30,INDIRECT(""&amp;$S$29&amp;"!$A$4"):INDIRECT(""&amp;$S$29&amp;"!$AA$4"),0),FALSE)),"",VLOOKUP($K40,OFFSET(INDIRECT(""&amp;$S$29&amp;"!$A$4"),0,0,200,100),MATCH(W$30,INDIRECT(""&amp;$S$29&amp;"!$A$4"):INDIRECT(""&amp;$S$29&amp;"!$AA$4"),0),FALSE))</f>
        <v>0</v>
      </c>
      <c r="X40" s="90">
        <f ca="1">IF(ISERROR(VLOOKUP($K40,OFFSET(INDIRECT(""&amp;$S$29&amp;"!$A$4"),0,0,200,100),MATCH(X$30,INDIRECT(""&amp;$S$29&amp;"!$A$4"):INDIRECT(""&amp;$S$29&amp;"!$AA$4"),0),FALSE)),"",VLOOKUP($K40,OFFSET(INDIRECT(""&amp;$S$29&amp;"!$A$4"),0,0,200,100),MATCH(X$30,INDIRECT(""&amp;$S$29&amp;"!$A$4"):INDIRECT(""&amp;$S$29&amp;"!$AA$4"),0),FALSE))</f>
        <v>0</v>
      </c>
      <c r="Y40" s="90">
        <f ca="1">IF(ISERROR(VLOOKUP($K40,OFFSET(INDIRECT(""&amp;$S$29&amp;"!$A$4"),0,0,200,100),MATCH(Y$30,INDIRECT(""&amp;$S$29&amp;"!$A$4"):INDIRECT(""&amp;$S$29&amp;"!$AA$4"),0),FALSE)),"",VLOOKUP($K40,OFFSET(INDIRECT(""&amp;$S$29&amp;"!$A$4"),0,0,200,100),MATCH(Y$30,INDIRECT(""&amp;$S$29&amp;"!$A$4"):INDIRECT(""&amp;$S$29&amp;"!$AA$4"),0),FALSE))</f>
        <v>0</v>
      </c>
      <c r="Z40" s="90">
        <f ca="1">IF(ISERROR(VLOOKUP($K40,OFFSET(INDIRECT(""&amp;$S$29&amp;"!$A$4"),0,0,200,100),MATCH(Z$30,INDIRECT(""&amp;$S$29&amp;"!$A$4"):INDIRECT(""&amp;$S$29&amp;"!$AA$4"),0),FALSE)),"",VLOOKUP($K40,OFFSET(INDIRECT(""&amp;$S$29&amp;"!$A$4"),0,0,200,100),MATCH(Z$30,INDIRECT(""&amp;$S$29&amp;"!$A$4"):INDIRECT(""&amp;$S$29&amp;"!$AA$4"),0),FALSE))</f>
        <v>0</v>
      </c>
      <c r="AA40" s="90">
        <f t="shared" ca="1" si="61"/>
        <v>0</v>
      </c>
      <c r="AB40" s="110"/>
      <c r="AC40" s="87">
        <f t="shared" ca="1" si="48"/>
        <v>0</v>
      </c>
      <c r="AD40" s="87">
        <f t="shared" ca="1" si="49"/>
        <v>0</v>
      </c>
      <c r="AE40" s="87">
        <f t="shared" ca="1" si="50"/>
        <v>0</v>
      </c>
      <c r="AF40" s="87">
        <f t="shared" ca="1" si="51"/>
        <v>0</v>
      </c>
      <c r="AG40" s="87">
        <f t="shared" ca="1" si="52"/>
        <v>0</v>
      </c>
      <c r="AH40" s="87">
        <f t="shared" ca="1" si="52"/>
        <v>0</v>
      </c>
      <c r="AI40" s="145"/>
      <c r="AJ40" s="87">
        <f t="shared" ca="1" si="53"/>
        <v>0</v>
      </c>
      <c r="AK40" s="87">
        <f t="shared" ca="1" si="54"/>
        <v>0</v>
      </c>
      <c r="AL40" s="87">
        <f t="shared" ca="1" si="55"/>
        <v>0</v>
      </c>
      <c r="AM40" s="87">
        <f t="shared" ca="1" si="56"/>
        <v>0</v>
      </c>
      <c r="AN40" s="87">
        <f t="shared" ca="1" si="57"/>
        <v>0</v>
      </c>
      <c r="AO40" s="87">
        <f t="shared" ca="1" si="58"/>
        <v>0</v>
      </c>
      <c r="AP40" s="87">
        <f t="shared" ca="1" si="58"/>
        <v>0</v>
      </c>
      <c r="AQ40" s="87">
        <f t="shared" ca="1" si="58"/>
        <v>0</v>
      </c>
      <c r="AR40" s="87">
        <f t="shared" ca="1" si="58"/>
        <v>0</v>
      </c>
      <c r="AS40" s="87">
        <f t="shared" ca="1" si="58"/>
        <v>0</v>
      </c>
      <c r="AT40" s="87">
        <f t="shared" ca="1" si="59"/>
        <v>0</v>
      </c>
      <c r="AU40" s="87">
        <f t="shared" ca="1" si="59"/>
        <v>0</v>
      </c>
      <c r="AV40" s="87">
        <f t="shared" ca="1" si="60"/>
        <v>0</v>
      </c>
    </row>
    <row r="41" spans="1:48" s="112" customFormat="1" ht="15.95" customHeight="1">
      <c r="A41" s="113" t="s">
        <v>243</v>
      </c>
      <c r="B41" s="111" t="s">
        <v>125</v>
      </c>
      <c r="C41" s="90">
        <f ca="1">IF(ISERROR(VLOOKUP($B41,OFFSET(INDIRECT(""&amp;$B$29&amp;"!$A$4"),0,0,200,100),MATCH(C$30,INDIRECT(""&amp;$B$29&amp;"!$A$4"):INDIRECT(""&amp;$B$29&amp;"!$o$4"),0),FALSE)),"",VLOOKUP($B41,OFFSET(INDIRECT(""&amp;$B$29&amp;"!$A$4"),0,0,200,100),MATCH(C$30,INDIRECT(""&amp;$B$29&amp;"!$A$4"):INDIRECT(""&amp;$B$29&amp;"!$o$4"),0),FALSE))</f>
        <v>0</v>
      </c>
      <c r="D41" s="90">
        <f ca="1">IF(ISERROR(VLOOKUP($B41,OFFSET(INDIRECT(""&amp;$B$29&amp;"!$A$4"),0,0,200,100),MATCH(D$30,INDIRECT(""&amp;$B$29&amp;"!$A$4"):INDIRECT(""&amp;$B$29&amp;"!$o$4"),0),FALSE)),"",VLOOKUP($B41,OFFSET(INDIRECT(""&amp;$B$29&amp;"!$A$4"),0,0,200,100),MATCH(D$30,INDIRECT(""&amp;$B$29&amp;"!$A$4"):INDIRECT(""&amp;$B$29&amp;"!$o$4"),0),FALSE))</f>
        <v>0</v>
      </c>
      <c r="E41" s="90">
        <f ca="1">IF(ISERROR(VLOOKUP($B41,OFFSET(INDIRECT(""&amp;$B$29&amp;"!$A$4"),0,0,200,100),MATCH(E$30,INDIRECT(""&amp;$B$29&amp;"!$A$4"):INDIRECT(""&amp;$B$29&amp;"!$o$4"),0),FALSE)),"",VLOOKUP($B41,OFFSET(INDIRECT(""&amp;$B$29&amp;"!$A$4"),0,0,200,100),MATCH(E$30,INDIRECT(""&amp;$B$29&amp;"!$A$4"):INDIRECT(""&amp;$B$29&amp;"!$o$4"),0),FALSE))</f>
        <v>0</v>
      </c>
      <c r="F41" s="90">
        <f ca="1">IF(ISERROR(VLOOKUP($B41,OFFSET(INDIRECT(""&amp;$B$29&amp;"!$A$4"),0,0,200,100),MATCH(F$30,INDIRECT(""&amp;$B$29&amp;"!$A$4"):INDIRECT(""&amp;$B$29&amp;"!$o$4"),0),FALSE)),"",VLOOKUP($B41,OFFSET(INDIRECT(""&amp;$B$29&amp;"!$A$4"),0,0,200,100),MATCH(F$30,INDIRECT(""&amp;$B$29&amp;"!$A$4"):INDIRECT(""&amp;$B$29&amp;"!$o$4"),0),FALSE))</f>
        <v>0</v>
      </c>
      <c r="G41" s="90">
        <f ca="1">IF(ISERROR(VLOOKUP($B41,OFFSET(INDIRECT(""&amp;$B$29&amp;"!$A$4"),0,0,200,100),MATCH(G$30,INDIRECT(""&amp;$B$29&amp;"!$A$4"):INDIRECT(""&amp;$B$29&amp;"!$o$4"),0),FALSE)),"",VLOOKUP($B41,OFFSET(INDIRECT(""&amp;$B$29&amp;"!$A$4"),0,0,200,100),MATCH(G$30,INDIRECT(""&amp;$B$29&amp;"!$A$4"):INDIRECT(""&amp;$B$29&amp;"!$o$4"),0),FALSE))</f>
        <v>0</v>
      </c>
      <c r="H41" s="90">
        <f ca="1">IF(ISERROR(VLOOKUP($B41,OFFSET(INDIRECT(""&amp;$B$29&amp;"!$A$4"),0,0,200,100),MATCH(H$30,INDIRECT(""&amp;$B$29&amp;"!$A$4"):INDIRECT(""&amp;$B$29&amp;"!$o$4"),0),FALSE)),"",VLOOKUP($B41,OFFSET(INDIRECT(""&amp;$B$29&amp;"!$A$4"),0,0,200,100),MATCH(H$30,INDIRECT(""&amp;$B$29&amp;"!$A$4"):INDIRECT(""&amp;$B$29&amp;"!$o$4"),0),FALSE))</f>
        <v>0</v>
      </c>
      <c r="I41" s="90">
        <f ca="1">IF(ISERROR(VLOOKUP($B41,OFFSET(INDIRECT(""&amp;$B$29&amp;"!$A$4"),0,0,200,100),MATCH(I$30,INDIRECT(""&amp;$B$29&amp;"!$A$4"):INDIRECT(""&amp;$B$29&amp;"!$o$4"),0),FALSE)),"",VLOOKUP($B41,OFFSET(INDIRECT(""&amp;$B$29&amp;"!$A$4"),0,0,200,100),MATCH(I$30,INDIRECT(""&amp;$B$29&amp;"!$A$4"):INDIRECT(""&amp;$B$29&amp;"!$o$4"),0),FALSE))</f>
        <v>0</v>
      </c>
      <c r="J41" s="90">
        <f ca="1">IF(ISERROR(VLOOKUP($B41,OFFSET(INDIRECT(""&amp;$B$29&amp;"!$A$4"),0,0,200,100),MATCH(J$30,INDIRECT(""&amp;$B$29&amp;"!$A$4"):INDIRECT(""&amp;$B$29&amp;"!$o$4"),0),FALSE)),"",VLOOKUP($B41,OFFSET(INDIRECT(""&amp;$B$29&amp;"!$A$4"),0,0,200,100),MATCH(J$30,INDIRECT(""&amp;$B$29&amp;"!$A$4"):INDIRECT(""&amp;$B$29&amp;"!$o$4"),0),FALSE))</f>
        <v>0</v>
      </c>
      <c r="K41" s="114" t="s">
        <v>125</v>
      </c>
      <c r="L41" s="90">
        <f ca="1">IF(ISERROR(VLOOKUP($K41,OFFSET(INDIRECT(""&amp;$S$29&amp;"!$A$4"),0,0,200,100),MATCH(L$30,INDIRECT(""&amp;$S$29&amp;"!$A$4"):INDIRECT(""&amp;$S$29&amp;"!$AA$4"),0),FALSE)),"",VLOOKUP($K41,OFFSET(INDIRECT(""&amp;$S$29&amp;"!$A$4"),0,0,200,100),MATCH(L$30,INDIRECT(""&amp;$S$29&amp;"!$A$4"):INDIRECT(""&amp;$S$29&amp;"!$AA$4"),0),FALSE))</f>
        <v>0</v>
      </c>
      <c r="M41" s="90">
        <f ca="1">IF(ISERROR(VLOOKUP($K41,OFFSET(INDIRECT(""&amp;$S$29&amp;"!$A$4"),0,0,200,100),MATCH(M$30,INDIRECT(""&amp;$S$29&amp;"!$A$4"):INDIRECT(""&amp;$S$29&amp;"!$AA$4"),0),FALSE)),"",VLOOKUP($K41,OFFSET(INDIRECT(""&amp;$S$29&amp;"!$A$4"),0,0,200,100),MATCH(M$30,INDIRECT(""&amp;$S$29&amp;"!$A$4"):INDIRECT(""&amp;$S$29&amp;"!$AA$4"),0),FALSE))</f>
        <v>0</v>
      </c>
      <c r="N41" s="90">
        <f ca="1">IF(ISERROR(VLOOKUP($K41,OFFSET(INDIRECT(""&amp;$S$29&amp;"!$A$4"),0,0,200,100),MATCH(N$30,INDIRECT(""&amp;$S$29&amp;"!$A$4"):INDIRECT(""&amp;$S$29&amp;"!$AA$4"),0),FALSE)),"",VLOOKUP($K41,OFFSET(INDIRECT(""&amp;$S$29&amp;"!$A$4"),0,0,200,100),MATCH(N$30,INDIRECT(""&amp;$S$29&amp;"!$A$4"):INDIRECT(""&amp;$S$29&amp;"!$AA$4"),0),FALSE))</f>
        <v>0</v>
      </c>
      <c r="O41" s="90">
        <f ca="1">IF(ISERROR(VLOOKUP($K41,OFFSET(INDIRECT(""&amp;$S$29&amp;"!$A$4"),0,0,200,100),MATCH(O$30,INDIRECT(""&amp;$S$29&amp;"!$A$4"):INDIRECT(""&amp;$S$29&amp;"!$AA$4"),0),FALSE)),"",VLOOKUP($K41,OFFSET(INDIRECT(""&amp;$S$29&amp;"!$A$4"),0,0,200,100),MATCH(O$30,INDIRECT(""&amp;$S$29&amp;"!$A$4"):INDIRECT(""&amp;$S$29&amp;"!$AA$4"),0),FALSE))</f>
        <v>0</v>
      </c>
      <c r="P41" s="90">
        <f ca="1">IF(ISERROR(VLOOKUP($K41,OFFSET(INDIRECT(""&amp;$S$29&amp;"!$A$4"),0,0,200,100),MATCH(P$30,INDIRECT(""&amp;$S$29&amp;"!$A$4"):INDIRECT(""&amp;$S$29&amp;"!$AA$4"),0),FALSE)),"",VLOOKUP($K41,OFFSET(INDIRECT(""&amp;$S$29&amp;"!$A$4"),0,0,200,100),MATCH(P$30,INDIRECT(""&amp;$S$29&amp;"!$A$4"):INDIRECT(""&amp;$S$29&amp;"!$AA$4"),0),FALSE))</f>
        <v>0</v>
      </c>
      <c r="Q41" s="90">
        <f ca="1">IF(ISERROR(VLOOKUP($K41,OFFSET(INDIRECT(""&amp;$S$29&amp;"!$A$4"),0,0,200,100),MATCH(Q$30,INDIRECT(""&amp;$S$29&amp;"!$A$4"):INDIRECT(""&amp;$S$29&amp;"!$AA$4"),0),FALSE)),"",VLOOKUP($K41,OFFSET(INDIRECT(""&amp;$S$29&amp;"!$A$4"),0,0,200,100),MATCH(Q$30,INDIRECT(""&amp;$S$29&amp;"!$A$4"):INDIRECT(""&amp;$S$29&amp;"!$AA$4"),0),FALSE))</f>
        <v>0</v>
      </c>
      <c r="R41" s="90">
        <f ca="1">IF(ISERROR(VLOOKUP($K41,OFFSET(INDIRECT(""&amp;$S$29&amp;"!$A$4"),0,0,200,100),MATCH(R$30,INDIRECT(""&amp;$S$29&amp;"!$A$4"):INDIRECT(""&amp;$S$29&amp;"!$AA$4"),0),FALSE)),"",VLOOKUP($K41,OFFSET(INDIRECT(""&amp;$S$29&amp;"!$A$4"),0,0,200,100),MATCH(R$30,INDIRECT(""&amp;$S$29&amp;"!$A$4"):INDIRECT(""&amp;$S$29&amp;"!$AA$4"),0),FALSE))</f>
        <v>0</v>
      </c>
      <c r="S41" s="90">
        <f ca="1">IF(ISERROR(VLOOKUP($K41,OFFSET(INDIRECT(""&amp;$S$29&amp;"!$A$4"),0,0,200,100),MATCH(S$30,INDIRECT(""&amp;$S$29&amp;"!$A$4"):INDIRECT(""&amp;$S$29&amp;"!$AA$4"),0),FALSE)),"",VLOOKUP($K41,OFFSET(INDIRECT(""&amp;$S$29&amp;"!$A$4"),0,0,200,100),MATCH(S$30,INDIRECT(""&amp;$S$29&amp;"!$A$4"):INDIRECT(""&amp;$S$29&amp;"!$AA$4"),0),FALSE))</f>
        <v>0</v>
      </c>
      <c r="T41" s="90">
        <f ca="1">IF(ISERROR(VLOOKUP($K41,OFFSET(INDIRECT(""&amp;$S$29&amp;"!$A$4"),0,0,200,100),MATCH(T$30,INDIRECT(""&amp;$S$29&amp;"!$A$4"):INDIRECT(""&amp;$S$29&amp;"!$AA$4"),0),FALSE)),"",VLOOKUP($K41,OFFSET(INDIRECT(""&amp;$S$29&amp;"!$A$4"),0,0,200,100),MATCH(T$30,INDIRECT(""&amp;$S$29&amp;"!$A$4"):INDIRECT(""&amp;$S$29&amp;"!$AA$4"),0),FALSE))</f>
        <v>0</v>
      </c>
      <c r="U41" s="90">
        <f ca="1">IF(ISERROR(VLOOKUP($K41,OFFSET(INDIRECT(""&amp;$S$29&amp;"!$A$4"),0,0,200,100),MATCH(U$30,INDIRECT(""&amp;$S$29&amp;"!$A$4"):INDIRECT(""&amp;$S$29&amp;"!$AA$4"),0),FALSE)),"",VLOOKUP($K41,OFFSET(INDIRECT(""&amp;$S$29&amp;"!$A$4"),0,0,200,100),MATCH(U$30,INDIRECT(""&amp;$S$29&amp;"!$A$4"):INDIRECT(""&amp;$S$29&amp;"!$AA$4"),0),FALSE))</f>
        <v>0</v>
      </c>
      <c r="V41" s="90">
        <f ca="1">IF(ISERROR(VLOOKUP($K41,OFFSET(INDIRECT(""&amp;$S$29&amp;"!$A$4"),0,0,200,100),MATCH(V$30,INDIRECT(""&amp;$S$29&amp;"!$A$4"):INDIRECT(""&amp;$S$29&amp;"!$AA$4"),0),FALSE)),"",VLOOKUP($K41,OFFSET(INDIRECT(""&amp;$S$29&amp;"!$A$4"),0,0,200,100),MATCH(V$30,INDIRECT(""&amp;$S$29&amp;"!$A$4"):INDIRECT(""&amp;$S$29&amp;"!$AA$4"),0),FALSE))</f>
        <v>0</v>
      </c>
      <c r="W41" s="90">
        <f ca="1">IF(ISERROR(VLOOKUP($K41,OFFSET(INDIRECT(""&amp;$S$29&amp;"!$A$4"),0,0,200,100),MATCH(W$30,INDIRECT(""&amp;$S$29&amp;"!$A$4"):INDIRECT(""&amp;$S$29&amp;"!$AA$4"),0),FALSE)),"",VLOOKUP($K41,OFFSET(INDIRECT(""&amp;$S$29&amp;"!$A$4"),0,0,200,100),MATCH(W$30,INDIRECT(""&amp;$S$29&amp;"!$A$4"):INDIRECT(""&amp;$S$29&amp;"!$AA$4"),0),FALSE))</f>
        <v>0</v>
      </c>
      <c r="X41" s="90">
        <f ca="1">IF(ISERROR(VLOOKUP($K41,OFFSET(INDIRECT(""&amp;$S$29&amp;"!$A$4"),0,0,200,100),MATCH(X$30,INDIRECT(""&amp;$S$29&amp;"!$A$4"):INDIRECT(""&amp;$S$29&amp;"!$AA$4"),0),FALSE)),"",VLOOKUP($K41,OFFSET(INDIRECT(""&amp;$S$29&amp;"!$A$4"),0,0,200,100),MATCH(X$30,INDIRECT(""&amp;$S$29&amp;"!$A$4"):INDIRECT(""&amp;$S$29&amp;"!$AA$4"),0),FALSE))</f>
        <v>0</v>
      </c>
      <c r="Y41" s="90">
        <f ca="1">IF(ISERROR(VLOOKUP($K41,OFFSET(INDIRECT(""&amp;$S$29&amp;"!$A$4"),0,0,200,100),MATCH(Y$30,INDIRECT(""&amp;$S$29&amp;"!$A$4"):INDIRECT(""&amp;$S$29&amp;"!$AA$4"),0),FALSE)),"",VLOOKUP($K41,OFFSET(INDIRECT(""&amp;$S$29&amp;"!$A$4"),0,0,200,100),MATCH(Y$30,INDIRECT(""&amp;$S$29&amp;"!$A$4"):INDIRECT(""&amp;$S$29&amp;"!$AA$4"),0),FALSE))</f>
        <v>0</v>
      </c>
      <c r="Z41" s="90">
        <f ca="1">IF(ISERROR(VLOOKUP($K41,OFFSET(INDIRECT(""&amp;$S$29&amp;"!$A$4"),0,0,200,100),MATCH(Z$30,INDIRECT(""&amp;$S$29&amp;"!$A$4"):INDIRECT(""&amp;$S$29&amp;"!$AA$4"),0),FALSE)),"",VLOOKUP($K41,OFFSET(INDIRECT(""&amp;$S$29&amp;"!$A$4"),0,0,200,100),MATCH(Z$30,INDIRECT(""&amp;$S$29&amp;"!$A$4"):INDIRECT(""&amp;$S$29&amp;"!$AA$4"),0),FALSE))</f>
        <v>0</v>
      </c>
      <c r="AA41" s="90">
        <f t="shared" ca="1" si="61"/>
        <v>0</v>
      </c>
      <c r="AB41" s="115"/>
      <c r="AC41" s="87">
        <f t="shared" ca="1" si="48"/>
        <v>0</v>
      </c>
      <c r="AD41" s="87">
        <f t="shared" ca="1" si="49"/>
        <v>0</v>
      </c>
      <c r="AE41" s="87">
        <f t="shared" ca="1" si="50"/>
        <v>0</v>
      </c>
      <c r="AF41" s="87">
        <f t="shared" ca="1" si="51"/>
        <v>0</v>
      </c>
      <c r="AG41" s="87">
        <f t="shared" ca="1" si="52"/>
        <v>0</v>
      </c>
      <c r="AH41" s="87">
        <f t="shared" ca="1" si="52"/>
        <v>0</v>
      </c>
      <c r="AI41" s="145"/>
      <c r="AJ41" s="87">
        <f t="shared" ca="1" si="53"/>
        <v>0</v>
      </c>
      <c r="AK41" s="87">
        <f t="shared" ca="1" si="54"/>
        <v>0</v>
      </c>
      <c r="AL41" s="87">
        <f t="shared" ca="1" si="55"/>
        <v>0</v>
      </c>
      <c r="AM41" s="87">
        <f t="shared" ca="1" si="56"/>
        <v>0</v>
      </c>
      <c r="AN41" s="87">
        <f t="shared" ca="1" si="57"/>
        <v>0</v>
      </c>
      <c r="AO41" s="87">
        <f t="shared" ca="1" si="58"/>
        <v>0</v>
      </c>
      <c r="AP41" s="87">
        <f t="shared" ca="1" si="58"/>
        <v>0</v>
      </c>
      <c r="AQ41" s="87">
        <f t="shared" ca="1" si="58"/>
        <v>0</v>
      </c>
      <c r="AR41" s="87">
        <f t="shared" ca="1" si="58"/>
        <v>0</v>
      </c>
      <c r="AS41" s="87">
        <f t="shared" ca="1" si="58"/>
        <v>0</v>
      </c>
      <c r="AT41" s="87">
        <f t="shared" ca="1" si="59"/>
        <v>0</v>
      </c>
      <c r="AU41" s="87">
        <f t="shared" ca="1" si="59"/>
        <v>0</v>
      </c>
      <c r="AV41" s="87">
        <f t="shared" ca="1" si="60"/>
        <v>0</v>
      </c>
    </row>
    <row r="42" spans="1:48" s="108" customFormat="1" ht="15.95" customHeight="1">
      <c r="A42" s="113" t="s">
        <v>240</v>
      </c>
      <c r="B42" s="111" t="s">
        <v>126</v>
      </c>
      <c r="C42" s="90">
        <f ca="1">IF(ISERROR(VLOOKUP($B42,OFFSET(INDIRECT(""&amp;$B$29&amp;"!$A$4"),0,0,200,100),MATCH(C$30,INDIRECT(""&amp;$B$29&amp;"!$A$4"):INDIRECT(""&amp;$B$29&amp;"!$o$4"),0),FALSE)),"",VLOOKUP($B42,OFFSET(INDIRECT(""&amp;$B$29&amp;"!$A$4"),0,0,200,100),MATCH(C$30,INDIRECT(""&amp;$B$29&amp;"!$A$4"):INDIRECT(""&amp;$B$29&amp;"!$o$4"),0),FALSE))</f>
        <v>11043.229165999999</v>
      </c>
      <c r="D42" s="90">
        <f ca="1">IF(ISERROR(VLOOKUP($B42,OFFSET(INDIRECT(""&amp;$B$29&amp;"!$A$4"),0,0,200,100),MATCH(D$30,INDIRECT(""&amp;$B$29&amp;"!$A$4"):INDIRECT(""&amp;$B$29&amp;"!$o$4"),0),FALSE)),"",VLOOKUP($B42,OFFSET(INDIRECT(""&amp;$B$29&amp;"!$A$4"),0,0,200,100),MATCH(D$30,INDIRECT(""&amp;$B$29&amp;"!$A$4"):INDIRECT(""&amp;$B$29&amp;"!$o$4"),0),FALSE))</f>
        <v>13567.828029</v>
      </c>
      <c r="E42" s="90">
        <f ca="1">IF(ISERROR(VLOOKUP($B42,OFFSET(INDIRECT(""&amp;$B$29&amp;"!$A$4"),0,0,200,100),MATCH(E$30,INDIRECT(""&amp;$B$29&amp;"!$A$4"):INDIRECT(""&amp;$B$29&amp;"!$o$4"),0),FALSE)),"",VLOOKUP($B42,OFFSET(INDIRECT(""&amp;$B$29&amp;"!$A$4"),0,0,200,100),MATCH(E$30,INDIRECT(""&amp;$B$29&amp;"!$A$4"):INDIRECT(""&amp;$B$29&amp;"!$o$4"),0),FALSE))</f>
        <v>15822.071534000001</v>
      </c>
      <c r="F42" s="90">
        <f ca="1">IF(ISERROR(VLOOKUP($B42,OFFSET(INDIRECT(""&amp;$B$29&amp;"!$A$4"),0,0,200,100),MATCH(F$30,INDIRECT(""&amp;$B$29&amp;"!$A$4"):INDIRECT(""&amp;$B$29&amp;"!$o$4"),0),FALSE)),"",VLOOKUP($B42,OFFSET(INDIRECT(""&amp;$B$29&amp;"!$A$4"),0,0,200,100),MATCH(F$30,INDIRECT(""&amp;$B$29&amp;"!$A$4"):INDIRECT(""&amp;$B$29&amp;"!$o$4"),0),FALSE))</f>
        <v>6363.364431</v>
      </c>
      <c r="G42" s="90">
        <f ca="1">IF(ISERROR(VLOOKUP($B42,OFFSET(INDIRECT(""&amp;$B$29&amp;"!$A$4"),0,0,200,100),MATCH(G$30,INDIRECT(""&amp;$B$29&amp;"!$A$4"):INDIRECT(""&amp;$B$29&amp;"!$o$4"),0),FALSE)),"",VLOOKUP($B42,OFFSET(INDIRECT(""&amp;$B$29&amp;"!$A$4"),0,0,200,100),MATCH(G$30,INDIRECT(""&amp;$B$29&amp;"!$A$4"):INDIRECT(""&amp;$B$29&amp;"!$o$4"),0),FALSE))</f>
        <v>14157.270639</v>
      </c>
      <c r="H42" s="90">
        <f ca="1">IF(ISERROR(VLOOKUP($B42,OFFSET(INDIRECT(""&amp;$B$29&amp;"!$A$4"),0,0,200,100),MATCH(H$30,INDIRECT(""&amp;$B$29&amp;"!$A$4"):INDIRECT(""&amp;$B$29&amp;"!$o$4"),0),FALSE)),"",VLOOKUP($B42,OFFSET(INDIRECT(""&amp;$B$29&amp;"!$A$4"),0,0,200,100),MATCH(H$30,INDIRECT(""&amp;$B$29&amp;"!$A$4"):INDIRECT(""&amp;$B$29&amp;"!$o$4"),0),FALSE))</f>
        <v>13902.243442999999</v>
      </c>
      <c r="I42" s="90">
        <f ca="1">IF(ISERROR(VLOOKUP($B42,OFFSET(INDIRECT(""&amp;$B$29&amp;"!$A$4"),0,0,200,100),MATCH(I$30,INDIRECT(""&amp;$B$29&amp;"!$A$4"):INDIRECT(""&amp;$B$29&amp;"!$o$4"),0),FALSE)),"",VLOOKUP($B42,OFFSET(INDIRECT(""&amp;$B$29&amp;"!$A$4"),0,0,200,100),MATCH(I$30,INDIRECT(""&amp;$B$29&amp;"!$A$4"):INDIRECT(""&amp;$B$29&amp;"!$o$4"),0),FALSE))</f>
        <v>12772.59339</v>
      </c>
      <c r="J42" s="90">
        <f ca="1">IF(ISERROR(VLOOKUP($B42,OFFSET(INDIRECT(""&amp;$B$29&amp;"!$A$4"),0,0,200,100),MATCH(J$30,INDIRECT(""&amp;$B$29&amp;"!$A$4"):INDIRECT(""&amp;$B$29&amp;"!$o$4"),0),FALSE)),"",VLOOKUP($B42,OFFSET(INDIRECT(""&amp;$B$29&amp;"!$A$4"),0,0,200,100),MATCH(J$30,INDIRECT(""&amp;$B$29&amp;"!$A$4"):INDIRECT(""&amp;$B$29&amp;"!$o$4"),0),FALSE))</f>
        <v>12772.59339</v>
      </c>
      <c r="K42" s="109" t="s">
        <v>126</v>
      </c>
      <c r="L42" s="90">
        <f ca="1">IF(ISERROR(VLOOKUP($K42,OFFSET(INDIRECT(""&amp;$S$29&amp;"!$A$4"),0,0,200,100),MATCH(L$30,INDIRECT(""&amp;$S$29&amp;"!$A$4"):INDIRECT(""&amp;$S$29&amp;"!$AA$4"),0),FALSE)),"",VLOOKUP($K42,OFFSET(INDIRECT(""&amp;$S$29&amp;"!$A$4"),0,0,200,100),MATCH(L$30,INDIRECT(""&amp;$S$29&amp;"!$A$4"):INDIRECT(""&amp;$S$29&amp;"!$AA$4"),0),FALSE))</f>
        <v>15976.537973</v>
      </c>
      <c r="M42" s="90">
        <f ca="1">IF(ISERROR(VLOOKUP($K42,OFFSET(INDIRECT(""&amp;$S$29&amp;"!$A$4"),0,0,200,100),MATCH(M$30,INDIRECT(""&amp;$S$29&amp;"!$A$4"):INDIRECT(""&amp;$S$29&amp;"!$AA$4"),0),FALSE)),"",VLOOKUP($K42,OFFSET(INDIRECT(""&amp;$S$29&amp;"!$A$4"),0,0,200,100),MATCH(M$30,INDIRECT(""&amp;$S$29&amp;"!$A$4"):INDIRECT(""&amp;$S$29&amp;"!$AA$4"),0),FALSE))</f>
        <v>6991.7916290000003</v>
      </c>
      <c r="N42" s="90">
        <f ca="1">IF(ISERROR(VLOOKUP($K42,OFFSET(INDIRECT(""&amp;$S$29&amp;"!$A$4"),0,0,200,100),MATCH(N$30,INDIRECT(""&amp;$S$29&amp;"!$A$4"):INDIRECT(""&amp;$S$29&amp;"!$AA$4"),0),FALSE)),"",VLOOKUP($K42,OFFSET(INDIRECT(""&amp;$S$29&amp;"!$A$4"),0,0,200,100),MATCH(N$30,INDIRECT(""&amp;$S$29&amp;"!$A$4"):INDIRECT(""&amp;$S$29&amp;"!$AA$4"),0),FALSE))</f>
        <v>4815.5572560000001</v>
      </c>
      <c r="O42" s="90">
        <f ca="1">IF(ISERROR(VLOOKUP($K42,OFFSET(INDIRECT(""&amp;$S$29&amp;"!$A$4"),0,0,200,100),MATCH(O$30,INDIRECT(""&amp;$S$29&amp;"!$A$4"):INDIRECT(""&amp;$S$29&amp;"!$AA$4"),0),FALSE)),"",VLOOKUP($K42,OFFSET(INDIRECT(""&amp;$S$29&amp;"!$A$4"),0,0,200,100),MATCH(O$30,INDIRECT(""&amp;$S$29&amp;"!$A$4"):INDIRECT(""&amp;$S$29&amp;"!$AA$4"),0),FALSE))</f>
        <v>22377.147381999999</v>
      </c>
      <c r="P42" s="90">
        <f ca="1">IF(ISERROR(VLOOKUP($K42,OFFSET(INDIRECT(""&amp;$S$29&amp;"!$A$4"),0,0,200,100),MATCH(P$30,INDIRECT(""&amp;$S$29&amp;"!$A$4"):INDIRECT(""&amp;$S$29&amp;"!$AA$4"),0),FALSE)),"",VLOOKUP($K42,OFFSET(INDIRECT(""&amp;$S$29&amp;"!$A$4"),0,0,200,100),MATCH(P$30,INDIRECT(""&amp;$S$29&amp;"!$A$4"):INDIRECT(""&amp;$S$29&amp;"!$AA$4"),0),FALSE))</f>
        <v>6985.4386519999998</v>
      </c>
      <c r="Q42" s="90">
        <f ca="1">IF(ISERROR(VLOOKUP($K42,OFFSET(INDIRECT(""&amp;$S$29&amp;"!$A$4"),0,0,200,100),MATCH(Q$30,INDIRECT(""&amp;$S$29&amp;"!$A$4"):INDIRECT(""&amp;$S$29&amp;"!$AA$4"),0),FALSE)),"",VLOOKUP($K42,OFFSET(INDIRECT(""&amp;$S$29&amp;"!$A$4"),0,0,200,100),MATCH(Q$30,INDIRECT(""&amp;$S$29&amp;"!$A$4"):INDIRECT(""&amp;$S$29&amp;"!$AA$4"),0),FALSE))</f>
        <v>8234.5487030000004</v>
      </c>
      <c r="R42" s="90">
        <f ca="1">IF(ISERROR(VLOOKUP($K42,OFFSET(INDIRECT(""&amp;$S$29&amp;"!$A$4"),0,0,200,100),MATCH(R$30,INDIRECT(""&amp;$S$29&amp;"!$A$4"):INDIRECT(""&amp;$S$29&amp;"!$AA$4"),0),FALSE)),"",VLOOKUP($K42,OFFSET(INDIRECT(""&amp;$S$29&amp;"!$A$4"),0,0,200,100),MATCH(R$30,INDIRECT(""&amp;$S$29&amp;"!$A$4"):INDIRECT(""&amp;$S$29&amp;"!$AA$4"),0),FALSE))</f>
        <v>6875.8037370000002</v>
      </c>
      <c r="S42" s="90">
        <f ca="1">IF(ISERROR(VLOOKUP($K42,OFFSET(INDIRECT(""&amp;$S$29&amp;"!$A$4"),0,0,200,100),MATCH(S$30,INDIRECT(""&amp;$S$29&amp;"!$A$4"):INDIRECT(""&amp;$S$29&amp;"!$AA$4"),0),FALSE)),"",VLOOKUP($K42,OFFSET(INDIRECT(""&amp;$S$29&amp;"!$A$4"),0,0,200,100),MATCH(S$30,INDIRECT(""&amp;$S$29&amp;"!$A$4"):INDIRECT(""&amp;$S$29&amp;"!$AA$4"),0),FALSE))</f>
        <v>30217.920911000001</v>
      </c>
      <c r="T42" s="90">
        <f ca="1">IF(ISERROR(VLOOKUP($K42,OFFSET(INDIRECT(""&amp;$S$29&amp;"!$A$4"),0,0,200,100),MATCH(T$30,INDIRECT(""&amp;$S$29&amp;"!$A$4"):INDIRECT(""&amp;$S$29&amp;"!$AA$4"),0),FALSE)),"",VLOOKUP($K42,OFFSET(INDIRECT(""&amp;$S$29&amp;"!$A$4"),0,0,200,100),MATCH(T$30,INDIRECT(""&amp;$S$29&amp;"!$A$4"):INDIRECT(""&amp;$S$29&amp;"!$AA$4"),0),FALSE))</f>
        <v>14882.552424</v>
      </c>
      <c r="U42" s="90">
        <f ca="1">IF(ISERROR(VLOOKUP($K42,OFFSET(INDIRECT(""&amp;$S$29&amp;"!$A$4"),0,0,200,100),MATCH(U$30,INDIRECT(""&amp;$S$29&amp;"!$A$4"):INDIRECT(""&amp;$S$29&amp;"!$AA$4"),0),FALSE)),"",VLOOKUP($K42,OFFSET(INDIRECT(""&amp;$S$29&amp;"!$A$4"),0,0,200,100),MATCH(U$30,INDIRECT(""&amp;$S$29&amp;"!$A$4"):INDIRECT(""&amp;$S$29&amp;"!$AA$4"),0),FALSE))</f>
        <v>12438.501187</v>
      </c>
      <c r="V42" s="90">
        <f ca="1">IF(ISERROR(VLOOKUP($K42,OFFSET(INDIRECT(""&amp;$S$29&amp;"!$A$4"),0,0,200,100),MATCH(V$30,INDIRECT(""&amp;$S$29&amp;"!$A$4"):INDIRECT(""&amp;$S$29&amp;"!$AA$4"),0),FALSE)),"",VLOOKUP($K42,OFFSET(INDIRECT(""&amp;$S$29&amp;"!$A$4"),0,0,200,100),MATCH(V$30,INDIRECT(""&amp;$S$29&amp;"!$A$4"):INDIRECT(""&amp;$S$29&amp;"!$AA$4"),0),FALSE))</f>
        <v>12578.195092</v>
      </c>
      <c r="W42" s="90">
        <f ca="1">IF(ISERROR(VLOOKUP($K42,OFFSET(INDIRECT(""&amp;$S$29&amp;"!$A$4"),0,0,200,100),MATCH(W$30,INDIRECT(""&amp;$S$29&amp;"!$A$4"):INDIRECT(""&amp;$S$29&amp;"!$AA$4"),0),FALSE)),"",VLOOKUP($K42,OFFSET(INDIRECT(""&amp;$S$29&amp;"!$A$4"),0,0,200,100),MATCH(W$30,INDIRECT(""&amp;$S$29&amp;"!$A$4"):INDIRECT(""&amp;$S$29&amp;"!$AA$4"),0),FALSE))</f>
        <v>13969.528904000001</v>
      </c>
      <c r="X42" s="90">
        <f ca="1">IF(ISERROR(VLOOKUP($K42,OFFSET(INDIRECT(""&amp;$S$29&amp;"!$A$4"),0,0,200,100),MATCH(X$30,INDIRECT(""&amp;$S$29&amp;"!$A$4"):INDIRECT(""&amp;$S$29&amp;"!$AA$4"),0),FALSE)),"",VLOOKUP($K42,OFFSET(INDIRECT(""&amp;$S$29&amp;"!$A$4"),0,0,200,100),MATCH(X$30,INDIRECT(""&amp;$S$29&amp;"!$A$4"):INDIRECT(""&amp;$S$29&amp;"!$AA$4"),0),FALSE))</f>
        <v>12212.613443</v>
      </c>
      <c r="Y42" s="90">
        <f ca="1">IF(ISERROR(VLOOKUP($K42,OFFSET(INDIRECT(""&amp;$S$29&amp;"!$A$4"),0,0,200,100),MATCH(Y$30,INDIRECT(""&amp;$S$29&amp;"!$A$4"):INDIRECT(""&amp;$S$29&amp;"!$AA$4"),0),FALSE)),"",VLOOKUP($K42,OFFSET(INDIRECT(""&amp;$S$29&amp;"!$A$4"),0,0,200,100),MATCH(Y$30,INDIRECT(""&amp;$S$29&amp;"!$A$4"):INDIRECT(""&amp;$S$29&amp;"!$AA$4"),0),FALSE))</f>
        <v>12596.955722999999</v>
      </c>
      <c r="Z42" s="90">
        <f ca="1">IF(ISERROR(VLOOKUP($K42,OFFSET(INDIRECT(""&amp;$S$29&amp;"!$A$4"),0,0,200,100),MATCH(Z$30,INDIRECT(""&amp;$S$29&amp;"!$A$4"):INDIRECT(""&amp;$S$29&amp;"!$AA$4"),0),FALSE)),"",VLOOKUP($K42,OFFSET(INDIRECT(""&amp;$S$29&amp;"!$A$4"),0,0,200,100),MATCH(Z$30,INDIRECT(""&amp;$S$29&amp;"!$A$4"):INDIRECT(""&amp;$S$29&amp;"!$AA$4"),0),FALSE))</f>
        <v>12597.444955000001</v>
      </c>
      <c r="AA42" s="90">
        <f t="shared" ca="1" si="61"/>
        <v>12596.955722999999</v>
      </c>
      <c r="AB42" s="110"/>
      <c r="AC42" s="87">
        <f t="shared" ca="1" si="48"/>
        <v>4.5356993752693482E-2</v>
      </c>
      <c r="AD42" s="87">
        <f t="shared" ca="1" si="49"/>
        <v>1.6875719113590742E-2</v>
      </c>
      <c r="AE42" s="87">
        <f t="shared" ca="1" si="50"/>
        <v>3.709548197942833E-2</v>
      </c>
      <c r="AF42" s="87">
        <f t="shared" ca="1" si="51"/>
        <v>3.7964314511278484E-2</v>
      </c>
      <c r="AG42" s="87">
        <f t="shared" ca="1" si="52"/>
        <v>3.7477125348883825E-2</v>
      </c>
      <c r="AH42" s="87">
        <f t="shared" ca="1" si="52"/>
        <v>3.7477125348883825E-2</v>
      </c>
      <c r="AI42" s="145"/>
      <c r="AJ42" s="87">
        <f t="shared" ca="1" si="53"/>
        <v>5.711450214804889E-2</v>
      </c>
      <c r="AK42" s="87">
        <f t="shared" ca="1" si="54"/>
        <v>1.7962978940354393E-2</v>
      </c>
      <c r="AL42" s="87">
        <f t="shared" ca="1" si="55"/>
        <v>1.9902702356827867E-2</v>
      </c>
      <c r="AM42" s="87">
        <f t="shared" ca="1" si="56"/>
        <v>1.7302492613822856E-2</v>
      </c>
      <c r="AN42" s="87">
        <f t="shared" ca="1" si="57"/>
        <v>7.4979764312566116E-2</v>
      </c>
      <c r="AO42" s="87">
        <f t="shared" ca="1" si="58"/>
        <v>3.9236900252577415E-2</v>
      </c>
      <c r="AP42" s="87">
        <f t="shared" ca="1" si="58"/>
        <v>3.3745471220208587E-2</v>
      </c>
      <c r="AQ42" s="87">
        <f t="shared" ca="1" si="58"/>
        <v>3.4841342298356143E-2</v>
      </c>
      <c r="AR42" s="87">
        <f t="shared" ca="1" si="58"/>
        <v>3.8081631971549436E-2</v>
      </c>
      <c r="AS42" s="87">
        <f t="shared" ca="1" si="58"/>
        <v>3.3121336663615719E-2</v>
      </c>
      <c r="AT42" s="87">
        <f t="shared" ca="1" si="59"/>
        <v>3.7244168168231104E-2</v>
      </c>
      <c r="AU42" s="87">
        <f t="shared" ca="1" si="59"/>
        <v>3.7406114366693506E-2</v>
      </c>
      <c r="AV42" s="87">
        <f t="shared" ca="1" si="60"/>
        <v>3.7244168168231104E-2</v>
      </c>
    </row>
    <row r="43" spans="1:48" s="108" customFormat="1" ht="15.95" customHeight="1">
      <c r="A43" s="113" t="s">
        <v>244</v>
      </c>
      <c r="B43" s="111" t="s">
        <v>127</v>
      </c>
      <c r="C43" s="90">
        <f ca="1">IF(ISERROR(VLOOKUP($B43,OFFSET(INDIRECT(""&amp;$B$29&amp;"!$A$4"),0,0,200,100),MATCH(C$30,INDIRECT(""&amp;$B$29&amp;"!$A$4"):INDIRECT(""&amp;$B$29&amp;"!$o$4"),0),FALSE)),"",VLOOKUP($B43,OFFSET(INDIRECT(""&amp;$B$29&amp;"!$A$4"),0,0,200,100),MATCH(C$30,INDIRECT(""&amp;$B$29&amp;"!$A$4"):INDIRECT(""&amp;$B$29&amp;"!$o$4"),0),FALSE))</f>
        <v>-1655.2643929999999</v>
      </c>
      <c r="D43" s="90">
        <f ca="1">IF(ISERROR(VLOOKUP($B43,OFFSET(INDIRECT(""&amp;$B$29&amp;"!$A$4"),0,0,200,100),MATCH(D$30,INDIRECT(""&amp;$B$29&amp;"!$A$4"):INDIRECT(""&amp;$B$29&amp;"!$o$4"),0),FALSE)),"",VLOOKUP($B43,OFFSET(INDIRECT(""&amp;$B$29&amp;"!$A$4"),0,0,200,100),MATCH(D$30,INDIRECT(""&amp;$B$29&amp;"!$A$4"):INDIRECT(""&amp;$B$29&amp;"!$o$4"),0),FALSE))</f>
        <v>-1812.7014079999999</v>
      </c>
      <c r="E43" s="90">
        <f ca="1">IF(ISERROR(VLOOKUP($B43,OFFSET(INDIRECT(""&amp;$B$29&amp;"!$A$4"),0,0,200,100),MATCH(E$30,INDIRECT(""&amp;$B$29&amp;"!$A$4"):INDIRECT(""&amp;$B$29&amp;"!$o$4"),0),FALSE)),"",VLOOKUP($B43,OFFSET(INDIRECT(""&amp;$B$29&amp;"!$A$4"),0,0,200,100),MATCH(E$30,INDIRECT(""&amp;$B$29&amp;"!$A$4"):INDIRECT(""&amp;$B$29&amp;"!$o$4"),0),FALSE))</f>
        <v>-2421.9531830000001</v>
      </c>
      <c r="F43" s="90">
        <f ca="1">IF(ISERROR(VLOOKUP($B43,OFFSET(INDIRECT(""&amp;$B$29&amp;"!$A$4"),0,0,200,100),MATCH(F$30,INDIRECT(""&amp;$B$29&amp;"!$A$4"):INDIRECT(""&amp;$B$29&amp;"!$o$4"),0),FALSE)),"",VLOOKUP($B43,OFFSET(INDIRECT(""&amp;$B$29&amp;"!$A$4"),0,0,200,100),MATCH(F$30,INDIRECT(""&amp;$B$29&amp;"!$A$4"):INDIRECT(""&amp;$B$29&amp;"!$o$4"),0),FALSE))</f>
        <v>-3458.3628389999999</v>
      </c>
      <c r="G43" s="90">
        <f ca="1">IF(ISERROR(VLOOKUP($B43,OFFSET(INDIRECT(""&amp;$B$29&amp;"!$A$4"),0,0,200,100),MATCH(G$30,INDIRECT(""&amp;$B$29&amp;"!$A$4"):INDIRECT(""&amp;$B$29&amp;"!$o$4"),0),FALSE)),"",VLOOKUP($B43,OFFSET(INDIRECT(""&amp;$B$29&amp;"!$A$4"),0,0,200,100),MATCH(G$30,INDIRECT(""&amp;$B$29&amp;"!$A$4"):INDIRECT(""&amp;$B$29&amp;"!$o$4"),0),FALSE))</f>
        <v>-6678.8964939999996</v>
      </c>
      <c r="H43" s="90">
        <f ca="1">IF(ISERROR(VLOOKUP($B43,OFFSET(INDIRECT(""&amp;$B$29&amp;"!$A$4"),0,0,200,100),MATCH(H$30,INDIRECT(""&amp;$B$29&amp;"!$A$4"):INDIRECT(""&amp;$B$29&amp;"!$o$4"),0),FALSE)),"",VLOOKUP($B43,OFFSET(INDIRECT(""&amp;$B$29&amp;"!$A$4"),0,0,200,100),MATCH(H$30,INDIRECT(""&amp;$B$29&amp;"!$A$4"):INDIRECT(""&amp;$B$29&amp;"!$o$4"),0),FALSE))</f>
        <v>-4944.4050150000003</v>
      </c>
      <c r="I43" s="90">
        <f ca="1">IF(ISERROR(VLOOKUP($B43,OFFSET(INDIRECT(""&amp;$B$29&amp;"!$A$4"),0,0,200,100),MATCH(I$30,INDIRECT(""&amp;$B$29&amp;"!$A$4"):INDIRECT(""&amp;$B$29&amp;"!$o$4"),0),FALSE)),"",VLOOKUP($B43,OFFSET(INDIRECT(""&amp;$B$29&amp;"!$A$4"),0,0,200,100),MATCH(I$30,INDIRECT(""&amp;$B$29&amp;"!$A$4"):INDIRECT(""&amp;$B$29&amp;"!$o$4"),0),FALSE))</f>
        <v>-5099.2055920000003</v>
      </c>
      <c r="J43" s="90">
        <f ca="1">IF(ISERROR(VLOOKUP($B43,OFFSET(INDIRECT(""&amp;$B$29&amp;"!$A$4"),0,0,200,100),MATCH(J$30,INDIRECT(""&amp;$B$29&amp;"!$A$4"):INDIRECT(""&amp;$B$29&amp;"!$o$4"),0),FALSE)),"",VLOOKUP($B43,OFFSET(INDIRECT(""&amp;$B$29&amp;"!$A$4"),0,0,200,100),MATCH(J$30,INDIRECT(""&amp;$B$29&amp;"!$A$4"):INDIRECT(""&amp;$B$29&amp;"!$o$4"),0),FALSE))</f>
        <v>-5099.2055920000003</v>
      </c>
      <c r="K43" s="109" t="s">
        <v>127</v>
      </c>
      <c r="L43" s="90">
        <f ca="1">IF(ISERROR(VLOOKUP($K43,OFFSET(INDIRECT(""&amp;$S$29&amp;"!$A$4"),0,0,200,100),MATCH(L$30,INDIRECT(""&amp;$S$29&amp;"!$A$4"):INDIRECT(""&amp;$S$29&amp;"!$AA$4"),0),FALSE)),"",VLOOKUP($K43,OFFSET(INDIRECT(""&amp;$S$29&amp;"!$A$4"),0,0,200,100),MATCH(L$30,INDIRECT(""&amp;$S$29&amp;"!$A$4"):INDIRECT(""&amp;$S$29&amp;"!$AA$4"),0),FALSE))</f>
        <v>-2421.9531830000001</v>
      </c>
      <c r="M43" s="90">
        <f ca="1">IF(ISERROR(VLOOKUP($K43,OFFSET(INDIRECT(""&amp;$S$29&amp;"!$A$4"),0,0,200,100),MATCH(M$30,INDIRECT(""&amp;$S$29&amp;"!$A$4"):INDIRECT(""&amp;$S$29&amp;"!$AA$4"),0),FALSE)),"",VLOOKUP($K43,OFFSET(INDIRECT(""&amp;$S$29&amp;"!$A$4"),0,0,200,100),MATCH(M$30,INDIRECT(""&amp;$S$29&amp;"!$A$4"):INDIRECT(""&amp;$S$29&amp;"!$AA$4"),0),FALSE))</f>
        <v>-2421.9531830000001</v>
      </c>
      <c r="N43" s="90">
        <f ca="1">IF(ISERROR(VLOOKUP($K43,OFFSET(INDIRECT(""&amp;$S$29&amp;"!$A$4"),0,0,200,100),MATCH(N$30,INDIRECT(""&amp;$S$29&amp;"!$A$4"):INDIRECT(""&amp;$S$29&amp;"!$AA$4"),0),FALSE)),"",VLOOKUP($K43,OFFSET(INDIRECT(""&amp;$S$29&amp;"!$A$4"),0,0,200,100),MATCH(N$30,INDIRECT(""&amp;$S$29&amp;"!$A$4"):INDIRECT(""&amp;$S$29&amp;"!$AA$4"),0),FALSE))</f>
        <v>-2421.9531830000001</v>
      </c>
      <c r="O43" s="90">
        <f ca="1">IF(ISERROR(VLOOKUP($K43,OFFSET(INDIRECT(""&amp;$S$29&amp;"!$A$4"),0,0,200,100),MATCH(O$30,INDIRECT(""&amp;$S$29&amp;"!$A$4"):INDIRECT(""&amp;$S$29&amp;"!$AA$4"),0),FALSE)),"",VLOOKUP($K43,OFFSET(INDIRECT(""&amp;$S$29&amp;"!$A$4"),0,0,200,100),MATCH(O$30,INDIRECT(""&amp;$S$29&amp;"!$A$4"):INDIRECT(""&amp;$S$29&amp;"!$AA$4"),0),FALSE))</f>
        <v>-2421.9531830000001</v>
      </c>
      <c r="P43" s="90">
        <f ca="1">IF(ISERROR(VLOOKUP($K43,OFFSET(INDIRECT(""&amp;$S$29&amp;"!$A$4"),0,0,200,100),MATCH(P$30,INDIRECT(""&amp;$S$29&amp;"!$A$4"):INDIRECT(""&amp;$S$29&amp;"!$AA$4"),0),FALSE)),"",VLOOKUP($K43,OFFSET(INDIRECT(""&amp;$S$29&amp;"!$A$4"),0,0,200,100),MATCH(P$30,INDIRECT(""&amp;$S$29&amp;"!$A$4"):INDIRECT(""&amp;$S$29&amp;"!$AA$4"),0),FALSE))</f>
        <v>-3458.3628389999999</v>
      </c>
      <c r="Q43" s="90">
        <f ca="1">IF(ISERROR(VLOOKUP($K43,OFFSET(INDIRECT(""&amp;$S$29&amp;"!$A$4"),0,0,200,100),MATCH(Q$30,INDIRECT(""&amp;$S$29&amp;"!$A$4"):INDIRECT(""&amp;$S$29&amp;"!$AA$4"),0),FALSE)),"",VLOOKUP($K43,OFFSET(INDIRECT(""&amp;$S$29&amp;"!$A$4"),0,0,200,100),MATCH(Q$30,INDIRECT(""&amp;$S$29&amp;"!$A$4"):INDIRECT(""&amp;$S$29&amp;"!$AA$4"),0),FALSE))</f>
        <v>-4821.5117890000001</v>
      </c>
      <c r="R43" s="90">
        <f ca="1">IF(ISERROR(VLOOKUP($K43,OFFSET(INDIRECT(""&amp;$S$29&amp;"!$A$4"),0,0,200,100),MATCH(R$30,INDIRECT(""&amp;$S$29&amp;"!$A$4"):INDIRECT(""&amp;$S$29&amp;"!$AA$4"),0),FALSE)),"",VLOOKUP($K43,OFFSET(INDIRECT(""&amp;$S$29&amp;"!$A$4"),0,0,200,100),MATCH(R$30,INDIRECT(""&amp;$S$29&amp;"!$A$4"):INDIRECT(""&amp;$S$29&amp;"!$AA$4"),0),FALSE))</f>
        <v>-4821.5117890000001</v>
      </c>
      <c r="S43" s="90">
        <f ca="1">IF(ISERROR(VLOOKUP($K43,OFFSET(INDIRECT(""&amp;$S$29&amp;"!$A$4"),0,0,200,100),MATCH(S$30,INDIRECT(""&amp;$S$29&amp;"!$A$4"):INDIRECT(""&amp;$S$29&amp;"!$AA$4"),0),FALSE)),"",VLOOKUP($K43,OFFSET(INDIRECT(""&amp;$S$29&amp;"!$A$4"),0,0,200,100),MATCH(S$30,INDIRECT(""&amp;$S$29&amp;"!$A$4"):INDIRECT(""&amp;$S$29&amp;"!$AA$4"),0),FALSE))</f>
        <v>-3345.8470619999998</v>
      </c>
      <c r="T43" s="90">
        <f ca="1">IF(ISERROR(VLOOKUP($K43,OFFSET(INDIRECT(""&amp;$S$29&amp;"!$A$4"),0,0,200,100),MATCH(T$30,INDIRECT(""&amp;$S$29&amp;"!$A$4"):INDIRECT(""&amp;$S$29&amp;"!$AA$4"),0),FALSE)),"",VLOOKUP($K43,OFFSET(INDIRECT(""&amp;$S$29&amp;"!$A$4"),0,0,200,100),MATCH(T$30,INDIRECT(""&amp;$S$29&amp;"!$A$4"):INDIRECT(""&amp;$S$29&amp;"!$AA$4"),0),FALSE))</f>
        <v>-6678.8964939999996</v>
      </c>
      <c r="U43" s="90">
        <f ca="1">IF(ISERROR(VLOOKUP($K43,OFFSET(INDIRECT(""&amp;$S$29&amp;"!$A$4"),0,0,200,100),MATCH(U$30,INDIRECT(""&amp;$S$29&amp;"!$A$4"):INDIRECT(""&amp;$S$29&amp;"!$AA$4"),0),FALSE)),"",VLOOKUP($K43,OFFSET(INDIRECT(""&amp;$S$29&amp;"!$A$4"),0,0,200,100),MATCH(U$30,INDIRECT(""&amp;$S$29&amp;"!$A$4"):INDIRECT(""&amp;$S$29&amp;"!$AA$4"),0),FALSE))</f>
        <v>-7675.629817</v>
      </c>
      <c r="V43" s="90">
        <f ca="1">IF(ISERROR(VLOOKUP($K43,OFFSET(INDIRECT(""&amp;$S$29&amp;"!$A$4"),0,0,200,100),MATCH(V$30,INDIRECT(""&amp;$S$29&amp;"!$A$4"):INDIRECT(""&amp;$S$29&amp;"!$AA$4"),0),FALSE)),"",VLOOKUP($K43,OFFSET(INDIRECT(""&amp;$S$29&amp;"!$A$4"),0,0,200,100),MATCH(V$30,INDIRECT(""&amp;$S$29&amp;"!$A$4"):INDIRECT(""&amp;$S$29&amp;"!$AA$4"),0),FALSE))</f>
        <v>-7675.629817</v>
      </c>
      <c r="W43" s="90">
        <f ca="1">IF(ISERROR(VLOOKUP($K43,OFFSET(INDIRECT(""&amp;$S$29&amp;"!$A$4"),0,0,200,100),MATCH(W$30,INDIRECT(""&amp;$S$29&amp;"!$A$4"):INDIRECT(""&amp;$S$29&amp;"!$AA$4"),0),FALSE)),"",VLOOKUP($K43,OFFSET(INDIRECT(""&amp;$S$29&amp;"!$A$4"),0,0,200,100),MATCH(W$30,INDIRECT(""&amp;$S$29&amp;"!$A$4"):INDIRECT(""&amp;$S$29&amp;"!$AA$4"),0),FALSE))</f>
        <v>-5083.0052569999998</v>
      </c>
      <c r="X43" s="90">
        <f ca="1">IF(ISERROR(VLOOKUP($K43,OFFSET(INDIRECT(""&amp;$S$29&amp;"!$A$4"),0,0,200,100),MATCH(X$30,INDIRECT(""&amp;$S$29&amp;"!$A$4"):INDIRECT(""&amp;$S$29&amp;"!$AA$4"),0),FALSE)),"",VLOOKUP($K43,OFFSET(INDIRECT(""&amp;$S$29&amp;"!$A$4"),0,0,200,100),MATCH(X$30,INDIRECT(""&amp;$S$29&amp;"!$A$4"):INDIRECT(""&amp;$S$29&amp;"!$AA$4"),0),FALSE))</f>
        <v>-4944.4050150000003</v>
      </c>
      <c r="Y43" s="90">
        <f ca="1">IF(ISERROR(VLOOKUP($K43,OFFSET(INDIRECT(""&amp;$S$29&amp;"!$A$4"),0,0,200,100),MATCH(Y$30,INDIRECT(""&amp;$S$29&amp;"!$A$4"):INDIRECT(""&amp;$S$29&amp;"!$AA$4"),0),FALSE)),"",VLOOKUP($K43,OFFSET(INDIRECT(""&amp;$S$29&amp;"!$A$4"),0,0,200,100),MATCH(Y$30,INDIRECT(""&amp;$S$29&amp;"!$A$4"):INDIRECT(""&amp;$S$29&amp;"!$AA$4"),0),FALSE))</f>
        <v>-4990.6641520000003</v>
      </c>
      <c r="Z43" s="90">
        <f ca="1">IF(ISERROR(VLOOKUP($K43,OFFSET(INDIRECT(""&amp;$S$29&amp;"!$A$4"),0,0,200,100),MATCH(Z$30,INDIRECT(""&amp;$S$29&amp;"!$A$4"):INDIRECT(""&amp;$S$29&amp;"!$AA$4"),0),FALSE)),"",VLOOKUP($K43,OFFSET(INDIRECT(""&amp;$S$29&amp;"!$A$4"),0,0,200,100),MATCH(Z$30,INDIRECT(""&amp;$S$29&amp;"!$A$4"):INDIRECT(""&amp;$S$29&amp;"!$AA$4"),0),FALSE))</f>
        <v>-4990.6641520000003</v>
      </c>
      <c r="AA43" s="90">
        <f t="shared" ca="1" si="61"/>
        <v>-4990.6641520000003</v>
      </c>
      <c r="AB43" s="110"/>
      <c r="AC43" s="87">
        <f t="shared" ca="1" si="48"/>
        <v>-6.9429919561787698E-3</v>
      </c>
      <c r="AD43" s="87">
        <f t="shared" ca="1" si="49"/>
        <v>-9.1716199027552184E-3</v>
      </c>
      <c r="AE43" s="87">
        <f t="shared" ca="1" si="50"/>
        <v>-1.7500328336814527E-2</v>
      </c>
      <c r="AF43" s="87">
        <f t="shared" ca="1" si="51"/>
        <v>-1.3502205441174177E-2</v>
      </c>
      <c r="AG43" s="87">
        <f t="shared" ca="1" si="52"/>
        <v>-1.4962001945566778E-2</v>
      </c>
      <c r="AH43" s="87">
        <f t="shared" ca="1" si="52"/>
        <v>-1.4962001945566778E-2</v>
      </c>
      <c r="AI43" s="145"/>
      <c r="AJ43" s="87">
        <f t="shared" ca="1" si="53"/>
        <v>-6.1816927739501695E-3</v>
      </c>
      <c r="AK43" s="87">
        <f t="shared" ca="1" si="54"/>
        <v>-8.8931421403686574E-3</v>
      </c>
      <c r="AL43" s="87">
        <f t="shared" ca="1" si="55"/>
        <v>-1.1653475801465989E-2</v>
      </c>
      <c r="AM43" s="87">
        <f t="shared" ca="1" si="56"/>
        <v>-1.2133006599317413E-2</v>
      </c>
      <c r="AN43" s="87">
        <f t="shared" ca="1" si="57"/>
        <v>-8.3020544290103408E-3</v>
      </c>
      <c r="AO43" s="87">
        <f t="shared" ca="1" si="58"/>
        <v>-1.7608484624570403E-2</v>
      </c>
      <c r="AP43" s="87">
        <f t="shared" ca="1" si="58"/>
        <v>-2.0823871075178958E-2</v>
      </c>
      <c r="AQ43" s="87">
        <f t="shared" ca="1" si="58"/>
        <v>-2.1261337087994159E-2</v>
      </c>
      <c r="AR43" s="87">
        <f t="shared" ca="1" si="58"/>
        <v>-1.3856525644977115E-2</v>
      </c>
      <c r="AS43" s="87">
        <f t="shared" ca="1" si="58"/>
        <v>-1.3409521546508259E-2</v>
      </c>
      <c r="AT43" s="87">
        <f t="shared" ca="1" si="59"/>
        <v>-1.475540114893603E-2</v>
      </c>
      <c r="AU43" s="87">
        <f t="shared" ca="1" si="59"/>
        <v>-1.4818985492877629E-2</v>
      </c>
      <c r="AV43" s="87">
        <f t="shared" ca="1" si="60"/>
        <v>-1.475540114893603E-2</v>
      </c>
    </row>
    <row r="44" spans="1:48" s="108" customFormat="1" ht="15.95" customHeight="1">
      <c r="A44" s="85" t="s">
        <v>245</v>
      </c>
      <c r="B44" s="116" t="s">
        <v>128</v>
      </c>
      <c r="C44" s="76">
        <f ca="1">IF(ISERROR(VLOOKUP($B44,OFFSET(INDIRECT(""&amp;$B$29&amp;"!$A$4"),0,0,200,100),MATCH(C$30,INDIRECT(""&amp;$B$29&amp;"!$A$4"):INDIRECT(""&amp;$B$29&amp;"!$o$4"),0),FALSE)),"",VLOOKUP($B44,OFFSET(INDIRECT(""&amp;$B$29&amp;"!$A$4"),0,0,200,100),MATCH(C$30,INDIRECT(""&amp;$B$29&amp;"!$A$4"):INDIRECT(""&amp;$B$29&amp;"!$o$4"),0),FALSE))</f>
        <v>1795.8010360000001</v>
      </c>
      <c r="D44" s="76">
        <f ca="1">IF(ISERROR(VLOOKUP($B44,OFFSET(INDIRECT(""&amp;$B$29&amp;"!$A$4"),0,0,200,100),MATCH(D$30,INDIRECT(""&amp;$B$29&amp;"!$A$4"):INDIRECT(""&amp;$B$29&amp;"!$o$4"),0),FALSE)),"",VLOOKUP($B44,OFFSET(INDIRECT(""&amp;$B$29&amp;"!$A$4"),0,0,200,100),MATCH(D$30,INDIRECT(""&amp;$B$29&amp;"!$A$4"):INDIRECT(""&amp;$B$29&amp;"!$o$4"),0),FALSE))</f>
        <v>15085.247455000001</v>
      </c>
      <c r="E44" s="76">
        <f ca="1">IF(ISERROR(VLOOKUP($B44,OFFSET(INDIRECT(""&amp;$B$29&amp;"!$A$4"),0,0,200,100),MATCH(E$30,INDIRECT(""&amp;$B$29&amp;"!$A$4"):INDIRECT(""&amp;$B$29&amp;"!$o$4"),0),FALSE)),"",VLOOKUP($B44,OFFSET(INDIRECT(""&amp;$B$29&amp;"!$A$4"),0,0,200,100),MATCH(E$30,INDIRECT(""&amp;$B$29&amp;"!$A$4"):INDIRECT(""&amp;$B$29&amp;"!$o$4"),0),FALSE))</f>
        <v>26247.090038999999</v>
      </c>
      <c r="F44" s="76">
        <f ca="1">IF(ISERROR(VLOOKUP($B44,OFFSET(INDIRECT(""&amp;$B$29&amp;"!$A$4"),0,0,200,100),MATCH(F$30,INDIRECT(""&amp;$B$29&amp;"!$A$4"):INDIRECT(""&amp;$B$29&amp;"!$o$4"),0),FALSE)),"",VLOOKUP($B44,OFFSET(INDIRECT(""&amp;$B$29&amp;"!$A$4"),0,0,200,100),MATCH(F$30,INDIRECT(""&amp;$B$29&amp;"!$A$4"):INDIRECT(""&amp;$B$29&amp;"!$o$4"),0),FALSE))</f>
        <v>40645.311867999997</v>
      </c>
      <c r="G44" s="76">
        <f ca="1">IF(ISERROR(VLOOKUP($B44,OFFSET(INDIRECT(""&amp;$B$29&amp;"!$A$4"),0,0,200,100),MATCH(G$30,INDIRECT(""&amp;$B$29&amp;"!$A$4"):INDIRECT(""&amp;$B$29&amp;"!$o$4"),0),FALSE)),"",VLOOKUP($B44,OFFSET(INDIRECT(""&amp;$B$29&amp;"!$A$4"),0,0,200,100),MATCH(G$30,INDIRECT(""&amp;$B$29&amp;"!$A$4"):INDIRECT(""&amp;$B$29&amp;"!$o$4"),0),FALSE))</f>
        <v>34582.212185999997</v>
      </c>
      <c r="H44" s="76">
        <f ca="1">IF(ISERROR(VLOOKUP($B44,OFFSET(INDIRECT(""&amp;$B$29&amp;"!$A$4"),0,0,200,100),MATCH(H$30,INDIRECT(""&amp;$B$29&amp;"!$A$4"):INDIRECT(""&amp;$B$29&amp;"!$o$4"),0),FALSE)),"",VLOOKUP($B44,OFFSET(INDIRECT(""&amp;$B$29&amp;"!$A$4"),0,0,200,100),MATCH(H$30,INDIRECT(""&amp;$B$29&amp;"!$A$4"):INDIRECT(""&amp;$B$29&amp;"!$o$4"),0),FALSE))</f>
        <v>14167.202520000001</v>
      </c>
      <c r="I44" s="76">
        <f ca="1">IF(ISERROR(VLOOKUP($B44,OFFSET(INDIRECT(""&amp;$B$29&amp;"!$A$4"),0,0,200,100),MATCH(I$30,INDIRECT(""&amp;$B$29&amp;"!$A$4"):INDIRECT(""&amp;$B$29&amp;"!$o$4"),0),FALSE)),"",VLOOKUP($B44,OFFSET(INDIRECT(""&amp;$B$29&amp;"!$A$4"),0,0,200,100),MATCH(I$30,INDIRECT(""&amp;$B$29&amp;"!$A$4"):INDIRECT(""&amp;$B$29&amp;"!$o$4"),0),FALSE))</f>
        <v>3886.809745</v>
      </c>
      <c r="J44" s="76">
        <f ca="1">IF(ISERROR(VLOOKUP($B44,OFFSET(INDIRECT(""&amp;$B$29&amp;"!$A$4"),0,0,200,100),MATCH(J$30,INDIRECT(""&amp;$B$29&amp;"!$A$4"):INDIRECT(""&amp;$B$29&amp;"!$o$4"),0),FALSE)),"",VLOOKUP($B44,OFFSET(INDIRECT(""&amp;$B$29&amp;"!$A$4"),0,0,200,100),MATCH(J$30,INDIRECT(""&amp;$B$29&amp;"!$A$4"):INDIRECT(""&amp;$B$29&amp;"!$o$4"),0),FALSE))</f>
        <v>3886.809745</v>
      </c>
      <c r="K44" s="109" t="s">
        <v>128</v>
      </c>
      <c r="L44" s="76">
        <f ca="1">IF(ISERROR(VLOOKUP($K44,OFFSET(INDIRECT(""&amp;$S$29&amp;"!$A$4"),0,0,200,100),MATCH(L$30,INDIRECT(""&amp;$S$29&amp;"!$A$4"):INDIRECT(""&amp;$S$29&amp;"!$AA$4"),0),FALSE)),"",VLOOKUP($K44,OFFSET(INDIRECT(""&amp;$S$29&amp;"!$A$4"),0,0,200,100),MATCH(L$30,INDIRECT(""&amp;$S$29&amp;"!$A$4"):INDIRECT(""&amp;$S$29&amp;"!$AA$4"),0),FALSE))</f>
        <v>32603.480530000001</v>
      </c>
      <c r="M44" s="76">
        <f ca="1">IF(ISERROR(VLOOKUP($K44,OFFSET(INDIRECT(""&amp;$S$29&amp;"!$A$4"),0,0,200,100),MATCH(M$30,INDIRECT(""&amp;$S$29&amp;"!$A$4"):INDIRECT(""&amp;$S$29&amp;"!$AA$4"),0),FALSE)),"",VLOOKUP($K44,OFFSET(INDIRECT(""&amp;$S$29&amp;"!$A$4"),0,0,200,100),MATCH(M$30,INDIRECT(""&amp;$S$29&amp;"!$A$4"):INDIRECT(""&amp;$S$29&amp;"!$AA$4"),0),FALSE))</f>
        <v>36091.630089999999</v>
      </c>
      <c r="N44" s="76">
        <f ca="1">IF(ISERROR(VLOOKUP($K44,OFFSET(INDIRECT(""&amp;$S$29&amp;"!$A$4"),0,0,200,100),MATCH(N$30,INDIRECT(""&amp;$S$29&amp;"!$A$4"):INDIRECT(""&amp;$S$29&amp;"!$AA$4"),0),FALSE)),"",VLOOKUP($K44,OFFSET(INDIRECT(""&amp;$S$29&amp;"!$A$4"),0,0,200,100),MATCH(N$30,INDIRECT(""&amp;$S$29&amp;"!$A$4"):INDIRECT(""&amp;$S$29&amp;"!$AA$4"),0),FALSE))</f>
        <v>36285.728905999997</v>
      </c>
      <c r="O44" s="76">
        <f ca="1">IF(ISERROR(VLOOKUP($K44,OFFSET(INDIRECT(""&amp;$S$29&amp;"!$A$4"),0,0,200,100),MATCH(O$30,INDIRECT(""&amp;$S$29&amp;"!$A$4"):INDIRECT(""&amp;$S$29&amp;"!$AA$4"),0),FALSE)),"",VLOOKUP($K44,OFFSET(INDIRECT(""&amp;$S$29&amp;"!$A$4"),0,0,200,100),MATCH(O$30,INDIRECT(""&amp;$S$29&amp;"!$A$4"):INDIRECT(""&amp;$S$29&amp;"!$AA$4"),0),FALSE))</f>
        <v>38327.660928999998</v>
      </c>
      <c r="P44" s="76">
        <f ca="1">IF(ISERROR(VLOOKUP($K44,OFFSET(INDIRECT(""&amp;$S$29&amp;"!$A$4"),0,0,200,100),MATCH(P$30,INDIRECT(""&amp;$S$29&amp;"!$A$4"):INDIRECT(""&amp;$S$29&amp;"!$AA$4"),0),FALSE)),"",VLOOKUP($K44,OFFSET(INDIRECT(""&amp;$S$29&amp;"!$A$4"),0,0,200,100),MATCH(P$30,INDIRECT(""&amp;$S$29&amp;"!$A$4"):INDIRECT(""&amp;$S$29&amp;"!$AA$4"),0),FALSE))</f>
        <v>38719.085147999998</v>
      </c>
      <c r="Q44" s="76">
        <f ca="1">IF(ISERROR(VLOOKUP($K44,OFFSET(INDIRECT(""&amp;$S$29&amp;"!$A$4"),0,0,200,100),MATCH(Q$30,INDIRECT(""&amp;$S$29&amp;"!$A$4"):INDIRECT(""&amp;$S$29&amp;"!$AA$4"),0),FALSE)),"",VLOOKUP($K44,OFFSET(INDIRECT(""&amp;$S$29&amp;"!$A$4"),0,0,200,100),MATCH(Q$30,INDIRECT(""&amp;$S$29&amp;"!$A$4"):INDIRECT(""&amp;$S$29&amp;"!$AA$4"),0),FALSE))</f>
        <v>38814.411655999997</v>
      </c>
      <c r="R44" s="76">
        <f ca="1">IF(ISERROR(VLOOKUP($K44,OFFSET(INDIRECT(""&amp;$S$29&amp;"!$A$4"),0,0,200,100),MATCH(R$30,INDIRECT(""&amp;$S$29&amp;"!$A$4"):INDIRECT(""&amp;$S$29&amp;"!$AA$4"),0),FALSE)),"",VLOOKUP($K44,OFFSET(INDIRECT(""&amp;$S$29&amp;"!$A$4"),0,0,200,100),MATCH(R$30,INDIRECT(""&amp;$S$29&amp;"!$A$4"):INDIRECT(""&amp;$S$29&amp;"!$AA$4"),0),FALSE))</f>
        <v>33445.382874000003</v>
      </c>
      <c r="S44" s="76">
        <f ca="1">IF(ISERROR(VLOOKUP($K44,OFFSET(INDIRECT(""&amp;$S$29&amp;"!$A$4"),0,0,200,100),MATCH(S$30,INDIRECT(""&amp;$S$29&amp;"!$A$4"):INDIRECT(""&amp;$S$29&amp;"!$AA$4"),0),FALSE)),"",VLOOKUP($K44,OFFSET(INDIRECT(""&amp;$S$29&amp;"!$A$4"),0,0,200,100),MATCH(S$30,INDIRECT(""&amp;$S$29&amp;"!$A$4"):INDIRECT(""&amp;$S$29&amp;"!$AA$4"),0),FALSE))</f>
        <v>31764.793709000001</v>
      </c>
      <c r="T44" s="76">
        <f ca="1">IF(ISERROR(VLOOKUP($K44,OFFSET(INDIRECT(""&amp;$S$29&amp;"!$A$4"),0,0,200,100),MATCH(T$30,INDIRECT(""&amp;$S$29&amp;"!$A$4"):INDIRECT(""&amp;$S$29&amp;"!$AA$4"),0),FALSE)),"",VLOOKUP($K44,OFFSET(INDIRECT(""&amp;$S$29&amp;"!$A$4"),0,0,200,100),MATCH(T$30,INDIRECT(""&amp;$S$29&amp;"!$A$4"):INDIRECT(""&amp;$S$29&amp;"!$AA$4"),0),FALSE))</f>
        <v>28442.188886</v>
      </c>
      <c r="U44" s="76">
        <f ca="1">IF(ISERROR(VLOOKUP($K44,OFFSET(INDIRECT(""&amp;$S$29&amp;"!$A$4"),0,0,200,100),MATCH(U$30,INDIRECT(""&amp;$S$29&amp;"!$A$4"):INDIRECT(""&amp;$S$29&amp;"!$AA$4"),0),FALSE)),"",VLOOKUP($K44,OFFSET(INDIRECT(""&amp;$S$29&amp;"!$A$4"),0,0,200,100),MATCH(U$30,INDIRECT(""&amp;$S$29&amp;"!$A$4"):INDIRECT(""&amp;$S$29&amp;"!$AA$4"),0),FALSE))</f>
        <v>24100.777649</v>
      </c>
      <c r="V44" s="76">
        <f ca="1">IF(ISERROR(VLOOKUP($K44,OFFSET(INDIRECT(""&amp;$S$29&amp;"!$A$4"),0,0,200,100),MATCH(V$30,INDIRECT(""&amp;$S$29&amp;"!$A$4"):INDIRECT(""&amp;$S$29&amp;"!$AA$4"),0),FALSE)),"",VLOOKUP($K44,OFFSET(INDIRECT(""&amp;$S$29&amp;"!$A$4"),0,0,200,100),MATCH(V$30,INDIRECT(""&amp;$S$29&amp;"!$A$4"):INDIRECT(""&amp;$S$29&amp;"!$AA$4"),0),FALSE))</f>
        <v>17677.74049</v>
      </c>
      <c r="W44" s="76">
        <f ca="1">IF(ISERROR(VLOOKUP($K44,OFFSET(INDIRECT(""&amp;$S$29&amp;"!$A$4"),0,0,200,100),MATCH(W$30,INDIRECT(""&amp;$S$29&amp;"!$A$4"):INDIRECT(""&amp;$S$29&amp;"!$AA$4"),0),FALSE)),"",VLOOKUP($K44,OFFSET(INDIRECT(""&amp;$S$29&amp;"!$A$4"),0,0,200,100),MATCH(W$30,INDIRECT(""&amp;$S$29&amp;"!$A$4"):INDIRECT(""&amp;$S$29&amp;"!$AA$4"),0),FALSE))</f>
        <v>14167.202520000001</v>
      </c>
      <c r="X44" s="76">
        <f ca="1">IF(ISERROR(VLOOKUP($K44,OFFSET(INDIRECT(""&amp;$S$29&amp;"!$A$4"),0,0,200,100),MATCH(X$30,INDIRECT(""&amp;$S$29&amp;"!$A$4"):INDIRECT(""&amp;$S$29&amp;"!$AA$4"),0),FALSE)),"",VLOOKUP($K44,OFFSET(INDIRECT(""&amp;$S$29&amp;"!$A$4"),0,0,200,100),MATCH(X$30,INDIRECT(""&amp;$S$29&amp;"!$A$4"):INDIRECT(""&amp;$S$29&amp;"!$AA$4"),0),FALSE))</f>
        <v>9280.4111909999992</v>
      </c>
      <c r="Y44" s="76">
        <f ca="1">IF(ISERROR(VLOOKUP($K44,OFFSET(INDIRECT(""&amp;$S$29&amp;"!$A$4"),0,0,200,100),MATCH(Y$30,INDIRECT(""&amp;$S$29&amp;"!$A$4"):INDIRECT(""&amp;$S$29&amp;"!$AA$4"),0),FALSE)),"",VLOOKUP($K44,OFFSET(INDIRECT(""&amp;$S$29&amp;"!$A$4"),0,0,200,100),MATCH(Y$30,INDIRECT(""&amp;$S$29&amp;"!$A$4"):INDIRECT(""&amp;$S$29&amp;"!$AA$4"),0),FALSE))</f>
        <v>0</v>
      </c>
      <c r="Z44" s="76">
        <f ca="1">IF(ISERROR(VLOOKUP($K44,OFFSET(INDIRECT(""&amp;$S$29&amp;"!$A$4"),0,0,200,100),MATCH(Z$30,INDIRECT(""&amp;$S$29&amp;"!$A$4"):INDIRECT(""&amp;$S$29&amp;"!$AA$4"),0),FALSE)),"",VLOOKUP($K44,OFFSET(INDIRECT(""&amp;$S$29&amp;"!$A$4"),0,0,200,100),MATCH(Z$30,INDIRECT(""&amp;$S$29&amp;"!$A$4"):INDIRECT(""&amp;$S$29&amp;"!$AA$4"),0),FALSE))</f>
        <v>19.100000000000001</v>
      </c>
      <c r="AA44" s="76">
        <f t="shared" ca="1" si="61"/>
        <v>0</v>
      </c>
      <c r="AB44" s="110"/>
      <c r="AC44" s="87">
        <f t="shared" ca="1" si="48"/>
        <v>7.5242302903704358E-2</v>
      </c>
      <c r="AD44" s="87">
        <f t="shared" ca="1" si="49"/>
        <v>0.1077918566202364</v>
      </c>
      <c r="AE44" s="87">
        <f t="shared" ca="1" si="50"/>
        <v>9.0613781544911079E-2</v>
      </c>
      <c r="AF44" s="87">
        <f t="shared" ca="1" si="51"/>
        <v>3.8687866056976022E-2</v>
      </c>
      <c r="AG44" s="87">
        <f t="shared" ca="1" si="52"/>
        <v>1.1404610760933976E-2</v>
      </c>
      <c r="AH44" s="87">
        <f t="shared" ca="1" si="52"/>
        <v>1.1404610760933976E-2</v>
      </c>
      <c r="AI44" s="144"/>
      <c r="AJ44" s="87">
        <f t="shared" ca="1" si="53"/>
        <v>9.78259308521124E-2</v>
      </c>
      <c r="AK44" s="87">
        <f t="shared" ca="1" si="54"/>
        <v>9.9565703136506839E-2</v>
      </c>
      <c r="AL44" s="87">
        <f t="shared" ca="1" si="55"/>
        <v>9.3813481492108691E-2</v>
      </c>
      <c r="AM44" s="87">
        <f t="shared" ca="1" si="56"/>
        <v>8.4163032029234683E-2</v>
      </c>
      <c r="AN44" s="87">
        <f t="shared" ca="1" si="57"/>
        <v>7.8818021688285791E-2</v>
      </c>
      <c r="AO44" s="87">
        <f t="shared" ca="1" si="58"/>
        <v>7.4986016947286779E-2</v>
      </c>
      <c r="AP44" s="87">
        <f t="shared" ca="1" si="58"/>
        <v>6.5385056150413179E-2</v>
      </c>
      <c r="AQ44" s="87">
        <f t="shared" ca="1" si="58"/>
        <v>4.896697840736592E-2</v>
      </c>
      <c r="AR44" s="87">
        <f t="shared" ca="1" si="58"/>
        <v>3.8620500099940072E-2</v>
      </c>
      <c r="AS44" s="87">
        <f t="shared" ca="1" si="58"/>
        <v>2.5169029124563102E-2</v>
      </c>
      <c r="AT44" s="87">
        <f t="shared" ca="1" si="59"/>
        <v>0</v>
      </c>
      <c r="AU44" s="87">
        <f t="shared" ca="1" si="59"/>
        <v>5.6714420023742505E-5</v>
      </c>
      <c r="AV44" s="87">
        <f t="shared" ca="1" si="60"/>
        <v>0</v>
      </c>
    </row>
    <row r="45" spans="1:48" s="108" customFormat="1" ht="15.95" customHeight="1">
      <c r="A45" s="113" t="s">
        <v>246</v>
      </c>
      <c r="B45" s="111" t="s">
        <v>129</v>
      </c>
      <c r="C45" s="90">
        <f ca="1">IF(ISERROR(VLOOKUP($B45,OFFSET(INDIRECT(""&amp;$B$29&amp;"!$A$4"),0,0,200,100),MATCH(C$30,INDIRECT(""&amp;$B$29&amp;"!$A$4"):INDIRECT(""&amp;$B$29&amp;"!$o$4"),0),FALSE)),"",VLOOKUP($B45,OFFSET(INDIRECT(""&amp;$B$29&amp;"!$A$4"),0,0,200,100),MATCH(C$30,INDIRECT(""&amp;$B$29&amp;"!$A$4"):INDIRECT(""&amp;$B$29&amp;"!$o$4"),0),FALSE))</f>
        <v>2018.529601</v>
      </c>
      <c r="D45" s="90">
        <f ca="1">IF(ISERROR(VLOOKUP($B45,OFFSET(INDIRECT(""&amp;$B$29&amp;"!$A$4"),0,0,200,100),MATCH(D$30,INDIRECT(""&amp;$B$29&amp;"!$A$4"):INDIRECT(""&amp;$B$29&amp;"!$o$4"),0),FALSE)),"",VLOOKUP($B45,OFFSET(INDIRECT(""&amp;$B$29&amp;"!$A$4"),0,0,200,100),MATCH(D$30,INDIRECT(""&amp;$B$29&amp;"!$A$4"):INDIRECT(""&amp;$B$29&amp;"!$o$4"),0),FALSE))</f>
        <v>15307.97602</v>
      </c>
      <c r="E45" s="90">
        <f ca="1">IF(ISERROR(VLOOKUP($B45,OFFSET(INDIRECT(""&amp;$B$29&amp;"!$A$4"),0,0,200,100),MATCH(E$30,INDIRECT(""&amp;$B$29&amp;"!$A$4"):INDIRECT(""&amp;$B$29&amp;"!$o$4"),0),FALSE)),"",VLOOKUP($B45,OFFSET(INDIRECT(""&amp;$B$29&amp;"!$A$4"),0,0,200,100),MATCH(E$30,INDIRECT(""&amp;$B$29&amp;"!$A$4"):INDIRECT(""&amp;$B$29&amp;"!$o$4"),0),FALSE))</f>
        <v>26667.920148000001</v>
      </c>
      <c r="F45" s="90">
        <f ca="1">IF(ISERROR(VLOOKUP($B45,OFFSET(INDIRECT(""&amp;$B$29&amp;"!$A$4"),0,0,200,100),MATCH(F$30,INDIRECT(""&amp;$B$29&amp;"!$A$4"):INDIRECT(""&amp;$B$29&amp;"!$o$4"),0),FALSE)),"",VLOOKUP($B45,OFFSET(INDIRECT(""&amp;$B$29&amp;"!$A$4"),0,0,200,100),MATCH(F$30,INDIRECT(""&amp;$B$29&amp;"!$A$4"):INDIRECT(""&amp;$B$29&amp;"!$o$4"),0),FALSE))</f>
        <v>41066.141976999999</v>
      </c>
      <c r="G45" s="90">
        <f ca="1">IF(ISERROR(VLOOKUP($B45,OFFSET(INDIRECT(""&amp;$B$29&amp;"!$A$4"),0,0,200,100),MATCH(G$30,INDIRECT(""&amp;$B$29&amp;"!$A$4"):INDIRECT(""&amp;$B$29&amp;"!$o$4"),0),FALSE)),"",VLOOKUP($B45,OFFSET(INDIRECT(""&amp;$B$29&amp;"!$A$4"),0,0,200,100),MATCH(G$30,INDIRECT(""&amp;$B$29&amp;"!$A$4"):INDIRECT(""&amp;$B$29&amp;"!$o$4"),0),FALSE))</f>
        <v>35003.042294999999</v>
      </c>
      <c r="H45" s="90">
        <f ca="1">IF(ISERROR(VLOOKUP($B45,OFFSET(INDIRECT(""&amp;$B$29&amp;"!$A$4"),0,0,200,100),MATCH(H$30,INDIRECT(""&amp;$B$29&amp;"!$A$4"):INDIRECT(""&amp;$B$29&amp;"!$o$4"),0),FALSE)),"",VLOOKUP($B45,OFFSET(INDIRECT(""&amp;$B$29&amp;"!$A$4"),0,0,200,100),MATCH(H$30,INDIRECT(""&amp;$B$29&amp;"!$A$4"):INDIRECT(""&amp;$B$29&amp;"!$o$4"),0),FALSE))</f>
        <v>15332.816778</v>
      </c>
      <c r="I45" s="90">
        <f ca="1">IF(ISERROR(VLOOKUP($B45,OFFSET(INDIRECT(""&amp;$B$29&amp;"!$A$4"),0,0,200,100),MATCH(I$30,INDIRECT(""&amp;$B$29&amp;"!$A$4"):INDIRECT(""&amp;$B$29&amp;"!$o$4"),0),FALSE)),"",VLOOKUP($B45,OFFSET(INDIRECT(""&amp;$B$29&amp;"!$A$4"),0,0,200,100),MATCH(I$30,INDIRECT(""&amp;$B$29&amp;"!$A$4"):INDIRECT(""&amp;$B$29&amp;"!$o$4"),0),FALSE))</f>
        <v>5052.4240030000001</v>
      </c>
      <c r="J45" s="90">
        <f ca="1">IF(ISERROR(VLOOKUP($B45,OFFSET(INDIRECT(""&amp;$B$29&amp;"!$A$4"),0,0,200,100),MATCH(J$30,INDIRECT(""&amp;$B$29&amp;"!$A$4"):INDIRECT(""&amp;$B$29&amp;"!$o$4"),0),FALSE)),"",VLOOKUP($B45,OFFSET(INDIRECT(""&amp;$B$29&amp;"!$A$4"),0,0,200,100),MATCH(J$30,INDIRECT(""&amp;$B$29&amp;"!$A$4"):INDIRECT(""&amp;$B$29&amp;"!$o$4"),0),FALSE))</f>
        <v>5052.4240030000001</v>
      </c>
      <c r="K45" s="109" t="s">
        <v>129</v>
      </c>
      <c r="L45" s="90">
        <f ca="1">IF(ISERROR(VLOOKUP($K45,OFFSET(INDIRECT(""&amp;$S$29&amp;"!$A$4"),0,0,200,100),MATCH(L$30,INDIRECT(""&amp;$S$29&amp;"!$A$4"):INDIRECT(""&amp;$S$29&amp;"!$AA$4"),0),FALSE)),"",VLOOKUP($K45,OFFSET(INDIRECT(""&amp;$S$29&amp;"!$A$4"),0,0,200,100),MATCH(L$30,INDIRECT(""&amp;$S$29&amp;"!$A$4"):INDIRECT(""&amp;$S$29&amp;"!$AA$4"),0),FALSE))</f>
        <v>33024.310639000003</v>
      </c>
      <c r="M45" s="90">
        <f ca="1">IF(ISERROR(VLOOKUP($K45,OFFSET(INDIRECT(""&amp;$S$29&amp;"!$A$4"),0,0,200,100),MATCH(M$30,INDIRECT(""&amp;$S$29&amp;"!$A$4"):INDIRECT(""&amp;$S$29&amp;"!$AA$4"),0),FALSE)),"",VLOOKUP($K45,OFFSET(INDIRECT(""&amp;$S$29&amp;"!$A$4"),0,0,200,100),MATCH(M$30,INDIRECT(""&amp;$S$29&amp;"!$A$4"):INDIRECT(""&amp;$S$29&amp;"!$AA$4"),0),FALSE))</f>
        <v>36512.460199000001</v>
      </c>
      <c r="N45" s="90">
        <f ca="1">IF(ISERROR(VLOOKUP($K45,OFFSET(INDIRECT(""&amp;$S$29&amp;"!$A$4"),0,0,200,100),MATCH(N$30,INDIRECT(""&amp;$S$29&amp;"!$A$4"):INDIRECT(""&amp;$S$29&amp;"!$AA$4"),0),FALSE)),"",VLOOKUP($K45,OFFSET(INDIRECT(""&amp;$S$29&amp;"!$A$4"),0,0,200,100),MATCH(N$30,INDIRECT(""&amp;$S$29&amp;"!$A$4"):INDIRECT(""&amp;$S$29&amp;"!$AA$4"),0),FALSE))</f>
        <v>36706.559014999999</v>
      </c>
      <c r="O45" s="90">
        <f ca="1">IF(ISERROR(VLOOKUP($K45,OFFSET(INDIRECT(""&amp;$S$29&amp;"!$A$4"),0,0,200,100),MATCH(O$30,INDIRECT(""&amp;$S$29&amp;"!$A$4"):INDIRECT(""&amp;$S$29&amp;"!$AA$4"),0),FALSE)),"",VLOOKUP($K45,OFFSET(INDIRECT(""&amp;$S$29&amp;"!$A$4"),0,0,200,100),MATCH(O$30,INDIRECT(""&amp;$S$29&amp;"!$A$4"):INDIRECT(""&amp;$S$29&amp;"!$AA$4"),0),FALSE))</f>
        <v>38748.491038</v>
      </c>
      <c r="P45" s="90">
        <f ca="1">IF(ISERROR(VLOOKUP($K45,OFFSET(INDIRECT(""&amp;$S$29&amp;"!$A$4"),0,0,200,100),MATCH(P$30,INDIRECT(""&amp;$S$29&amp;"!$A$4"):INDIRECT(""&amp;$S$29&amp;"!$AA$4"),0),FALSE)),"",VLOOKUP($K45,OFFSET(INDIRECT(""&amp;$S$29&amp;"!$A$4"),0,0,200,100),MATCH(P$30,INDIRECT(""&amp;$S$29&amp;"!$A$4"):INDIRECT(""&amp;$S$29&amp;"!$AA$4"),0),FALSE))</f>
        <v>39139.915257000001</v>
      </c>
      <c r="Q45" s="90">
        <f ca="1">IF(ISERROR(VLOOKUP($K45,OFFSET(INDIRECT(""&amp;$S$29&amp;"!$A$4"),0,0,200,100),MATCH(Q$30,INDIRECT(""&amp;$S$29&amp;"!$A$4"):INDIRECT(""&amp;$S$29&amp;"!$AA$4"),0),FALSE)),"",VLOOKUP($K45,OFFSET(INDIRECT(""&amp;$S$29&amp;"!$A$4"),0,0,200,100),MATCH(Q$30,INDIRECT(""&amp;$S$29&amp;"!$A$4"):INDIRECT(""&amp;$S$29&amp;"!$AA$4"),0),FALSE))</f>
        <v>39235.241764999999</v>
      </c>
      <c r="R45" s="90">
        <f ca="1">IF(ISERROR(VLOOKUP($K45,OFFSET(INDIRECT(""&amp;$S$29&amp;"!$A$4"),0,0,200,100),MATCH(R$30,INDIRECT(""&amp;$S$29&amp;"!$A$4"):INDIRECT(""&amp;$S$29&amp;"!$AA$4"),0),FALSE)),"",VLOOKUP($K45,OFFSET(INDIRECT(""&amp;$S$29&amp;"!$A$4"),0,0,200,100),MATCH(R$30,INDIRECT(""&amp;$S$29&amp;"!$A$4"):INDIRECT(""&amp;$S$29&amp;"!$AA$4"),0),FALSE))</f>
        <v>33866.212982999998</v>
      </c>
      <c r="S45" s="90">
        <f ca="1">IF(ISERROR(VLOOKUP($K45,OFFSET(INDIRECT(""&amp;$S$29&amp;"!$A$4"),0,0,200,100),MATCH(S$30,INDIRECT(""&amp;$S$29&amp;"!$A$4"):INDIRECT(""&amp;$S$29&amp;"!$AA$4"),0),FALSE)),"",VLOOKUP($K45,OFFSET(INDIRECT(""&amp;$S$29&amp;"!$A$4"),0,0,200,100),MATCH(S$30,INDIRECT(""&amp;$S$29&amp;"!$A$4"):INDIRECT(""&amp;$S$29&amp;"!$AA$4"),0),FALSE))</f>
        <v>32185.623818</v>
      </c>
      <c r="T45" s="90">
        <f ca="1">IF(ISERROR(VLOOKUP($K45,OFFSET(INDIRECT(""&amp;$S$29&amp;"!$A$4"),0,0,200,100),MATCH(T$30,INDIRECT(""&amp;$S$29&amp;"!$A$4"):INDIRECT(""&amp;$S$29&amp;"!$AA$4"),0),FALSE)),"",VLOOKUP($K45,OFFSET(INDIRECT(""&amp;$S$29&amp;"!$A$4"),0,0,200,100),MATCH(T$30,INDIRECT(""&amp;$S$29&amp;"!$A$4"):INDIRECT(""&amp;$S$29&amp;"!$AA$4"),0),FALSE))</f>
        <v>28863.018994999999</v>
      </c>
      <c r="U45" s="90">
        <f ca="1">IF(ISERROR(VLOOKUP($K45,OFFSET(INDIRECT(""&amp;$S$29&amp;"!$A$4"),0,0,200,100),MATCH(U$30,INDIRECT(""&amp;$S$29&amp;"!$A$4"):INDIRECT(""&amp;$S$29&amp;"!$AA$4"),0),FALSE)),"",VLOOKUP($K45,OFFSET(INDIRECT(""&amp;$S$29&amp;"!$A$4"),0,0,200,100),MATCH(U$30,INDIRECT(""&amp;$S$29&amp;"!$A$4"):INDIRECT(""&amp;$S$29&amp;"!$AA$4"),0),FALSE))</f>
        <v>25266.391907000001</v>
      </c>
      <c r="V45" s="90">
        <f ca="1">IF(ISERROR(VLOOKUP($K45,OFFSET(INDIRECT(""&amp;$S$29&amp;"!$A$4"),0,0,200,100),MATCH(V$30,INDIRECT(""&amp;$S$29&amp;"!$A$4"):INDIRECT(""&amp;$S$29&amp;"!$AA$4"),0),FALSE)),"",VLOOKUP($K45,OFFSET(INDIRECT(""&amp;$S$29&amp;"!$A$4"),0,0,200,100),MATCH(V$30,INDIRECT(""&amp;$S$29&amp;"!$A$4"):INDIRECT(""&amp;$S$29&amp;"!$AA$4"),0),FALSE))</f>
        <v>18843.354748000002</v>
      </c>
      <c r="W45" s="90">
        <f ca="1">IF(ISERROR(VLOOKUP($K45,OFFSET(INDIRECT(""&amp;$S$29&amp;"!$A$4"),0,0,200,100),MATCH(W$30,INDIRECT(""&amp;$S$29&amp;"!$A$4"):INDIRECT(""&amp;$S$29&amp;"!$AA$4"),0),FALSE)),"",VLOOKUP($K45,OFFSET(INDIRECT(""&amp;$S$29&amp;"!$A$4"),0,0,200,100),MATCH(W$30,INDIRECT(""&amp;$S$29&amp;"!$A$4"):INDIRECT(""&amp;$S$29&amp;"!$AA$4"),0),FALSE))</f>
        <v>15332.816778</v>
      </c>
      <c r="X45" s="90">
        <f ca="1">IF(ISERROR(VLOOKUP($K45,OFFSET(INDIRECT(""&amp;$S$29&amp;"!$A$4"),0,0,200,100),MATCH(X$30,INDIRECT(""&amp;$S$29&amp;"!$A$4"):INDIRECT(""&amp;$S$29&amp;"!$AA$4"),0),FALSE)),"",VLOOKUP($K45,OFFSET(INDIRECT(""&amp;$S$29&amp;"!$A$4"),0,0,200,100),MATCH(X$30,INDIRECT(""&amp;$S$29&amp;"!$A$4"):INDIRECT(""&amp;$S$29&amp;"!$AA$4"),0),FALSE))</f>
        <v>10446.025449000001</v>
      </c>
      <c r="Y45" s="90">
        <f ca="1">IF(ISERROR(VLOOKUP($K45,OFFSET(INDIRECT(""&amp;$S$29&amp;"!$A$4"),0,0,200,100),MATCH(Y$30,INDIRECT(""&amp;$S$29&amp;"!$A$4"):INDIRECT(""&amp;$S$29&amp;"!$AA$4"),0),FALSE)),"",VLOOKUP($K45,OFFSET(INDIRECT(""&amp;$S$29&amp;"!$A$4"),0,0,200,100),MATCH(Y$30,INDIRECT(""&amp;$S$29&amp;"!$A$4"):INDIRECT(""&amp;$S$29&amp;"!$AA$4"),0),FALSE))</f>
        <v>1165.6142580000001</v>
      </c>
      <c r="Z45" s="90">
        <f ca="1">IF(ISERROR(VLOOKUP($K45,OFFSET(INDIRECT(""&amp;$S$29&amp;"!$A$4"),0,0,200,100),MATCH(Z$30,INDIRECT(""&amp;$S$29&amp;"!$A$4"):INDIRECT(""&amp;$S$29&amp;"!$AA$4"),0),FALSE)),"",VLOOKUP($K45,OFFSET(INDIRECT(""&amp;$S$29&amp;"!$A$4"),0,0,200,100),MATCH(Z$30,INDIRECT(""&amp;$S$29&amp;"!$A$4"):INDIRECT(""&amp;$S$29&amp;"!$AA$4"),0),FALSE))</f>
        <v>1184.714258</v>
      </c>
      <c r="AA45" s="90">
        <f t="shared" ca="1" si="61"/>
        <v>1165.6142580000001</v>
      </c>
      <c r="AB45" s="110"/>
      <c r="AC45" s="87">
        <f t="shared" ca="1" si="48"/>
        <v>7.6448692887711264E-2</v>
      </c>
      <c r="AD45" s="87">
        <f t="shared" ca="1" si="49"/>
        <v>0.10890790313792889</v>
      </c>
      <c r="AE45" s="87">
        <f t="shared" ca="1" si="50"/>
        <v>9.1716458474870019E-2</v>
      </c>
      <c r="AF45" s="87">
        <f t="shared" ca="1" si="51"/>
        <v>4.1870931183908749E-2</v>
      </c>
      <c r="AG45" s="87">
        <f t="shared" ca="1" si="52"/>
        <v>1.4824736206226354E-2</v>
      </c>
      <c r="AH45" s="87">
        <f t="shared" ca="1" si="52"/>
        <v>1.4824736206226354E-2</v>
      </c>
      <c r="AI45" s="145"/>
      <c r="AJ45" s="87">
        <f t="shared" ca="1" si="53"/>
        <v>9.8900040154524124E-2</v>
      </c>
      <c r="AK45" s="87">
        <f t="shared" ca="1" si="54"/>
        <v>0.10064786314993274</v>
      </c>
      <c r="AL45" s="87">
        <f t="shared" ca="1" si="55"/>
        <v>9.4830617549506349E-2</v>
      </c>
      <c r="AM45" s="87">
        <f t="shared" ca="1" si="56"/>
        <v>8.5222022386022223E-2</v>
      </c>
      <c r="AN45" s="87">
        <f t="shared" ca="1" si="57"/>
        <v>7.9862227955202231E-2</v>
      </c>
      <c r="AO45" s="87">
        <f t="shared" ca="1" si="58"/>
        <v>7.6095508689004845E-2</v>
      </c>
      <c r="AP45" s="87">
        <f t="shared" ca="1" si="58"/>
        <v>6.8547350530246784E-2</v>
      </c>
      <c r="AQ45" s="87">
        <f t="shared" ca="1" si="58"/>
        <v>5.219570598344337E-2</v>
      </c>
      <c r="AR45" s="87">
        <f t="shared" ca="1" si="58"/>
        <v>4.1798022656283157E-2</v>
      </c>
      <c r="AS45" s="87">
        <f t="shared" ca="1" si="58"/>
        <v>2.8330244571143637E-2</v>
      </c>
      <c r="AT45" s="87">
        <f t="shared" ca="1" si="59"/>
        <v>3.4462559366606358E-3</v>
      </c>
      <c r="AU45" s="87">
        <f t="shared" ca="1" si="59"/>
        <v>3.5178210490224315E-3</v>
      </c>
      <c r="AV45" s="87">
        <f t="shared" ca="1" si="60"/>
        <v>3.4462559366606358E-3</v>
      </c>
    </row>
    <row r="46" spans="1:48" s="108" customFormat="1" ht="15.95" customHeight="1">
      <c r="A46" s="113" t="s">
        <v>247</v>
      </c>
      <c r="B46" s="111" t="s">
        <v>130</v>
      </c>
      <c r="C46" s="90">
        <f ca="1">IF(ISERROR(VLOOKUP($B46,OFFSET(INDIRECT(""&amp;$B$29&amp;"!$A$4"),0,0,200,100),MATCH(C$30,INDIRECT(""&amp;$B$29&amp;"!$A$4"):INDIRECT(""&amp;$B$29&amp;"!$o$4"),0),FALSE)),"",VLOOKUP($B46,OFFSET(INDIRECT(""&amp;$B$29&amp;"!$A$4"),0,0,200,100),MATCH(C$30,INDIRECT(""&amp;$B$29&amp;"!$A$4"):INDIRECT(""&amp;$B$29&amp;"!$o$4"),0),FALSE))</f>
        <v>-222.728565</v>
      </c>
      <c r="D46" s="90">
        <f ca="1">IF(ISERROR(VLOOKUP($B46,OFFSET(INDIRECT(""&amp;$B$29&amp;"!$A$4"),0,0,200,100),MATCH(D$30,INDIRECT(""&amp;$B$29&amp;"!$A$4"):INDIRECT(""&amp;$B$29&amp;"!$o$4"),0),FALSE)),"",VLOOKUP($B46,OFFSET(INDIRECT(""&amp;$B$29&amp;"!$A$4"),0,0,200,100),MATCH(D$30,INDIRECT(""&amp;$B$29&amp;"!$A$4"):INDIRECT(""&amp;$B$29&amp;"!$o$4"),0),FALSE))</f>
        <v>-222.728565</v>
      </c>
      <c r="E46" s="90">
        <f ca="1">IF(ISERROR(VLOOKUP($B46,OFFSET(INDIRECT(""&amp;$B$29&amp;"!$A$4"),0,0,200,100),MATCH(E$30,INDIRECT(""&amp;$B$29&amp;"!$A$4"):INDIRECT(""&amp;$B$29&amp;"!$o$4"),0),FALSE)),"",VLOOKUP($B46,OFFSET(INDIRECT(""&amp;$B$29&amp;"!$A$4"),0,0,200,100),MATCH(E$30,INDIRECT(""&amp;$B$29&amp;"!$A$4"):INDIRECT(""&amp;$B$29&amp;"!$o$4"),0),FALSE))</f>
        <v>-420.83010899999999</v>
      </c>
      <c r="F46" s="90">
        <f ca="1">IF(ISERROR(VLOOKUP($B46,OFFSET(INDIRECT(""&amp;$B$29&amp;"!$A$4"),0,0,200,100),MATCH(F$30,INDIRECT(""&amp;$B$29&amp;"!$A$4"):INDIRECT(""&amp;$B$29&amp;"!$o$4"),0),FALSE)),"",VLOOKUP($B46,OFFSET(INDIRECT(""&amp;$B$29&amp;"!$A$4"),0,0,200,100),MATCH(F$30,INDIRECT(""&amp;$B$29&amp;"!$A$4"):INDIRECT(""&amp;$B$29&amp;"!$o$4"),0),FALSE))</f>
        <v>-420.83010899999999</v>
      </c>
      <c r="G46" s="90">
        <f ca="1">IF(ISERROR(VLOOKUP($B46,OFFSET(INDIRECT(""&amp;$B$29&amp;"!$A$4"),0,0,200,100),MATCH(G$30,INDIRECT(""&amp;$B$29&amp;"!$A$4"):INDIRECT(""&amp;$B$29&amp;"!$o$4"),0),FALSE)),"",VLOOKUP($B46,OFFSET(INDIRECT(""&amp;$B$29&amp;"!$A$4"),0,0,200,100),MATCH(G$30,INDIRECT(""&amp;$B$29&amp;"!$A$4"):INDIRECT(""&amp;$B$29&amp;"!$o$4"),0),FALSE))</f>
        <v>-420.83010899999999</v>
      </c>
      <c r="H46" s="90">
        <f ca="1">IF(ISERROR(VLOOKUP($B46,OFFSET(INDIRECT(""&amp;$B$29&amp;"!$A$4"),0,0,200,100),MATCH(H$30,INDIRECT(""&amp;$B$29&amp;"!$A$4"):INDIRECT(""&amp;$B$29&amp;"!$o$4"),0),FALSE)),"",VLOOKUP($B46,OFFSET(INDIRECT(""&amp;$B$29&amp;"!$A$4"),0,0,200,100),MATCH(H$30,INDIRECT(""&amp;$B$29&amp;"!$A$4"):INDIRECT(""&amp;$B$29&amp;"!$o$4"),0),FALSE))</f>
        <v>-1165.6142580000001</v>
      </c>
      <c r="I46" s="90">
        <f ca="1">IF(ISERROR(VLOOKUP($B46,OFFSET(INDIRECT(""&amp;$B$29&amp;"!$A$4"),0,0,200,100),MATCH(I$30,INDIRECT(""&amp;$B$29&amp;"!$A$4"):INDIRECT(""&amp;$B$29&amp;"!$o$4"),0),FALSE)),"",VLOOKUP($B46,OFFSET(INDIRECT(""&amp;$B$29&amp;"!$A$4"),0,0,200,100),MATCH(I$30,INDIRECT(""&amp;$B$29&amp;"!$A$4"):INDIRECT(""&amp;$B$29&amp;"!$o$4"),0),FALSE))</f>
        <v>-1165.6142580000001</v>
      </c>
      <c r="J46" s="90">
        <f ca="1">IF(ISERROR(VLOOKUP($B46,OFFSET(INDIRECT(""&amp;$B$29&amp;"!$A$4"),0,0,200,100),MATCH(J$30,INDIRECT(""&amp;$B$29&amp;"!$A$4"):INDIRECT(""&amp;$B$29&amp;"!$o$4"),0),FALSE)),"",VLOOKUP($B46,OFFSET(INDIRECT(""&amp;$B$29&amp;"!$A$4"),0,0,200,100),MATCH(J$30,INDIRECT(""&amp;$B$29&amp;"!$A$4"):INDIRECT(""&amp;$B$29&amp;"!$o$4"),0),FALSE))</f>
        <v>-1165.6142580000001</v>
      </c>
      <c r="K46" s="109" t="s">
        <v>130</v>
      </c>
      <c r="L46" s="90">
        <f ca="1">IF(ISERROR(VLOOKUP($K46,OFFSET(INDIRECT(""&amp;$S$29&amp;"!$A$4"),0,0,200,100),MATCH(L$30,INDIRECT(""&amp;$S$29&amp;"!$A$4"):INDIRECT(""&amp;$S$29&amp;"!$AA$4"),0),FALSE)),"",VLOOKUP($K46,OFFSET(INDIRECT(""&amp;$S$29&amp;"!$A$4"),0,0,200,100),MATCH(L$30,INDIRECT(""&amp;$S$29&amp;"!$A$4"):INDIRECT(""&amp;$S$29&amp;"!$AA$4"),0),FALSE))</f>
        <v>-420.83010899999999</v>
      </c>
      <c r="M46" s="90">
        <f ca="1">IF(ISERROR(VLOOKUP($K46,OFFSET(INDIRECT(""&amp;$S$29&amp;"!$A$4"),0,0,200,100),MATCH(M$30,INDIRECT(""&amp;$S$29&amp;"!$A$4"):INDIRECT(""&amp;$S$29&amp;"!$AA$4"),0),FALSE)),"",VLOOKUP($K46,OFFSET(INDIRECT(""&amp;$S$29&amp;"!$A$4"),0,0,200,100),MATCH(M$30,INDIRECT(""&amp;$S$29&amp;"!$A$4"):INDIRECT(""&amp;$S$29&amp;"!$AA$4"),0),FALSE))</f>
        <v>-420.83010899999999</v>
      </c>
      <c r="N46" s="90">
        <f ca="1">IF(ISERROR(VLOOKUP($K46,OFFSET(INDIRECT(""&amp;$S$29&amp;"!$A$4"),0,0,200,100),MATCH(N$30,INDIRECT(""&amp;$S$29&amp;"!$A$4"):INDIRECT(""&amp;$S$29&amp;"!$AA$4"),0),FALSE)),"",VLOOKUP($K46,OFFSET(INDIRECT(""&amp;$S$29&amp;"!$A$4"),0,0,200,100),MATCH(N$30,INDIRECT(""&amp;$S$29&amp;"!$A$4"):INDIRECT(""&amp;$S$29&amp;"!$AA$4"),0),FALSE))</f>
        <v>-420.83010899999999</v>
      </c>
      <c r="O46" s="90">
        <f ca="1">IF(ISERROR(VLOOKUP($K46,OFFSET(INDIRECT(""&amp;$S$29&amp;"!$A$4"),0,0,200,100),MATCH(O$30,INDIRECT(""&amp;$S$29&amp;"!$A$4"):INDIRECT(""&amp;$S$29&amp;"!$AA$4"),0),FALSE)),"",VLOOKUP($K46,OFFSET(INDIRECT(""&amp;$S$29&amp;"!$A$4"),0,0,200,100),MATCH(O$30,INDIRECT(""&amp;$S$29&amp;"!$A$4"):INDIRECT(""&amp;$S$29&amp;"!$AA$4"),0),FALSE))</f>
        <v>-420.83010899999999</v>
      </c>
      <c r="P46" s="90">
        <f ca="1">IF(ISERROR(VLOOKUP($K46,OFFSET(INDIRECT(""&amp;$S$29&amp;"!$A$4"),0,0,200,100),MATCH(P$30,INDIRECT(""&amp;$S$29&amp;"!$A$4"):INDIRECT(""&amp;$S$29&amp;"!$AA$4"),0),FALSE)),"",VLOOKUP($K46,OFFSET(INDIRECT(""&amp;$S$29&amp;"!$A$4"),0,0,200,100),MATCH(P$30,INDIRECT(""&amp;$S$29&amp;"!$A$4"):INDIRECT(""&amp;$S$29&amp;"!$AA$4"),0),FALSE))</f>
        <v>-420.83010899999999</v>
      </c>
      <c r="Q46" s="90">
        <f ca="1">IF(ISERROR(VLOOKUP($K46,OFFSET(INDIRECT(""&amp;$S$29&amp;"!$A$4"),0,0,200,100),MATCH(Q$30,INDIRECT(""&amp;$S$29&amp;"!$A$4"):INDIRECT(""&amp;$S$29&amp;"!$AA$4"),0),FALSE)),"",VLOOKUP($K46,OFFSET(INDIRECT(""&amp;$S$29&amp;"!$A$4"),0,0,200,100),MATCH(Q$30,INDIRECT(""&amp;$S$29&amp;"!$A$4"):INDIRECT(""&amp;$S$29&amp;"!$AA$4"),0),FALSE))</f>
        <v>-420.83010899999999</v>
      </c>
      <c r="R46" s="90">
        <f ca="1">IF(ISERROR(VLOOKUP($K46,OFFSET(INDIRECT(""&amp;$S$29&amp;"!$A$4"),0,0,200,100),MATCH(R$30,INDIRECT(""&amp;$S$29&amp;"!$A$4"):INDIRECT(""&amp;$S$29&amp;"!$AA$4"),0),FALSE)),"",VLOOKUP($K46,OFFSET(INDIRECT(""&amp;$S$29&amp;"!$A$4"),0,0,200,100),MATCH(R$30,INDIRECT(""&amp;$S$29&amp;"!$A$4"):INDIRECT(""&amp;$S$29&amp;"!$AA$4"),0),FALSE))</f>
        <v>-420.83010899999999</v>
      </c>
      <c r="S46" s="90">
        <f ca="1">IF(ISERROR(VLOOKUP($K46,OFFSET(INDIRECT(""&amp;$S$29&amp;"!$A$4"),0,0,200,100),MATCH(S$30,INDIRECT(""&amp;$S$29&amp;"!$A$4"):INDIRECT(""&amp;$S$29&amp;"!$AA$4"),0),FALSE)),"",VLOOKUP($K46,OFFSET(INDIRECT(""&amp;$S$29&amp;"!$A$4"),0,0,200,100),MATCH(S$30,INDIRECT(""&amp;$S$29&amp;"!$A$4"):INDIRECT(""&amp;$S$29&amp;"!$AA$4"),0),FALSE))</f>
        <v>-420.83010899999999</v>
      </c>
      <c r="T46" s="90">
        <f ca="1">IF(ISERROR(VLOOKUP($K46,OFFSET(INDIRECT(""&amp;$S$29&amp;"!$A$4"),0,0,200,100),MATCH(T$30,INDIRECT(""&amp;$S$29&amp;"!$A$4"):INDIRECT(""&amp;$S$29&amp;"!$AA$4"),0),FALSE)),"",VLOOKUP($K46,OFFSET(INDIRECT(""&amp;$S$29&amp;"!$A$4"),0,0,200,100),MATCH(T$30,INDIRECT(""&amp;$S$29&amp;"!$A$4"):INDIRECT(""&amp;$S$29&amp;"!$AA$4"),0),FALSE))</f>
        <v>-420.83010899999999</v>
      </c>
      <c r="U46" s="90">
        <f ca="1">IF(ISERROR(VLOOKUP($K46,OFFSET(INDIRECT(""&amp;$S$29&amp;"!$A$4"),0,0,200,100),MATCH(U$30,INDIRECT(""&amp;$S$29&amp;"!$A$4"):INDIRECT(""&amp;$S$29&amp;"!$AA$4"),0),FALSE)),"",VLOOKUP($K46,OFFSET(INDIRECT(""&amp;$S$29&amp;"!$A$4"),0,0,200,100),MATCH(U$30,INDIRECT(""&amp;$S$29&amp;"!$A$4"):INDIRECT(""&amp;$S$29&amp;"!$AA$4"),0),FALSE))</f>
        <v>-1165.6142580000001</v>
      </c>
      <c r="V46" s="90">
        <f ca="1">IF(ISERROR(VLOOKUP($K46,OFFSET(INDIRECT(""&amp;$S$29&amp;"!$A$4"),0,0,200,100),MATCH(V$30,INDIRECT(""&amp;$S$29&amp;"!$A$4"):INDIRECT(""&amp;$S$29&amp;"!$AA$4"),0),FALSE)),"",VLOOKUP($K46,OFFSET(INDIRECT(""&amp;$S$29&amp;"!$A$4"),0,0,200,100),MATCH(V$30,INDIRECT(""&amp;$S$29&amp;"!$A$4"):INDIRECT(""&amp;$S$29&amp;"!$AA$4"),0),FALSE))</f>
        <v>-1165.6142580000001</v>
      </c>
      <c r="W46" s="90">
        <f ca="1">IF(ISERROR(VLOOKUP($K46,OFFSET(INDIRECT(""&amp;$S$29&amp;"!$A$4"),0,0,200,100),MATCH(W$30,INDIRECT(""&amp;$S$29&amp;"!$A$4"):INDIRECT(""&amp;$S$29&amp;"!$AA$4"),0),FALSE)),"",VLOOKUP($K46,OFFSET(INDIRECT(""&amp;$S$29&amp;"!$A$4"),0,0,200,100),MATCH(W$30,INDIRECT(""&amp;$S$29&amp;"!$A$4"):INDIRECT(""&amp;$S$29&amp;"!$AA$4"),0),FALSE))</f>
        <v>-1165.6142580000001</v>
      </c>
      <c r="X46" s="90">
        <f ca="1">IF(ISERROR(VLOOKUP($K46,OFFSET(INDIRECT(""&amp;$S$29&amp;"!$A$4"),0,0,200,100),MATCH(X$30,INDIRECT(""&amp;$S$29&amp;"!$A$4"):INDIRECT(""&amp;$S$29&amp;"!$AA$4"),0),FALSE)),"",VLOOKUP($K46,OFFSET(INDIRECT(""&amp;$S$29&amp;"!$A$4"),0,0,200,100),MATCH(X$30,INDIRECT(""&amp;$S$29&amp;"!$A$4"):INDIRECT(""&amp;$S$29&amp;"!$AA$4"),0),FALSE))</f>
        <v>-1165.6142580000001</v>
      </c>
      <c r="Y46" s="90">
        <f ca="1">IF(ISERROR(VLOOKUP($K46,OFFSET(INDIRECT(""&amp;$S$29&amp;"!$A$4"),0,0,200,100),MATCH(Y$30,INDIRECT(""&amp;$S$29&amp;"!$A$4"):INDIRECT(""&amp;$S$29&amp;"!$AA$4"),0),FALSE)),"",VLOOKUP($K46,OFFSET(INDIRECT(""&amp;$S$29&amp;"!$A$4"),0,0,200,100),MATCH(Y$30,INDIRECT(""&amp;$S$29&amp;"!$A$4"):INDIRECT(""&amp;$S$29&amp;"!$AA$4"),0),FALSE))</f>
        <v>-1165.6142580000001</v>
      </c>
      <c r="Z46" s="90">
        <f ca="1">IF(ISERROR(VLOOKUP($K46,OFFSET(INDIRECT(""&amp;$S$29&amp;"!$A$4"),0,0,200,100),MATCH(Z$30,INDIRECT(""&amp;$S$29&amp;"!$A$4"):INDIRECT(""&amp;$S$29&amp;"!$AA$4"),0),FALSE)),"",VLOOKUP($K46,OFFSET(INDIRECT(""&amp;$S$29&amp;"!$A$4"),0,0,200,100),MATCH(Z$30,INDIRECT(""&amp;$S$29&amp;"!$A$4"):INDIRECT(""&amp;$S$29&amp;"!$AA$4"),0),FALSE))</f>
        <v>-1165.6142580000001</v>
      </c>
      <c r="AA46" s="90">
        <f t="shared" ca="1" si="61"/>
        <v>-1165.6142580000001</v>
      </c>
      <c r="AB46" s="110"/>
      <c r="AC46" s="87">
        <f t="shared" ca="1" si="48"/>
        <v>-1.2063899840069018E-3</v>
      </c>
      <c r="AD46" s="87">
        <f t="shared" ca="1" si="49"/>
        <v>-1.1160465176924855E-3</v>
      </c>
      <c r="AE46" s="87">
        <f t="shared" ca="1" si="50"/>
        <v>-1.1026769299589398E-3</v>
      </c>
      <c r="AF46" s="87">
        <f t="shared" ca="1" si="51"/>
        <v>-3.1830651269327296E-3</v>
      </c>
      <c r="AG46" s="87">
        <f t="shared" ca="1" si="52"/>
        <v>-3.4201254452923763E-3</v>
      </c>
      <c r="AH46" s="87">
        <f t="shared" ca="1" si="52"/>
        <v>-3.4201254452923763E-3</v>
      </c>
      <c r="AI46" s="145"/>
      <c r="AJ46" s="87">
        <f t="shared" ca="1" si="53"/>
        <v>-1.0741093024117148E-3</v>
      </c>
      <c r="AK46" s="87">
        <f t="shared" ca="1" si="54"/>
        <v>-1.0821600134258889E-3</v>
      </c>
      <c r="AL46" s="87">
        <f t="shared" ca="1" si="55"/>
        <v>-1.0171360573976592E-3</v>
      </c>
      <c r="AM46" s="87">
        <f t="shared" ca="1" si="56"/>
        <v>-1.0589903567875454E-3</v>
      </c>
      <c r="AN46" s="87">
        <f t="shared" ca="1" si="57"/>
        <v>-1.0442062669164388E-3</v>
      </c>
      <c r="AO46" s="87">
        <f t="shared" ca="1" si="58"/>
        <v>-1.1094917417180724E-3</v>
      </c>
      <c r="AP46" s="87">
        <f t="shared" ca="1" si="58"/>
        <v>-3.1622943798336103E-3</v>
      </c>
      <c r="AQ46" s="87">
        <f t="shared" ca="1" si="58"/>
        <v>-3.2287275760774477E-3</v>
      </c>
      <c r="AR46" s="87">
        <f t="shared" ca="1" si="58"/>
        <v>-3.1775225563430835E-3</v>
      </c>
      <c r="AS46" s="87">
        <f t="shared" ca="1" si="58"/>
        <v>-3.1612154465805301E-3</v>
      </c>
      <c r="AT46" s="87">
        <f t="shared" ca="1" si="59"/>
        <v>-3.4462559366606358E-3</v>
      </c>
      <c r="AU46" s="87">
        <f t="shared" ca="1" si="59"/>
        <v>-3.4611066289986893E-3</v>
      </c>
      <c r="AV46" s="87">
        <f t="shared" ca="1" si="60"/>
        <v>-3.4462559366606358E-3</v>
      </c>
    </row>
    <row r="47" spans="1:48" s="108" customFormat="1" ht="15.95" customHeight="1">
      <c r="A47" s="85" t="s">
        <v>248</v>
      </c>
      <c r="B47" s="111" t="s">
        <v>131</v>
      </c>
      <c r="C47" s="76">
        <f ca="1">IF(ISERROR(VLOOKUP($B47,OFFSET(INDIRECT(""&amp;$B$29&amp;"!$A$4"),0,0,200,100),MATCH(C$30,INDIRECT(""&amp;$B$29&amp;"!$A$4"):INDIRECT(""&amp;$B$29&amp;"!$o$4"),0),FALSE)),"",VLOOKUP($B47,OFFSET(INDIRECT(""&amp;$B$29&amp;"!$A$4"),0,0,200,100),MATCH(C$30,INDIRECT(""&amp;$B$29&amp;"!$A$4"):INDIRECT(""&amp;$B$29&amp;"!$o$4"),0),FALSE))</f>
        <v>5725.072647</v>
      </c>
      <c r="D47" s="76">
        <f ca="1">IF(ISERROR(VLOOKUP($B47,OFFSET(INDIRECT(""&amp;$B$29&amp;"!$A$4"),0,0,200,100),MATCH(D$30,INDIRECT(""&amp;$B$29&amp;"!$A$4"):INDIRECT(""&amp;$B$29&amp;"!$o$4"),0),FALSE)),"",VLOOKUP($B47,OFFSET(INDIRECT(""&amp;$B$29&amp;"!$A$4"),0,0,200,100),MATCH(D$30,INDIRECT(""&amp;$B$29&amp;"!$A$4"):INDIRECT(""&amp;$B$29&amp;"!$o$4"),0),FALSE))</f>
        <v>17653.401598</v>
      </c>
      <c r="E47" s="76">
        <f ca="1">IF(ISERROR(VLOOKUP($B47,OFFSET(INDIRECT(""&amp;$B$29&amp;"!$A$4"),0,0,200,100),MATCH(E$30,INDIRECT(""&amp;$B$29&amp;"!$A$4"):INDIRECT(""&amp;$B$29&amp;"!$o$4"),0),FALSE)),"",VLOOKUP($B47,OFFSET(INDIRECT(""&amp;$B$29&amp;"!$A$4"),0,0,200,100),MATCH(E$30,INDIRECT(""&amp;$B$29&amp;"!$A$4"):INDIRECT(""&amp;$B$29&amp;"!$o$4"),0),FALSE))</f>
        <v>8765.8849069999997</v>
      </c>
      <c r="F47" s="76">
        <f ca="1">IF(ISERROR(VLOOKUP($B47,OFFSET(INDIRECT(""&amp;$B$29&amp;"!$A$4"),0,0,200,100),MATCH(F$30,INDIRECT(""&amp;$B$29&amp;"!$A$4"):INDIRECT(""&amp;$B$29&amp;"!$o$4"),0),FALSE)),"",VLOOKUP($B47,OFFSET(INDIRECT(""&amp;$B$29&amp;"!$A$4"),0,0,200,100),MATCH(F$30,INDIRECT(""&amp;$B$29&amp;"!$A$4"):INDIRECT(""&amp;$B$29&amp;"!$o$4"),0),FALSE))</f>
        <v>7308.4745560000001</v>
      </c>
      <c r="G47" s="76">
        <f ca="1">IF(ISERROR(VLOOKUP($B47,OFFSET(INDIRECT(""&amp;$B$29&amp;"!$A$4"),0,0,200,100),MATCH(G$30,INDIRECT(""&amp;$B$29&amp;"!$A$4"):INDIRECT(""&amp;$B$29&amp;"!$o$4"),0),FALSE)),"",VLOOKUP($B47,OFFSET(INDIRECT(""&amp;$B$29&amp;"!$A$4"),0,0,200,100),MATCH(G$30,INDIRECT(""&amp;$B$29&amp;"!$A$4"):INDIRECT(""&amp;$B$29&amp;"!$o$4"),0),FALSE))</f>
        <v>10994.121347</v>
      </c>
      <c r="H47" s="76">
        <f ca="1">IF(ISERROR(VLOOKUP($B47,OFFSET(INDIRECT(""&amp;$B$29&amp;"!$A$4"),0,0,200,100),MATCH(H$30,INDIRECT(""&amp;$B$29&amp;"!$A$4"):INDIRECT(""&amp;$B$29&amp;"!$o$4"),0),FALSE)),"",VLOOKUP($B47,OFFSET(INDIRECT(""&amp;$B$29&amp;"!$A$4"),0,0,200,100),MATCH(H$30,INDIRECT(""&amp;$B$29&amp;"!$A$4"):INDIRECT(""&amp;$B$29&amp;"!$o$4"),0),FALSE))</f>
        <v>9838.5250479999995</v>
      </c>
      <c r="I47" s="76">
        <f ca="1">IF(ISERROR(VLOOKUP($B47,OFFSET(INDIRECT(""&amp;$B$29&amp;"!$A$4"),0,0,200,100),MATCH(I$30,INDIRECT(""&amp;$B$29&amp;"!$A$4"):INDIRECT(""&amp;$B$29&amp;"!$o$4"),0),FALSE)),"",VLOOKUP($B47,OFFSET(INDIRECT(""&amp;$B$29&amp;"!$A$4"),0,0,200,100),MATCH(I$30,INDIRECT(""&amp;$B$29&amp;"!$A$4"):INDIRECT(""&amp;$B$29&amp;"!$o$4"),0),FALSE))</f>
        <v>9679.1928040000003</v>
      </c>
      <c r="J47" s="76">
        <f ca="1">IF(ISERROR(VLOOKUP($B47,OFFSET(INDIRECT(""&amp;$B$29&amp;"!$A$4"),0,0,200,100),MATCH(J$30,INDIRECT(""&amp;$B$29&amp;"!$A$4"):INDIRECT(""&amp;$B$29&amp;"!$o$4"),0),FALSE)),"",VLOOKUP($B47,OFFSET(INDIRECT(""&amp;$B$29&amp;"!$A$4"),0,0,200,100),MATCH(J$30,INDIRECT(""&amp;$B$29&amp;"!$A$4"):INDIRECT(""&amp;$B$29&amp;"!$o$4"),0),FALSE))</f>
        <v>9679.1928040000003</v>
      </c>
      <c r="K47" s="109" t="s">
        <v>131</v>
      </c>
      <c r="L47" s="76">
        <f ca="1">IF(ISERROR(VLOOKUP($K47,OFFSET(INDIRECT(""&amp;$S$29&amp;"!$A$4"),0,0,200,100),MATCH(L$30,INDIRECT(""&amp;$S$29&amp;"!$A$4"):INDIRECT(""&amp;$S$29&amp;"!$AA$4"),0),FALSE)),"",VLOOKUP($K47,OFFSET(INDIRECT(""&amp;$S$29&amp;"!$A$4"),0,0,200,100),MATCH(L$30,INDIRECT(""&amp;$S$29&amp;"!$A$4"):INDIRECT(""&amp;$S$29&amp;"!$AA$4"),0),FALSE))</f>
        <v>10673.923096</v>
      </c>
      <c r="M47" s="76">
        <f ca="1">IF(ISERROR(VLOOKUP($K47,OFFSET(INDIRECT(""&amp;$S$29&amp;"!$A$4"),0,0,200,100),MATCH(M$30,INDIRECT(""&amp;$S$29&amp;"!$A$4"):INDIRECT(""&amp;$S$29&amp;"!$AA$4"),0),FALSE)),"",VLOOKUP($K47,OFFSET(INDIRECT(""&amp;$S$29&amp;"!$A$4"),0,0,200,100),MATCH(M$30,INDIRECT(""&amp;$S$29&amp;"!$A$4"):INDIRECT(""&amp;$S$29&amp;"!$AA$4"),0),FALSE))</f>
        <v>12640.201906</v>
      </c>
      <c r="N47" s="76">
        <f ca="1">IF(ISERROR(VLOOKUP($K47,OFFSET(INDIRECT(""&amp;$S$29&amp;"!$A$4"),0,0,200,100),MATCH(N$30,INDIRECT(""&amp;$S$29&amp;"!$A$4"):INDIRECT(""&amp;$S$29&amp;"!$AA$4"),0),FALSE)),"",VLOOKUP($K47,OFFSET(INDIRECT(""&amp;$S$29&amp;"!$A$4"),0,0,200,100),MATCH(N$30,INDIRECT(""&amp;$S$29&amp;"!$A$4"):INDIRECT(""&amp;$S$29&amp;"!$AA$4"),0),FALSE))</f>
        <v>8536.0258730000005</v>
      </c>
      <c r="O47" s="76">
        <f ca="1">IF(ISERROR(VLOOKUP($K47,OFFSET(INDIRECT(""&amp;$S$29&amp;"!$A$4"),0,0,200,100),MATCH(O$30,INDIRECT(""&amp;$S$29&amp;"!$A$4"):INDIRECT(""&amp;$S$29&amp;"!$AA$4"),0),FALSE)),"",VLOOKUP($K47,OFFSET(INDIRECT(""&amp;$S$29&amp;"!$A$4"),0,0,200,100),MATCH(O$30,INDIRECT(""&amp;$S$29&amp;"!$A$4"):INDIRECT(""&amp;$S$29&amp;"!$AA$4"),0),FALSE))</f>
        <v>7298.2313910000003</v>
      </c>
      <c r="P47" s="76">
        <f ca="1">IF(ISERROR(VLOOKUP($K47,OFFSET(INDIRECT(""&amp;$S$29&amp;"!$A$4"),0,0,200,100),MATCH(P$30,INDIRECT(""&amp;$S$29&amp;"!$A$4"):INDIRECT(""&amp;$S$29&amp;"!$AA$4"),0),FALSE)),"",VLOOKUP($K47,OFFSET(INDIRECT(""&amp;$S$29&amp;"!$A$4"),0,0,200,100),MATCH(P$30,INDIRECT(""&amp;$S$29&amp;"!$A$4"):INDIRECT(""&amp;$S$29&amp;"!$AA$4"),0),FALSE))</f>
        <v>8122.7302769999997</v>
      </c>
      <c r="Q47" s="76">
        <f ca="1">IF(ISERROR(VLOOKUP($K47,OFFSET(INDIRECT(""&amp;$S$29&amp;"!$A$4"),0,0,200,100),MATCH(Q$30,INDIRECT(""&amp;$S$29&amp;"!$A$4"):INDIRECT(""&amp;$S$29&amp;"!$AA$4"),0),FALSE)),"",VLOOKUP($K47,OFFSET(INDIRECT(""&amp;$S$29&amp;"!$A$4"),0,0,200,100),MATCH(Q$30,INDIRECT(""&amp;$S$29&amp;"!$A$4"):INDIRECT(""&amp;$S$29&amp;"!$AA$4"),0),FALSE))</f>
        <v>8146.8373019999999</v>
      </c>
      <c r="R47" s="76">
        <f ca="1">IF(ISERROR(VLOOKUP($K47,OFFSET(INDIRECT(""&amp;$S$29&amp;"!$A$4"),0,0,200,100),MATCH(R$30,INDIRECT(""&amp;$S$29&amp;"!$A$4"):INDIRECT(""&amp;$S$29&amp;"!$AA$4"),0),FALSE)),"",VLOOKUP($K47,OFFSET(INDIRECT(""&amp;$S$29&amp;"!$A$4"),0,0,200,100),MATCH(R$30,INDIRECT(""&amp;$S$29&amp;"!$A$4"):INDIRECT(""&amp;$S$29&amp;"!$AA$4"),0),FALSE))</f>
        <v>10354.266941</v>
      </c>
      <c r="S47" s="76">
        <f ca="1">IF(ISERROR(VLOOKUP($K47,OFFSET(INDIRECT(""&amp;$S$29&amp;"!$A$4"),0,0,200,100),MATCH(S$30,INDIRECT(""&amp;$S$29&amp;"!$A$4"):INDIRECT(""&amp;$S$29&amp;"!$AA$4"),0),FALSE)),"",VLOOKUP($K47,OFFSET(INDIRECT(""&amp;$S$29&amp;"!$A$4"),0,0,200,100),MATCH(S$30,INDIRECT(""&amp;$S$29&amp;"!$A$4"):INDIRECT(""&amp;$S$29&amp;"!$AA$4"),0),FALSE))</f>
        <v>12414.465480999999</v>
      </c>
      <c r="T47" s="76">
        <f ca="1">IF(ISERROR(VLOOKUP($K47,OFFSET(INDIRECT(""&amp;$S$29&amp;"!$A$4"),0,0,200,100),MATCH(T$30,INDIRECT(""&amp;$S$29&amp;"!$A$4"):INDIRECT(""&amp;$S$29&amp;"!$AA$4"),0),FALSE)),"",VLOOKUP($K47,OFFSET(INDIRECT(""&amp;$S$29&amp;"!$A$4"),0,0,200,100),MATCH(T$30,INDIRECT(""&amp;$S$29&amp;"!$A$4"):INDIRECT(""&amp;$S$29&amp;"!$AA$4"),0),FALSE))</f>
        <v>16133.003049999999</v>
      </c>
      <c r="U47" s="76">
        <f ca="1">IF(ISERROR(VLOOKUP($K47,OFFSET(INDIRECT(""&amp;$S$29&amp;"!$A$4"),0,0,200,100),MATCH(U$30,INDIRECT(""&amp;$S$29&amp;"!$A$4"):INDIRECT(""&amp;$S$29&amp;"!$AA$4"),0),FALSE)),"",VLOOKUP($K47,OFFSET(INDIRECT(""&amp;$S$29&amp;"!$A$4"),0,0,200,100),MATCH(U$30,INDIRECT(""&amp;$S$29&amp;"!$A$4"):INDIRECT(""&amp;$S$29&amp;"!$AA$4"),0),FALSE))</f>
        <v>9340.8106299999999</v>
      </c>
      <c r="V47" s="76">
        <f ca="1">IF(ISERROR(VLOOKUP($K47,OFFSET(INDIRECT(""&amp;$S$29&amp;"!$A$4"),0,0,200,100),MATCH(V$30,INDIRECT(""&amp;$S$29&amp;"!$A$4"):INDIRECT(""&amp;$S$29&amp;"!$AA$4"),0),FALSE)),"",VLOOKUP($K47,OFFSET(INDIRECT(""&amp;$S$29&amp;"!$A$4"),0,0,200,100),MATCH(V$30,INDIRECT(""&amp;$S$29&amp;"!$A$4"):INDIRECT(""&amp;$S$29&amp;"!$AA$4"),0),FALSE))</f>
        <v>11050.147569999999</v>
      </c>
      <c r="W47" s="76">
        <f ca="1">IF(ISERROR(VLOOKUP($K47,OFFSET(INDIRECT(""&amp;$S$29&amp;"!$A$4"),0,0,200,100),MATCH(W$30,INDIRECT(""&amp;$S$29&amp;"!$A$4"):INDIRECT(""&amp;$S$29&amp;"!$AA$4"),0),FALSE)),"",VLOOKUP($K47,OFFSET(INDIRECT(""&amp;$S$29&amp;"!$A$4"),0,0,200,100),MATCH(W$30,INDIRECT(""&amp;$S$29&amp;"!$A$4"):INDIRECT(""&amp;$S$29&amp;"!$AA$4"),0),FALSE))</f>
        <v>10651.209917</v>
      </c>
      <c r="X47" s="76">
        <f ca="1">IF(ISERROR(VLOOKUP($K47,OFFSET(INDIRECT(""&amp;$S$29&amp;"!$A$4"),0,0,200,100),MATCH(X$30,INDIRECT(""&amp;$S$29&amp;"!$A$4"):INDIRECT(""&amp;$S$29&amp;"!$AA$4"),0),FALSE)),"",VLOOKUP($K47,OFFSET(INDIRECT(""&amp;$S$29&amp;"!$A$4"),0,0,200,100),MATCH(X$30,INDIRECT(""&amp;$S$29&amp;"!$A$4"):INDIRECT(""&amp;$S$29&amp;"!$AA$4"),0),FALSE))</f>
        <v>10753.330706999999</v>
      </c>
      <c r="Y47" s="76">
        <f ca="1">IF(ISERROR(VLOOKUP($K47,OFFSET(INDIRECT(""&amp;$S$29&amp;"!$A$4"),0,0,200,100),MATCH(Y$30,INDIRECT(""&amp;$S$29&amp;"!$A$4"):INDIRECT(""&amp;$S$29&amp;"!$AA$4"),0),FALSE)),"",VLOOKUP($K47,OFFSET(INDIRECT(""&amp;$S$29&amp;"!$A$4"),0,0,200,100),MATCH(Y$30,INDIRECT(""&amp;$S$29&amp;"!$A$4"):INDIRECT(""&amp;$S$29&amp;"!$AA$4"),0),FALSE))</f>
        <v>10623.825005000001</v>
      </c>
      <c r="Z47" s="76">
        <f ca="1">IF(ISERROR(VLOOKUP($K47,OFFSET(INDIRECT(""&amp;$S$29&amp;"!$A$4"),0,0,200,100),MATCH(Z$30,INDIRECT(""&amp;$S$29&amp;"!$A$4"):INDIRECT(""&amp;$S$29&amp;"!$AA$4"),0),FALSE)),"",VLOOKUP($K47,OFFSET(INDIRECT(""&amp;$S$29&amp;"!$A$4"),0,0,200,100),MATCH(Z$30,INDIRECT(""&amp;$S$29&amp;"!$A$4"):INDIRECT(""&amp;$S$29&amp;"!$AA$4"),0),FALSE))</f>
        <v>11596.576881999999</v>
      </c>
      <c r="AA47" s="76">
        <f t="shared" ca="1" si="61"/>
        <v>10623.825005000001</v>
      </c>
      <c r="AB47" s="110"/>
      <c r="AC47" s="87">
        <f t="shared" ca="1" si="48"/>
        <v>2.5129085411429226E-2</v>
      </c>
      <c r="AD47" s="87">
        <f t="shared" ca="1" si="49"/>
        <v>1.9382162548326445E-2</v>
      </c>
      <c r="AE47" s="87">
        <f t="shared" ca="1" si="50"/>
        <v>2.8807263822717602E-2</v>
      </c>
      <c r="AF47" s="87">
        <f t="shared" ca="1" si="51"/>
        <v>2.6867092407120298E-2</v>
      </c>
      <c r="AG47" s="87">
        <f t="shared" ref="AG47:AH62" ca="1" si="62">IF(I$31="","",I47/I$31)</f>
        <v>2.840052218960697E-2</v>
      </c>
      <c r="AH47" s="87">
        <f t="shared" ca="1" si="62"/>
        <v>2.840052218960697E-2</v>
      </c>
      <c r="AI47" s="144"/>
      <c r="AJ47" s="87">
        <f t="shared" ca="1" si="53"/>
        <v>1.8627702867682144E-2</v>
      </c>
      <c r="AK47" s="87">
        <f t="shared" ca="1" si="54"/>
        <v>2.0887511890488791E-2</v>
      </c>
      <c r="AL47" s="87">
        <f t="shared" ca="1" si="55"/>
        <v>1.9690706050731893E-2</v>
      </c>
      <c r="AM47" s="87">
        <f t="shared" ca="1" si="56"/>
        <v>2.6055808763728632E-2</v>
      </c>
      <c r="AN47" s="87">
        <f t="shared" ca="1" si="57"/>
        <v>3.0804028462892142E-2</v>
      </c>
      <c r="AO47" s="87">
        <f t="shared" ref="AO47:AS62" ca="1" si="63">IF(T$31="","",T47/T$31)</f>
        <v>4.2533633573940584E-2</v>
      </c>
      <c r="AP47" s="87">
        <f t="shared" ca="1" si="63"/>
        <v>2.5341482188989357E-2</v>
      </c>
      <c r="AQ47" s="87">
        <f t="shared" ca="1" si="63"/>
        <v>3.0608682018184608E-2</v>
      </c>
      <c r="AR47" s="87">
        <f t="shared" ca="1" si="63"/>
        <v>2.9035729042714439E-2</v>
      </c>
      <c r="AS47" s="87">
        <f t="shared" ca="1" si="63"/>
        <v>2.9163674774778818E-2</v>
      </c>
      <c r="AT47" s="87">
        <f t="shared" ca="1" si="59"/>
        <v>3.1410408496843352E-2</v>
      </c>
      <c r="AU47" s="87">
        <f t="shared" ca="1" si="59"/>
        <v>3.4434195399129328E-2</v>
      </c>
      <c r="AV47" s="87">
        <f t="shared" ca="1" si="60"/>
        <v>3.1410408496843352E-2</v>
      </c>
    </row>
    <row r="48" spans="1:48" s="112" customFormat="1" ht="15.95" customHeight="1">
      <c r="A48" s="85" t="s">
        <v>249</v>
      </c>
      <c r="B48" s="116" t="s">
        <v>135</v>
      </c>
      <c r="C48" s="76">
        <f ca="1">IF(ISERROR(VLOOKUP($B48,OFFSET(INDIRECT(""&amp;$B$29&amp;"!$A$4"),0,0,200,100),MATCH(C$30,INDIRECT(""&amp;$B$29&amp;"!$A$4"):INDIRECT(""&amp;$B$29&amp;"!$o$4"),0),FALSE)),"",VLOOKUP($B48,OFFSET(INDIRECT(""&amp;$B$29&amp;"!$A$4"),0,0,200,100),MATCH(C$30,INDIRECT(""&amp;$B$29&amp;"!$A$4"):INDIRECT(""&amp;$B$29&amp;"!$o$4"),0),FALSE))</f>
        <v>107365.63011699999</v>
      </c>
      <c r="D48" s="76">
        <f ca="1">IF(ISERROR(VLOOKUP($B48,OFFSET(INDIRECT(""&amp;$B$29&amp;"!$A$4"),0,0,200,100),MATCH(D$30,INDIRECT(""&amp;$B$29&amp;"!$A$4"):INDIRECT(""&amp;$B$29&amp;"!$o$4"),0),FALSE)),"",VLOOKUP($B48,OFFSET(INDIRECT(""&amp;$B$29&amp;"!$A$4"),0,0,200,100),MATCH(D$30,INDIRECT(""&amp;$B$29&amp;"!$A$4"):INDIRECT(""&amp;$B$29&amp;"!$o$4"),0),FALSE))</f>
        <v>171803.98948799999</v>
      </c>
      <c r="E48" s="76">
        <f ca="1">IF(ISERROR(VLOOKUP($B48,OFFSET(INDIRECT(""&amp;$B$29&amp;"!$A$4"),0,0,200,100),MATCH(E$30,INDIRECT(""&amp;$B$29&amp;"!$A$4"):INDIRECT(""&amp;$B$29&amp;"!$o$4"),0),FALSE)),"",VLOOKUP($B48,OFFSET(INDIRECT(""&amp;$B$29&amp;"!$A$4"),0,0,200,100),MATCH(E$30,INDIRECT(""&amp;$B$29&amp;"!$A$4"):INDIRECT(""&amp;$B$29&amp;"!$o$4"),0),FALSE))</f>
        <v>210739.70803499999</v>
      </c>
      <c r="F48" s="76">
        <f ca="1">IF(ISERROR(VLOOKUP($B48,OFFSET(INDIRECT(""&amp;$B$29&amp;"!$A$4"),0,0,200,100),MATCH(F$30,INDIRECT(""&amp;$B$29&amp;"!$A$4"):INDIRECT(""&amp;$B$29&amp;"!$o$4"),0),FALSE)),"",VLOOKUP($B48,OFFSET(INDIRECT(""&amp;$B$29&amp;"!$A$4"),0,0,200,100),MATCH(F$30,INDIRECT(""&amp;$B$29&amp;"!$A$4"):INDIRECT(""&amp;$B$29&amp;"!$o$4"),0),FALSE))</f>
        <v>257810.219423</v>
      </c>
      <c r="G48" s="76">
        <f ca="1">IF(ISERROR(VLOOKUP($B48,OFFSET(INDIRECT(""&amp;$B$29&amp;"!$A$4"),0,0,200,100),MATCH(G$30,INDIRECT(""&amp;$B$29&amp;"!$A$4"):INDIRECT(""&amp;$B$29&amp;"!$o$4"),0),FALSE)),"",VLOOKUP($B48,OFFSET(INDIRECT(""&amp;$B$29&amp;"!$A$4"),0,0,200,100),MATCH(G$30,INDIRECT(""&amp;$B$29&amp;"!$A$4"):INDIRECT(""&amp;$B$29&amp;"!$o$4"),0),FALSE))</f>
        <v>255164.869599</v>
      </c>
      <c r="H48" s="76">
        <f ca="1">IF(ISERROR(VLOOKUP($B48,OFFSET(INDIRECT(""&amp;$B$29&amp;"!$A$4"),0,0,200,100),MATCH(H$30,INDIRECT(""&amp;$B$29&amp;"!$A$4"):INDIRECT(""&amp;$B$29&amp;"!$o$4"),0),FALSE)),"",VLOOKUP($B48,OFFSET(INDIRECT(""&amp;$B$29&amp;"!$A$4"),0,0,200,100),MATCH(H$30,INDIRECT(""&amp;$B$29&amp;"!$A$4"):INDIRECT(""&amp;$B$29&amp;"!$o$4"),0),FALSE))</f>
        <v>254220.437837</v>
      </c>
      <c r="I48" s="76">
        <f ca="1">IF(ISERROR(VLOOKUP($B48,OFFSET(INDIRECT(""&amp;$B$29&amp;"!$A$4"),0,0,200,100),MATCH(I$30,INDIRECT(""&amp;$B$29&amp;"!$A$4"):INDIRECT(""&amp;$B$29&amp;"!$o$4"),0),FALSE)),"",VLOOKUP($B48,OFFSET(INDIRECT(""&amp;$B$29&amp;"!$A$4"),0,0,200,100),MATCH(I$30,INDIRECT(""&amp;$B$29&amp;"!$A$4"):INDIRECT(""&amp;$B$29&amp;"!$o$4"),0),FALSE))</f>
        <v>246408.15833199999</v>
      </c>
      <c r="J48" s="76">
        <f ca="1">IF(ISERROR(VLOOKUP($B48,OFFSET(INDIRECT(""&amp;$B$29&amp;"!$A$4"),0,0,200,100),MATCH(J$30,INDIRECT(""&amp;$B$29&amp;"!$A$4"):INDIRECT(""&amp;$B$29&amp;"!$o$4"),0),FALSE)),"",VLOOKUP($B48,OFFSET(INDIRECT(""&amp;$B$29&amp;"!$A$4"),0,0,200,100),MATCH(J$30,INDIRECT(""&amp;$B$29&amp;"!$A$4"):INDIRECT(""&amp;$B$29&amp;"!$o$4"),0),FALSE))</f>
        <v>246408.15833199999</v>
      </c>
      <c r="K48" s="114" t="s">
        <v>135</v>
      </c>
      <c r="L48" s="76">
        <f ca="1">IF(ISERROR(VLOOKUP($K48,OFFSET(INDIRECT(""&amp;$S$29&amp;"!$A$4"),0,0,200,100),MATCH(L$30,INDIRECT(""&amp;$S$29&amp;"!$A$4"):INDIRECT(""&amp;$S$29&amp;"!$AA$4"),0),FALSE)),"",VLOOKUP($K48,OFFSET(INDIRECT(""&amp;$S$29&amp;"!$A$4"),0,0,200,100),MATCH(L$30,INDIRECT(""&amp;$S$29&amp;"!$A$4"):INDIRECT(""&amp;$S$29&amp;"!$AA$4"),0),FALSE))</f>
        <v>215073.01409099999</v>
      </c>
      <c r="M48" s="76">
        <f ca="1">IF(ISERROR(VLOOKUP($K48,OFFSET(INDIRECT(""&amp;$S$29&amp;"!$A$4"),0,0,200,100),MATCH(M$30,INDIRECT(""&amp;$S$29&amp;"!$A$4"):INDIRECT(""&amp;$S$29&amp;"!$AA$4"),0),FALSE)),"",VLOOKUP($K48,OFFSET(INDIRECT(""&amp;$S$29&amp;"!$A$4"),0,0,200,100),MATCH(M$30,INDIRECT(""&amp;$S$29&amp;"!$A$4"):INDIRECT(""&amp;$S$29&amp;"!$AA$4"),0),FALSE))</f>
        <v>242975.135244</v>
      </c>
      <c r="N48" s="76">
        <f ca="1">IF(ISERROR(VLOOKUP($K48,OFFSET(INDIRECT(""&amp;$S$29&amp;"!$A$4"),0,0,200,100),MATCH(N$30,INDIRECT(""&amp;$S$29&amp;"!$A$4"):INDIRECT(""&amp;$S$29&amp;"!$AA$4"),0),FALSE)),"",VLOOKUP($K48,OFFSET(INDIRECT(""&amp;$S$29&amp;"!$A$4"),0,0,200,100),MATCH(N$30,INDIRECT(""&amp;$S$29&amp;"!$A$4"):INDIRECT(""&amp;$S$29&amp;"!$AA$4"),0),FALSE))</f>
        <v>260770.66177400001</v>
      </c>
      <c r="O48" s="76">
        <f ca="1">IF(ISERROR(VLOOKUP($K48,OFFSET(INDIRECT(""&amp;$S$29&amp;"!$A$4"),0,0,200,100),MATCH(O$30,INDIRECT(""&amp;$S$29&amp;"!$A$4"):INDIRECT(""&amp;$S$29&amp;"!$AA$4"),0),FALSE)),"",VLOOKUP($K48,OFFSET(INDIRECT(""&amp;$S$29&amp;"!$A$4"),0,0,200,100),MATCH(O$30,INDIRECT(""&amp;$S$29&amp;"!$A$4"):INDIRECT(""&amp;$S$29&amp;"!$AA$4"),0),FALSE))</f>
        <v>257554.719423</v>
      </c>
      <c r="P48" s="76">
        <f ca="1">IF(ISERROR(VLOOKUP($K48,OFFSET(INDIRECT(""&amp;$S$29&amp;"!$A$4"),0,0,200,100),MATCH(P$30,INDIRECT(""&amp;$S$29&amp;"!$A$4"):INDIRECT(""&amp;$S$29&amp;"!$AA$4"),0),FALSE)),"",VLOOKUP($K48,OFFSET(INDIRECT(""&amp;$S$29&amp;"!$A$4"),0,0,200,100),MATCH(P$30,INDIRECT(""&amp;$S$29&amp;"!$A$4"):INDIRECT(""&amp;$S$29&amp;"!$AA$4"),0),FALSE))</f>
        <v>260027.253833</v>
      </c>
      <c r="Q48" s="76">
        <f ca="1">IF(ISERROR(VLOOKUP($K48,OFFSET(INDIRECT(""&amp;$S$29&amp;"!$A$4"),0,0,200,100),MATCH(Q$30,INDIRECT(""&amp;$S$29&amp;"!$A$4"):INDIRECT(""&amp;$S$29&amp;"!$AA$4"),0),FALSE)),"",VLOOKUP($K48,OFFSET(INDIRECT(""&amp;$S$29&amp;"!$A$4"),0,0,200,100),MATCH(Q$30,INDIRECT(""&amp;$S$29&amp;"!$A$4"):INDIRECT(""&amp;$S$29&amp;"!$AA$4"),0),FALSE))</f>
        <v>255287.150627</v>
      </c>
      <c r="R48" s="76">
        <f ca="1">IF(ISERROR(VLOOKUP($K48,OFFSET(INDIRECT(""&amp;$S$29&amp;"!$A$4"),0,0,200,100),MATCH(R$30,INDIRECT(""&amp;$S$29&amp;"!$A$4"):INDIRECT(""&amp;$S$29&amp;"!$AA$4"),0),FALSE)),"",VLOOKUP($K48,OFFSET(INDIRECT(""&amp;$S$29&amp;"!$A$4"),0,0,200,100),MATCH(R$30,INDIRECT(""&amp;$S$29&amp;"!$A$4"):INDIRECT(""&amp;$S$29&amp;"!$AA$4"),0),FALSE))</f>
        <v>262896.77972400002</v>
      </c>
      <c r="S48" s="76">
        <f ca="1">IF(ISERROR(VLOOKUP($K48,OFFSET(INDIRECT(""&amp;$S$29&amp;"!$A$4"),0,0,200,100),MATCH(S$30,INDIRECT(""&amp;$S$29&amp;"!$A$4"):INDIRECT(""&amp;$S$29&amp;"!$AA$4"),0),FALSE)),"",VLOOKUP($K48,OFFSET(INDIRECT(""&amp;$S$29&amp;"!$A$4"),0,0,200,100),MATCH(S$30,INDIRECT(""&amp;$S$29&amp;"!$A$4"):INDIRECT(""&amp;$S$29&amp;"!$AA$4"),0),FALSE))</f>
        <v>254526.46774200001</v>
      </c>
      <c r="T48" s="76">
        <f ca="1">IF(ISERROR(VLOOKUP($K48,OFFSET(INDIRECT(""&amp;$S$29&amp;"!$A$4"),0,0,200,100),MATCH(T$30,INDIRECT(""&amp;$S$29&amp;"!$A$4"):INDIRECT(""&amp;$S$29&amp;"!$AA$4"),0),FALSE)),"",VLOOKUP($K48,OFFSET(INDIRECT(""&amp;$S$29&amp;"!$A$4"),0,0,200,100),MATCH(T$30,INDIRECT(""&amp;$S$29&amp;"!$A$4"):INDIRECT(""&amp;$S$29&amp;"!$AA$4"),0),FALSE))</f>
        <v>251624.45555099999</v>
      </c>
      <c r="U48" s="76">
        <f ca="1">IF(ISERROR(VLOOKUP($K48,OFFSET(INDIRECT(""&amp;$S$29&amp;"!$A$4"),0,0,200,100),MATCH(U$30,INDIRECT(""&amp;$S$29&amp;"!$A$4"):INDIRECT(""&amp;$S$29&amp;"!$AA$4"),0),FALSE)),"",VLOOKUP($K48,OFFSET(INDIRECT(""&amp;$S$29&amp;"!$A$4"),0,0,200,100),MATCH(U$30,INDIRECT(""&amp;$S$29&amp;"!$A$4"):INDIRECT(""&amp;$S$29&amp;"!$AA$4"),0),FALSE))</f>
        <v>254530.630814</v>
      </c>
      <c r="V48" s="76">
        <f ca="1">IF(ISERROR(VLOOKUP($K48,OFFSET(INDIRECT(""&amp;$S$29&amp;"!$A$4"),0,0,200,100),MATCH(V$30,INDIRECT(""&amp;$S$29&amp;"!$A$4"):INDIRECT(""&amp;$S$29&amp;"!$AA$4"),0),FALSE)),"",VLOOKUP($K48,OFFSET(INDIRECT(""&amp;$S$29&amp;"!$A$4"),0,0,200,100),MATCH(V$30,INDIRECT(""&amp;$S$29&amp;"!$A$4"):INDIRECT(""&amp;$S$29&amp;"!$AA$4"),0),FALSE))</f>
        <v>251442.09748500001</v>
      </c>
      <c r="W48" s="76">
        <f ca="1">IF(ISERROR(VLOOKUP($K48,OFFSET(INDIRECT(""&amp;$S$29&amp;"!$A$4"),0,0,200,100),MATCH(W$30,INDIRECT(""&amp;$S$29&amp;"!$A$4"):INDIRECT(""&amp;$S$29&amp;"!$AA$4"),0),FALSE)),"",VLOOKUP($K48,OFFSET(INDIRECT(""&amp;$S$29&amp;"!$A$4"),0,0,200,100),MATCH(W$30,INDIRECT(""&amp;$S$29&amp;"!$A$4"):INDIRECT(""&amp;$S$29&amp;"!$AA$4"),0),FALSE))</f>
        <v>254220.437837</v>
      </c>
      <c r="X48" s="76">
        <f ca="1">IF(ISERROR(VLOOKUP($K48,OFFSET(INDIRECT(""&amp;$S$29&amp;"!$A$4"),0,0,200,100),MATCH(X$30,INDIRECT(""&amp;$S$29&amp;"!$A$4"):INDIRECT(""&amp;$S$29&amp;"!$AA$4"),0),FALSE)),"",VLOOKUP($K48,OFFSET(INDIRECT(""&amp;$S$29&amp;"!$A$4"),0,0,200,100),MATCH(X$30,INDIRECT(""&amp;$S$29&amp;"!$A$4"):INDIRECT(""&amp;$S$29&amp;"!$AA$4"),0),FALSE))</f>
        <v>249645.95519499999</v>
      </c>
      <c r="Y48" s="76">
        <f ca="1">IF(ISERROR(VLOOKUP($K48,OFFSET(INDIRECT(""&amp;$S$29&amp;"!$A$4"),0,0,200,100),MATCH(Y$30,INDIRECT(""&amp;$S$29&amp;"!$A$4"):INDIRECT(""&amp;$S$29&amp;"!$AA$4"),0),FALSE)),"",VLOOKUP($K48,OFFSET(INDIRECT(""&amp;$S$29&amp;"!$A$4"),0,0,200,100),MATCH(Y$30,INDIRECT(""&amp;$S$29&amp;"!$A$4"):INDIRECT(""&amp;$S$29&amp;"!$AA$4"),0),FALSE))</f>
        <v>242200.52948100001</v>
      </c>
      <c r="Z48" s="76">
        <f ca="1">IF(ISERROR(VLOOKUP($K48,OFFSET(INDIRECT(""&amp;$S$29&amp;"!$A$4"),0,0,200,100),MATCH(Z$30,INDIRECT(""&amp;$S$29&amp;"!$A$4"):INDIRECT(""&amp;$S$29&amp;"!$AA$4"),0),FALSE)),"",VLOOKUP($K48,OFFSET(INDIRECT(""&amp;$S$29&amp;"!$A$4"),0,0,200,100),MATCH(Z$30,INDIRECT(""&amp;$S$29&amp;"!$A$4"):INDIRECT(""&amp;$S$29&amp;"!$AA$4"),0),FALSE))</f>
        <v>248005.954876</v>
      </c>
      <c r="AA48" s="76">
        <f t="shared" ca="1" si="61"/>
        <v>242200.52948100001</v>
      </c>
      <c r="AB48" s="115"/>
      <c r="AC48" s="87">
        <f t="shared" ca="1" si="48"/>
        <v>0.60412567344596246</v>
      </c>
      <c r="AD48" s="87">
        <f t="shared" ca="1" si="49"/>
        <v>0.68371580706592161</v>
      </c>
      <c r="AE48" s="87">
        <f t="shared" ca="1" si="50"/>
        <v>0.66859383163289432</v>
      </c>
      <c r="AF48" s="87">
        <f t="shared" ca="1" si="51"/>
        <v>0.69422641725486212</v>
      </c>
      <c r="AG48" s="87">
        <f t="shared" ca="1" si="62"/>
        <v>0.72300660913750237</v>
      </c>
      <c r="AH48" s="87">
        <f t="shared" ca="1" si="62"/>
        <v>0.72300660913750237</v>
      </c>
      <c r="AI48" s="144"/>
      <c r="AJ48" s="87">
        <f t="shared" ca="1" si="53"/>
        <v>0.65737197528393454</v>
      </c>
      <c r="AK48" s="87">
        <f t="shared" ca="1" si="54"/>
        <v>0.66865723359878781</v>
      </c>
      <c r="AL48" s="87">
        <f t="shared" ca="1" si="55"/>
        <v>0.61702278506177211</v>
      </c>
      <c r="AM48" s="87">
        <f t="shared" ca="1" si="56"/>
        <v>0.66156187165356917</v>
      </c>
      <c r="AN48" s="87">
        <f t="shared" ca="1" si="57"/>
        <v>0.6315568373752013</v>
      </c>
      <c r="AO48" s="87">
        <f t="shared" ca="1" si="63"/>
        <v>0.66339182838303212</v>
      </c>
      <c r="AP48" s="87">
        <f t="shared" ca="1" si="63"/>
        <v>0.69053786687518004</v>
      </c>
      <c r="AQ48" s="87">
        <f t="shared" ca="1" si="63"/>
        <v>0.69648945040321675</v>
      </c>
      <c r="AR48" s="87">
        <f t="shared" ca="1" si="63"/>
        <v>0.6930175827606273</v>
      </c>
      <c r="AS48" s="87">
        <f t="shared" ca="1" si="63"/>
        <v>0.67705473257756332</v>
      </c>
      <c r="AT48" s="87">
        <f t="shared" ca="1" si="59"/>
        <v>0.71609025615251654</v>
      </c>
      <c r="AU48" s="87">
        <f t="shared" ca="1" si="59"/>
        <v>0.73641433995951799</v>
      </c>
      <c r="AV48" s="87">
        <f t="shared" ca="1" si="60"/>
        <v>0.71609025615251654</v>
      </c>
    </row>
    <row r="49" spans="1:48" s="108" customFormat="1" ht="15.95" customHeight="1">
      <c r="A49" s="85" t="s">
        <v>250</v>
      </c>
      <c r="B49" s="116" t="s">
        <v>136</v>
      </c>
      <c r="C49" s="76">
        <f ca="1">IF(ISERROR(VLOOKUP($B49,OFFSET(INDIRECT(""&amp;$B$29&amp;"!$A$4"),0,0,200,100),MATCH(C$30,INDIRECT(""&amp;$B$29&amp;"!$A$4"):INDIRECT(""&amp;$B$29&amp;"!$o$4"),0),FALSE)),"",VLOOKUP($B49,OFFSET(INDIRECT(""&amp;$B$29&amp;"!$A$4"),0,0,200,100),MATCH(C$30,INDIRECT(""&amp;$B$29&amp;"!$A$4"):INDIRECT(""&amp;$B$29&amp;"!$o$4"),0),FALSE))</f>
        <v>0</v>
      </c>
      <c r="D49" s="76">
        <f ca="1">IF(ISERROR(VLOOKUP($B49,OFFSET(INDIRECT(""&amp;$B$29&amp;"!$A$4"),0,0,200,100),MATCH(D$30,INDIRECT(""&amp;$B$29&amp;"!$A$4"):INDIRECT(""&amp;$B$29&amp;"!$o$4"),0),FALSE)),"",VLOOKUP($B49,OFFSET(INDIRECT(""&amp;$B$29&amp;"!$A$4"),0,0,200,100),MATCH(D$30,INDIRECT(""&amp;$B$29&amp;"!$A$4"):INDIRECT(""&amp;$B$29&amp;"!$o$4"),0),FALSE))</f>
        <v>0</v>
      </c>
      <c r="E49" s="76">
        <f ca="1">IF(ISERROR(VLOOKUP($B49,OFFSET(INDIRECT(""&amp;$B$29&amp;"!$A$4"),0,0,200,100),MATCH(E$30,INDIRECT(""&amp;$B$29&amp;"!$A$4"):INDIRECT(""&amp;$B$29&amp;"!$o$4"),0),FALSE)),"",VLOOKUP($B49,OFFSET(INDIRECT(""&amp;$B$29&amp;"!$A$4"),0,0,200,100),MATCH(E$30,INDIRECT(""&amp;$B$29&amp;"!$A$4"):INDIRECT(""&amp;$B$29&amp;"!$o$4"),0),FALSE))</f>
        <v>0</v>
      </c>
      <c r="F49" s="76">
        <f ca="1">IF(ISERROR(VLOOKUP($B49,OFFSET(INDIRECT(""&amp;$B$29&amp;"!$A$4"),0,0,200,100),MATCH(F$30,INDIRECT(""&amp;$B$29&amp;"!$A$4"):INDIRECT(""&amp;$B$29&amp;"!$o$4"),0),FALSE)),"",VLOOKUP($B49,OFFSET(INDIRECT(""&amp;$B$29&amp;"!$A$4"),0,0,200,100),MATCH(F$30,INDIRECT(""&amp;$B$29&amp;"!$A$4"):INDIRECT(""&amp;$B$29&amp;"!$o$4"),0),FALSE))</f>
        <v>0</v>
      </c>
      <c r="G49" s="76">
        <f ca="1">IF(ISERROR(VLOOKUP($B49,OFFSET(INDIRECT(""&amp;$B$29&amp;"!$A$4"),0,0,200,100),MATCH(G$30,INDIRECT(""&amp;$B$29&amp;"!$A$4"):INDIRECT(""&amp;$B$29&amp;"!$o$4"),0),FALSE)),"",VLOOKUP($B49,OFFSET(INDIRECT(""&amp;$B$29&amp;"!$A$4"),0,0,200,100),MATCH(G$30,INDIRECT(""&amp;$B$29&amp;"!$A$4"):INDIRECT(""&amp;$B$29&amp;"!$o$4"),0),FALSE))</f>
        <v>0</v>
      </c>
      <c r="H49" s="76">
        <f ca="1">IF(ISERROR(VLOOKUP($B49,OFFSET(INDIRECT(""&amp;$B$29&amp;"!$A$4"),0,0,200,100),MATCH(H$30,INDIRECT(""&amp;$B$29&amp;"!$A$4"):INDIRECT(""&amp;$B$29&amp;"!$o$4"),0),FALSE)),"",VLOOKUP($B49,OFFSET(INDIRECT(""&amp;$B$29&amp;"!$A$4"),0,0,200,100),MATCH(H$30,INDIRECT(""&amp;$B$29&amp;"!$A$4"):INDIRECT(""&amp;$B$29&amp;"!$o$4"),0),FALSE))</f>
        <v>0</v>
      </c>
      <c r="I49" s="76">
        <f ca="1">IF(ISERROR(VLOOKUP($B49,OFFSET(INDIRECT(""&amp;$B$29&amp;"!$A$4"),0,0,200,100),MATCH(I$30,INDIRECT(""&amp;$B$29&amp;"!$A$4"):INDIRECT(""&amp;$B$29&amp;"!$o$4"),0),FALSE)),"",VLOOKUP($B49,OFFSET(INDIRECT(""&amp;$B$29&amp;"!$A$4"),0,0,200,100),MATCH(I$30,INDIRECT(""&amp;$B$29&amp;"!$A$4"):INDIRECT(""&amp;$B$29&amp;"!$o$4"),0),FALSE))</f>
        <v>0</v>
      </c>
      <c r="J49" s="76">
        <f ca="1">IF(ISERROR(VLOOKUP($B49,OFFSET(INDIRECT(""&amp;$B$29&amp;"!$A$4"),0,0,200,100),MATCH(J$30,INDIRECT(""&amp;$B$29&amp;"!$A$4"):INDIRECT(""&amp;$B$29&amp;"!$o$4"),0),FALSE)),"",VLOOKUP($B49,OFFSET(INDIRECT(""&amp;$B$29&amp;"!$A$4"),0,0,200,100),MATCH(J$30,INDIRECT(""&amp;$B$29&amp;"!$A$4"):INDIRECT(""&amp;$B$29&amp;"!$o$4"),0),FALSE))</f>
        <v>0</v>
      </c>
      <c r="K49" s="109" t="s">
        <v>136</v>
      </c>
      <c r="L49" s="76">
        <f ca="1">IF(ISERROR(VLOOKUP($K49,OFFSET(INDIRECT(""&amp;$S$29&amp;"!$A$4"),0,0,200,100),MATCH(L$30,INDIRECT(""&amp;$S$29&amp;"!$A$4"):INDIRECT(""&amp;$S$29&amp;"!$AA$4"),0),FALSE)),"",VLOOKUP($K49,OFFSET(INDIRECT(""&amp;$S$29&amp;"!$A$4"),0,0,200,100),MATCH(L$30,INDIRECT(""&amp;$S$29&amp;"!$A$4"):INDIRECT(""&amp;$S$29&amp;"!$AA$4"),0),FALSE))</f>
        <v>0</v>
      </c>
      <c r="M49" s="76">
        <f ca="1">IF(ISERROR(VLOOKUP($K49,OFFSET(INDIRECT(""&amp;$S$29&amp;"!$A$4"),0,0,200,100),MATCH(M$30,INDIRECT(""&amp;$S$29&amp;"!$A$4"):INDIRECT(""&amp;$S$29&amp;"!$AA$4"),0),FALSE)),"",VLOOKUP($K49,OFFSET(INDIRECT(""&amp;$S$29&amp;"!$A$4"),0,0,200,100),MATCH(M$30,INDIRECT(""&amp;$S$29&amp;"!$A$4"):INDIRECT(""&amp;$S$29&amp;"!$AA$4"),0),FALSE))</f>
        <v>0</v>
      </c>
      <c r="N49" s="76">
        <f ca="1">IF(ISERROR(VLOOKUP($K49,OFFSET(INDIRECT(""&amp;$S$29&amp;"!$A$4"),0,0,200,100),MATCH(N$30,INDIRECT(""&amp;$S$29&amp;"!$A$4"):INDIRECT(""&amp;$S$29&amp;"!$AA$4"),0),FALSE)),"",VLOOKUP($K49,OFFSET(INDIRECT(""&amp;$S$29&amp;"!$A$4"),0,0,200,100),MATCH(N$30,INDIRECT(""&amp;$S$29&amp;"!$A$4"):INDIRECT(""&amp;$S$29&amp;"!$AA$4"),0),FALSE))</f>
        <v>0</v>
      </c>
      <c r="O49" s="76">
        <f ca="1">IF(ISERROR(VLOOKUP($K49,OFFSET(INDIRECT(""&amp;$S$29&amp;"!$A$4"),0,0,200,100),MATCH(O$30,INDIRECT(""&amp;$S$29&amp;"!$A$4"):INDIRECT(""&amp;$S$29&amp;"!$AA$4"),0),FALSE)),"",VLOOKUP($K49,OFFSET(INDIRECT(""&amp;$S$29&amp;"!$A$4"),0,0,200,100),MATCH(O$30,INDIRECT(""&amp;$S$29&amp;"!$A$4"):INDIRECT(""&amp;$S$29&amp;"!$AA$4"),0),FALSE))</f>
        <v>0</v>
      </c>
      <c r="P49" s="76">
        <f ca="1">IF(ISERROR(VLOOKUP($K49,OFFSET(INDIRECT(""&amp;$S$29&amp;"!$A$4"),0,0,200,100),MATCH(P$30,INDIRECT(""&amp;$S$29&amp;"!$A$4"):INDIRECT(""&amp;$S$29&amp;"!$AA$4"),0),FALSE)),"",VLOOKUP($K49,OFFSET(INDIRECT(""&amp;$S$29&amp;"!$A$4"),0,0,200,100),MATCH(P$30,INDIRECT(""&amp;$S$29&amp;"!$A$4"):INDIRECT(""&amp;$S$29&amp;"!$AA$4"),0),FALSE))</f>
        <v>0</v>
      </c>
      <c r="Q49" s="76">
        <f ca="1">IF(ISERROR(VLOOKUP($K49,OFFSET(INDIRECT(""&amp;$S$29&amp;"!$A$4"),0,0,200,100),MATCH(Q$30,INDIRECT(""&amp;$S$29&amp;"!$A$4"):INDIRECT(""&amp;$S$29&amp;"!$AA$4"),0),FALSE)),"",VLOOKUP($K49,OFFSET(INDIRECT(""&amp;$S$29&amp;"!$A$4"),0,0,200,100),MATCH(Q$30,INDIRECT(""&amp;$S$29&amp;"!$A$4"):INDIRECT(""&amp;$S$29&amp;"!$AA$4"),0),FALSE))</f>
        <v>0</v>
      </c>
      <c r="R49" s="76">
        <f ca="1">IF(ISERROR(VLOOKUP($K49,OFFSET(INDIRECT(""&amp;$S$29&amp;"!$A$4"),0,0,200,100),MATCH(R$30,INDIRECT(""&amp;$S$29&amp;"!$A$4"):INDIRECT(""&amp;$S$29&amp;"!$AA$4"),0),FALSE)),"",VLOOKUP($K49,OFFSET(INDIRECT(""&amp;$S$29&amp;"!$A$4"),0,0,200,100),MATCH(R$30,INDIRECT(""&amp;$S$29&amp;"!$A$4"):INDIRECT(""&amp;$S$29&amp;"!$AA$4"),0),FALSE))</f>
        <v>0</v>
      </c>
      <c r="S49" s="76">
        <f ca="1">IF(ISERROR(VLOOKUP($K49,OFFSET(INDIRECT(""&amp;$S$29&amp;"!$A$4"),0,0,200,100),MATCH(S$30,INDIRECT(""&amp;$S$29&amp;"!$A$4"):INDIRECT(""&amp;$S$29&amp;"!$AA$4"),0),FALSE)),"",VLOOKUP($K49,OFFSET(INDIRECT(""&amp;$S$29&amp;"!$A$4"),0,0,200,100),MATCH(S$30,INDIRECT(""&amp;$S$29&amp;"!$A$4"):INDIRECT(""&amp;$S$29&amp;"!$AA$4"),0),FALSE))</f>
        <v>0</v>
      </c>
      <c r="T49" s="76">
        <f ca="1">IF(ISERROR(VLOOKUP($K49,OFFSET(INDIRECT(""&amp;$S$29&amp;"!$A$4"),0,0,200,100),MATCH(T$30,INDIRECT(""&amp;$S$29&amp;"!$A$4"):INDIRECT(""&amp;$S$29&amp;"!$AA$4"),0),FALSE)),"",VLOOKUP($K49,OFFSET(INDIRECT(""&amp;$S$29&amp;"!$A$4"),0,0,200,100),MATCH(T$30,INDIRECT(""&amp;$S$29&amp;"!$A$4"):INDIRECT(""&amp;$S$29&amp;"!$AA$4"),0),FALSE))</f>
        <v>0</v>
      </c>
      <c r="U49" s="76">
        <f ca="1">IF(ISERROR(VLOOKUP($K49,OFFSET(INDIRECT(""&amp;$S$29&amp;"!$A$4"),0,0,200,100),MATCH(U$30,INDIRECT(""&amp;$S$29&amp;"!$A$4"):INDIRECT(""&amp;$S$29&amp;"!$AA$4"),0),FALSE)),"",VLOOKUP($K49,OFFSET(INDIRECT(""&amp;$S$29&amp;"!$A$4"),0,0,200,100),MATCH(U$30,INDIRECT(""&amp;$S$29&amp;"!$A$4"):INDIRECT(""&amp;$S$29&amp;"!$AA$4"),0),FALSE))</f>
        <v>1168.9849999999999</v>
      </c>
      <c r="V49" s="76">
        <f ca="1">IF(ISERROR(VLOOKUP($K49,OFFSET(INDIRECT(""&amp;$S$29&amp;"!$A$4"),0,0,200,100),MATCH(V$30,INDIRECT(""&amp;$S$29&amp;"!$A$4"):INDIRECT(""&amp;$S$29&amp;"!$AA$4"),0),FALSE)),"",VLOOKUP($K49,OFFSET(INDIRECT(""&amp;$S$29&amp;"!$A$4"),0,0,200,100),MATCH(V$30,INDIRECT(""&amp;$S$29&amp;"!$A$4"):INDIRECT(""&amp;$S$29&amp;"!$AA$4"),0),FALSE))</f>
        <v>1168.9849999999999</v>
      </c>
      <c r="W49" s="76">
        <f ca="1">IF(ISERROR(VLOOKUP($K49,OFFSET(INDIRECT(""&amp;$S$29&amp;"!$A$4"),0,0,200,100),MATCH(W$30,INDIRECT(""&amp;$S$29&amp;"!$A$4"):INDIRECT(""&amp;$S$29&amp;"!$AA$4"),0),FALSE)),"",VLOOKUP($K49,OFFSET(INDIRECT(""&amp;$S$29&amp;"!$A$4"),0,0,200,100),MATCH(W$30,INDIRECT(""&amp;$S$29&amp;"!$A$4"):INDIRECT(""&amp;$S$29&amp;"!$AA$4"),0),FALSE))</f>
        <v>1168.9849999999999</v>
      </c>
      <c r="X49" s="76">
        <f ca="1">IF(ISERROR(VLOOKUP($K49,OFFSET(INDIRECT(""&amp;$S$29&amp;"!$A$4"),0,0,200,100),MATCH(X$30,INDIRECT(""&amp;$S$29&amp;"!$A$4"):INDIRECT(""&amp;$S$29&amp;"!$AA$4"),0),FALSE)),"",VLOOKUP($K49,OFFSET(INDIRECT(""&amp;$S$29&amp;"!$A$4"),0,0,200,100),MATCH(X$30,INDIRECT(""&amp;$S$29&amp;"!$A$4"):INDIRECT(""&amp;$S$29&amp;"!$AA$4"),0),FALSE))</f>
        <v>0</v>
      </c>
      <c r="Y49" s="76">
        <f ca="1">IF(ISERROR(VLOOKUP($K49,OFFSET(INDIRECT(""&amp;$S$29&amp;"!$A$4"),0,0,200,100),MATCH(Y$30,INDIRECT(""&amp;$S$29&amp;"!$A$4"):INDIRECT(""&amp;$S$29&amp;"!$AA$4"),0),FALSE)),"",VLOOKUP($K49,OFFSET(INDIRECT(""&amp;$S$29&amp;"!$A$4"),0,0,200,100),MATCH(Y$30,INDIRECT(""&amp;$S$29&amp;"!$A$4"):INDIRECT(""&amp;$S$29&amp;"!$AA$4"),0),FALSE))</f>
        <v>0</v>
      </c>
      <c r="Z49" s="76">
        <f ca="1">IF(ISERROR(VLOOKUP($K49,OFFSET(INDIRECT(""&amp;$S$29&amp;"!$A$4"),0,0,200,100),MATCH(Z$30,INDIRECT(""&amp;$S$29&amp;"!$A$4"):INDIRECT(""&amp;$S$29&amp;"!$AA$4"),0),FALSE)),"",VLOOKUP($K49,OFFSET(INDIRECT(""&amp;$S$29&amp;"!$A$4"),0,0,200,100),MATCH(Z$30,INDIRECT(""&amp;$S$29&amp;"!$A$4"):INDIRECT(""&amp;$S$29&amp;"!$AA$4"),0),FALSE))</f>
        <v>0</v>
      </c>
      <c r="AA49" s="76">
        <f t="shared" ca="1" si="61"/>
        <v>0</v>
      </c>
      <c r="AB49" s="110"/>
      <c r="AC49" s="87">
        <f t="shared" ca="1" si="48"/>
        <v>0</v>
      </c>
      <c r="AD49" s="87">
        <f t="shared" ca="1" si="49"/>
        <v>0</v>
      </c>
      <c r="AE49" s="87">
        <f t="shared" ca="1" si="50"/>
        <v>0</v>
      </c>
      <c r="AF49" s="87">
        <f t="shared" ca="1" si="51"/>
        <v>0</v>
      </c>
      <c r="AG49" s="87">
        <f t="shared" ca="1" si="62"/>
        <v>0</v>
      </c>
      <c r="AH49" s="87">
        <f t="shared" ca="1" si="62"/>
        <v>0</v>
      </c>
      <c r="AI49" s="144"/>
      <c r="AJ49" s="87">
        <f t="shared" ca="1" si="53"/>
        <v>0</v>
      </c>
      <c r="AK49" s="87">
        <f t="shared" ca="1" si="54"/>
        <v>0</v>
      </c>
      <c r="AL49" s="87">
        <f t="shared" ca="1" si="55"/>
        <v>0</v>
      </c>
      <c r="AM49" s="87">
        <f t="shared" ca="1" si="56"/>
        <v>0</v>
      </c>
      <c r="AN49" s="87">
        <f t="shared" ca="1" si="57"/>
        <v>0</v>
      </c>
      <c r="AO49" s="87">
        <f t="shared" ca="1" si="63"/>
        <v>0</v>
      </c>
      <c r="AP49" s="87">
        <f t="shared" ca="1" si="63"/>
        <v>3.171439153423424E-3</v>
      </c>
      <c r="AQ49" s="87">
        <f t="shared" ca="1" si="63"/>
        <v>3.2380644622493067E-3</v>
      </c>
      <c r="AR49" s="87">
        <f t="shared" ca="1" si="63"/>
        <v>3.1867113670178862E-3</v>
      </c>
      <c r="AS49" s="87">
        <f t="shared" ca="1" si="63"/>
        <v>0</v>
      </c>
      <c r="AT49" s="87">
        <f t="shared" ca="1" si="59"/>
        <v>0</v>
      </c>
      <c r="AU49" s="87">
        <f t="shared" ca="1" si="59"/>
        <v>0</v>
      </c>
      <c r="AV49" s="87">
        <f t="shared" ca="1" si="60"/>
        <v>0</v>
      </c>
    </row>
    <row r="50" spans="1:48" s="108" customFormat="1" ht="15.95" customHeight="1">
      <c r="A50" s="85" t="s">
        <v>251</v>
      </c>
      <c r="B50" s="116" t="s">
        <v>141</v>
      </c>
      <c r="C50" s="76">
        <f ca="1">IF(ISERROR(VLOOKUP($B50,OFFSET(INDIRECT(""&amp;$B$29&amp;"!$A$4"),0,0,200,100),MATCH(C$30,INDIRECT(""&amp;$B$29&amp;"!$A$4"):INDIRECT(""&amp;$B$29&amp;"!$o$4"),0),FALSE)),"",VLOOKUP($B50,OFFSET(INDIRECT(""&amp;$B$29&amp;"!$A$4"),0,0,200,100),MATCH(C$30,INDIRECT(""&amp;$B$29&amp;"!$A$4"):INDIRECT(""&amp;$B$29&amp;"!$o$4"),0),FALSE))</f>
        <v>59855.132767000003</v>
      </c>
      <c r="D50" s="76">
        <f ca="1">IF(ISERROR(VLOOKUP($B50,OFFSET(INDIRECT(""&amp;$B$29&amp;"!$A$4"),0,0,200,100),MATCH(D$30,INDIRECT(""&amp;$B$29&amp;"!$A$4"):INDIRECT(""&amp;$B$29&amp;"!$o$4"),0),FALSE)),"",VLOOKUP($B50,OFFSET(INDIRECT(""&amp;$B$29&amp;"!$A$4"),0,0,200,100),MATCH(D$30,INDIRECT(""&amp;$B$29&amp;"!$A$4"):INDIRECT(""&amp;$B$29&amp;"!$o$4"),0),FALSE))</f>
        <v>115823.55273</v>
      </c>
      <c r="E50" s="76">
        <f ca="1">IF(ISERROR(VLOOKUP($B50,OFFSET(INDIRECT(""&amp;$B$29&amp;"!$A$4"),0,0,200,100),MATCH(E$30,INDIRECT(""&amp;$B$29&amp;"!$A$4"):INDIRECT(""&amp;$B$29&amp;"!$o$4"),0),FALSE)),"",VLOOKUP($B50,OFFSET(INDIRECT(""&amp;$B$29&amp;"!$A$4"),0,0,200,100),MATCH(E$30,INDIRECT(""&amp;$B$29&amp;"!$A$4"):INDIRECT(""&amp;$B$29&amp;"!$o$4"),0),FALSE))</f>
        <v>153289.60266400001</v>
      </c>
      <c r="F50" s="76">
        <f ca="1">IF(ISERROR(VLOOKUP($B50,OFFSET(INDIRECT(""&amp;$B$29&amp;"!$A$4"),0,0,200,100),MATCH(F$30,INDIRECT(""&amp;$B$29&amp;"!$A$4"):INDIRECT(""&amp;$B$29&amp;"!$o$4"),0),FALSE)),"",VLOOKUP($B50,OFFSET(INDIRECT(""&amp;$B$29&amp;"!$A$4"),0,0,200,100),MATCH(F$30,INDIRECT(""&amp;$B$29&amp;"!$A$4"):INDIRECT(""&amp;$B$29&amp;"!$o$4"),0),FALSE))</f>
        <v>181247.65074099999</v>
      </c>
      <c r="G50" s="76">
        <f ca="1">IF(ISERROR(VLOOKUP($B50,OFFSET(INDIRECT(""&amp;$B$29&amp;"!$A$4"),0,0,200,100),MATCH(G$30,INDIRECT(""&amp;$B$29&amp;"!$A$4"):INDIRECT(""&amp;$B$29&amp;"!$o$4"),0),FALSE)),"",VLOOKUP($B50,OFFSET(INDIRECT(""&amp;$B$29&amp;"!$A$4"),0,0,200,100),MATCH(G$30,INDIRECT(""&amp;$B$29&amp;"!$A$4"):INDIRECT(""&amp;$B$29&amp;"!$o$4"),0),FALSE))</f>
        <v>185965.64020200001</v>
      </c>
      <c r="H50" s="76">
        <f ca="1">IF(ISERROR(VLOOKUP($B50,OFFSET(INDIRECT(""&amp;$B$29&amp;"!$A$4"),0,0,200,100),MATCH(H$30,INDIRECT(""&amp;$B$29&amp;"!$A$4"):INDIRECT(""&amp;$B$29&amp;"!$o$4"),0),FALSE)),"",VLOOKUP($B50,OFFSET(INDIRECT(""&amp;$B$29&amp;"!$A$4"),0,0,200,100),MATCH(H$30,INDIRECT(""&amp;$B$29&amp;"!$A$4"):INDIRECT(""&amp;$B$29&amp;"!$o$4"),0),FALSE))</f>
        <v>179213.60208899999</v>
      </c>
      <c r="I50" s="76">
        <f ca="1">IF(ISERROR(VLOOKUP($B50,OFFSET(INDIRECT(""&amp;$B$29&amp;"!$A$4"),0,0,200,100),MATCH(I$30,INDIRECT(""&amp;$B$29&amp;"!$A$4"):INDIRECT(""&amp;$B$29&amp;"!$o$4"),0),FALSE)),"",VLOOKUP($B50,OFFSET(INDIRECT(""&amp;$B$29&amp;"!$A$4"),0,0,200,100),MATCH(I$30,INDIRECT(""&amp;$B$29&amp;"!$A$4"):INDIRECT(""&amp;$B$29&amp;"!$o$4"),0),FALSE))</f>
        <v>171359.773495</v>
      </c>
      <c r="J50" s="76">
        <f ca="1">IF(ISERROR(VLOOKUP($B50,OFFSET(INDIRECT(""&amp;$B$29&amp;"!$A$4"),0,0,200,100),MATCH(J$30,INDIRECT(""&amp;$B$29&amp;"!$A$4"):INDIRECT(""&amp;$B$29&amp;"!$o$4"),0),FALSE)),"",VLOOKUP($B50,OFFSET(INDIRECT(""&amp;$B$29&amp;"!$A$4"),0,0,200,100),MATCH(J$30,INDIRECT(""&amp;$B$29&amp;"!$A$4"):INDIRECT(""&amp;$B$29&amp;"!$o$4"),0),FALSE))</f>
        <v>171359.773495</v>
      </c>
      <c r="K50" s="109" t="s">
        <v>141</v>
      </c>
      <c r="L50" s="76">
        <f ca="1">IF(ISERROR(VLOOKUP($K50,OFFSET(INDIRECT(""&amp;$S$29&amp;"!$A$4"),0,0,200,100),MATCH(L$30,INDIRECT(""&amp;$S$29&amp;"!$A$4"):INDIRECT(""&amp;$S$29&amp;"!$AA$4"),0),FALSE)),"",VLOOKUP($K50,OFFSET(INDIRECT(""&amp;$S$29&amp;"!$A$4"),0,0,200,100),MATCH(L$30,INDIRECT(""&amp;$S$29&amp;"!$A$4"):INDIRECT(""&amp;$S$29&amp;"!$AA$4"),0),FALSE))</f>
        <v>157896.93140999999</v>
      </c>
      <c r="M50" s="76">
        <f ca="1">IF(ISERROR(VLOOKUP($K50,OFFSET(INDIRECT(""&amp;$S$29&amp;"!$A$4"),0,0,200,100),MATCH(M$30,INDIRECT(""&amp;$S$29&amp;"!$A$4"):INDIRECT(""&amp;$S$29&amp;"!$AA$4"),0),FALSE)),"",VLOOKUP($K50,OFFSET(INDIRECT(""&amp;$S$29&amp;"!$A$4"),0,0,200,100),MATCH(M$30,INDIRECT(""&amp;$S$29&amp;"!$A$4"):INDIRECT(""&amp;$S$29&amp;"!$AA$4"),0),FALSE))</f>
        <v>167997.479586</v>
      </c>
      <c r="N50" s="76">
        <f ca="1">IF(ISERROR(VLOOKUP($K50,OFFSET(INDIRECT(""&amp;$S$29&amp;"!$A$4"),0,0,200,100),MATCH(N$30,INDIRECT(""&amp;$S$29&amp;"!$A$4"):INDIRECT(""&amp;$S$29&amp;"!$AA$4"),0),FALSE)),"",VLOOKUP($K50,OFFSET(INDIRECT(""&amp;$S$29&amp;"!$A$4"),0,0,200,100),MATCH(N$30,INDIRECT(""&amp;$S$29&amp;"!$A$4"):INDIRECT(""&amp;$S$29&amp;"!$AA$4"),0),FALSE))</f>
        <v>183233.06761599999</v>
      </c>
      <c r="O50" s="76">
        <f ca="1">IF(ISERROR(VLOOKUP($K50,OFFSET(INDIRECT(""&amp;$S$29&amp;"!$A$4"),0,0,200,100),MATCH(O$30,INDIRECT(""&amp;$S$29&amp;"!$A$4"):INDIRECT(""&amp;$S$29&amp;"!$AA$4"),0),FALSE)),"",VLOOKUP($K50,OFFSET(INDIRECT(""&amp;$S$29&amp;"!$A$4"),0,0,200,100),MATCH(O$30,INDIRECT(""&amp;$S$29&amp;"!$A$4"):INDIRECT(""&amp;$S$29&amp;"!$AA$4"),0),FALSE))</f>
        <v>181247.65074099999</v>
      </c>
      <c r="P50" s="76">
        <f ca="1">IF(ISERROR(VLOOKUP($K50,OFFSET(INDIRECT(""&amp;$S$29&amp;"!$A$4"),0,0,200,100),MATCH(P$30,INDIRECT(""&amp;$S$29&amp;"!$A$4"):INDIRECT(""&amp;$S$29&amp;"!$AA$4"),0),FALSE)),"",VLOOKUP($K50,OFFSET(INDIRECT(""&amp;$S$29&amp;"!$A$4"),0,0,200,100),MATCH(P$30,INDIRECT(""&amp;$S$29&amp;"!$A$4"):INDIRECT(""&amp;$S$29&amp;"!$AA$4"),0),FALSE))</f>
        <v>180892.345612</v>
      </c>
      <c r="Q50" s="76">
        <f ca="1">IF(ISERROR(VLOOKUP($K50,OFFSET(INDIRECT(""&amp;$S$29&amp;"!$A$4"),0,0,200,100),MATCH(Q$30,INDIRECT(""&amp;$S$29&amp;"!$A$4"):INDIRECT(""&amp;$S$29&amp;"!$AA$4"),0),FALSE)),"",VLOOKUP($K50,OFFSET(INDIRECT(""&amp;$S$29&amp;"!$A$4"),0,0,200,100),MATCH(Q$30,INDIRECT(""&amp;$S$29&amp;"!$A$4"):INDIRECT(""&amp;$S$29&amp;"!$AA$4"),0),FALSE))</f>
        <v>180140.236023</v>
      </c>
      <c r="R50" s="76">
        <f ca="1">IF(ISERROR(VLOOKUP($K50,OFFSET(INDIRECT(""&amp;$S$29&amp;"!$A$4"),0,0,200,100),MATCH(R$30,INDIRECT(""&amp;$S$29&amp;"!$A$4"):INDIRECT(""&amp;$S$29&amp;"!$AA$4"),0),FALSE)),"",VLOOKUP($K50,OFFSET(INDIRECT(""&amp;$S$29&amp;"!$A$4"),0,0,200,100),MATCH(R$30,INDIRECT(""&amp;$S$29&amp;"!$A$4"):INDIRECT(""&amp;$S$29&amp;"!$AA$4"),0),FALSE))</f>
        <v>187981.51873400001</v>
      </c>
      <c r="S50" s="76">
        <f ca="1">IF(ISERROR(VLOOKUP($K50,OFFSET(INDIRECT(""&amp;$S$29&amp;"!$A$4"),0,0,200,100),MATCH(S$30,INDIRECT(""&amp;$S$29&amp;"!$A$4"):INDIRECT(""&amp;$S$29&amp;"!$AA$4"),0),FALSE)),"",VLOOKUP($K50,OFFSET(INDIRECT(""&amp;$S$29&amp;"!$A$4"),0,0,200,100),MATCH(S$30,INDIRECT(""&amp;$S$29&amp;"!$A$4"):INDIRECT(""&amp;$S$29&amp;"!$AA$4"),0),FALSE))</f>
        <v>185327.23834499999</v>
      </c>
      <c r="T50" s="76">
        <f ca="1">IF(ISERROR(VLOOKUP($K50,OFFSET(INDIRECT(""&amp;$S$29&amp;"!$A$4"),0,0,200,100),MATCH(T$30,INDIRECT(""&amp;$S$29&amp;"!$A$4"):INDIRECT(""&amp;$S$29&amp;"!$AA$4"),0),FALSE)),"",VLOOKUP($K50,OFFSET(INDIRECT(""&amp;$S$29&amp;"!$A$4"),0,0,200,100),MATCH(T$30,INDIRECT(""&amp;$S$29&amp;"!$A$4"):INDIRECT(""&amp;$S$29&amp;"!$AA$4"),0),FALSE))</f>
        <v>183851.66232900001</v>
      </c>
      <c r="U50" s="76">
        <f ca="1">IF(ISERROR(VLOOKUP($K50,OFFSET(INDIRECT(""&amp;$S$29&amp;"!$A$4"),0,0,200,100),MATCH(U$30,INDIRECT(""&amp;$S$29&amp;"!$A$4"):INDIRECT(""&amp;$S$29&amp;"!$AA$4"),0),FALSE)),"",VLOOKUP($K50,OFFSET(INDIRECT(""&amp;$S$29&amp;"!$A$4"),0,0,200,100),MATCH(U$30,INDIRECT(""&amp;$S$29&amp;"!$A$4"):INDIRECT(""&amp;$S$29&amp;"!$AA$4"),0),FALSE))</f>
        <v>186428.95463399999</v>
      </c>
      <c r="V50" s="76">
        <f ca="1">IF(ISERROR(VLOOKUP($K50,OFFSET(INDIRECT(""&amp;$S$29&amp;"!$A$4"),0,0,200,100),MATCH(V$30,INDIRECT(""&amp;$S$29&amp;"!$A$4"):INDIRECT(""&amp;$S$29&amp;"!$AA$4"),0),FALSE)),"",VLOOKUP($K50,OFFSET(INDIRECT(""&amp;$S$29&amp;"!$A$4"),0,0,200,100),MATCH(V$30,INDIRECT(""&amp;$S$29&amp;"!$A$4"):INDIRECT(""&amp;$S$29&amp;"!$AA$4"),0),FALSE))</f>
        <v>183103.40336299999</v>
      </c>
      <c r="W50" s="76">
        <f ca="1">IF(ISERROR(VLOOKUP($K50,OFFSET(INDIRECT(""&amp;$S$29&amp;"!$A$4"),0,0,200,100),MATCH(W$30,INDIRECT(""&amp;$S$29&amp;"!$A$4"):INDIRECT(""&amp;$S$29&amp;"!$AA$4"),0),FALSE)),"",VLOOKUP($K50,OFFSET(INDIRECT(""&amp;$S$29&amp;"!$A$4"),0,0,200,100),MATCH(W$30,INDIRECT(""&amp;$S$29&amp;"!$A$4"):INDIRECT(""&amp;$S$29&amp;"!$AA$4"),0),FALSE))</f>
        <v>179213.60208899999</v>
      </c>
      <c r="X50" s="76">
        <f ca="1">IF(ISERROR(VLOOKUP($K50,OFFSET(INDIRECT(""&amp;$S$29&amp;"!$A$4"),0,0,200,100),MATCH(X$30,INDIRECT(""&amp;$S$29&amp;"!$A$4"):INDIRECT(""&amp;$S$29&amp;"!$AA$4"),0),FALSE)),"",VLOOKUP($K50,OFFSET(INDIRECT(""&amp;$S$29&amp;"!$A$4"),0,0,200,100),MATCH(X$30,INDIRECT(""&amp;$S$29&amp;"!$A$4"):INDIRECT(""&amp;$S$29&amp;"!$AA$4"),0),FALSE))</f>
        <v>174357.767785</v>
      </c>
      <c r="Y50" s="76">
        <f ca="1">IF(ISERROR(VLOOKUP($K50,OFFSET(INDIRECT(""&amp;$S$29&amp;"!$A$4"),0,0,200,100),MATCH(Y$30,INDIRECT(""&amp;$S$29&amp;"!$A$4"):INDIRECT(""&amp;$S$29&amp;"!$AA$4"),0),FALSE)),"",VLOOKUP($K50,OFFSET(INDIRECT(""&amp;$S$29&amp;"!$A$4"),0,0,200,100),MATCH(Y$30,INDIRECT(""&amp;$S$29&amp;"!$A$4"):INDIRECT(""&amp;$S$29&amp;"!$AA$4"),0),FALSE))</f>
        <v>169845.216293</v>
      </c>
      <c r="Z50" s="76">
        <f ca="1">IF(ISERROR(VLOOKUP($K50,OFFSET(INDIRECT(""&amp;$S$29&amp;"!$A$4"),0,0,200,100),MATCH(Z$30,INDIRECT(""&amp;$S$29&amp;"!$A$4"):INDIRECT(""&amp;$S$29&amp;"!$AA$4"),0),FALSE)),"",VLOOKUP($K50,OFFSET(INDIRECT(""&amp;$S$29&amp;"!$A$4"),0,0,200,100),MATCH(Z$30,INDIRECT(""&amp;$S$29&amp;"!$A$4"):INDIRECT(""&amp;$S$29&amp;"!$AA$4"),0),FALSE))</f>
        <v>169384.03411199999</v>
      </c>
      <c r="AA50" s="76">
        <f t="shared" ca="1" si="61"/>
        <v>169845.216293</v>
      </c>
      <c r="AB50" s="110"/>
      <c r="AC50" s="87">
        <f t="shared" ca="1" si="48"/>
        <v>0.43943396005024749</v>
      </c>
      <c r="AD50" s="87">
        <f t="shared" ca="1" si="49"/>
        <v>0.48067095277499955</v>
      </c>
      <c r="AE50" s="87">
        <f t="shared" ca="1" si="50"/>
        <v>0.4872750709379261</v>
      </c>
      <c r="AF50" s="87">
        <f t="shared" ca="1" si="51"/>
        <v>0.48939738268154787</v>
      </c>
      <c r="AG50" s="87">
        <f t="shared" ca="1" si="62"/>
        <v>0.50280092029363943</v>
      </c>
      <c r="AH50" s="87">
        <f t="shared" ca="1" si="62"/>
        <v>0.50280092029363943</v>
      </c>
      <c r="AI50" s="144"/>
      <c r="AJ50" s="87">
        <f t="shared" ca="1" si="53"/>
        <v>0.4626089805308527</v>
      </c>
      <c r="AK50" s="87">
        <f t="shared" ca="1" si="54"/>
        <v>0.46516268434614899</v>
      </c>
      <c r="AL50" s="87">
        <f t="shared" ca="1" si="55"/>
        <v>0.43539453458430655</v>
      </c>
      <c r="AM50" s="87">
        <f t="shared" ca="1" si="56"/>
        <v>0.47304271090922184</v>
      </c>
      <c r="AN50" s="87">
        <f t="shared" ca="1" si="57"/>
        <v>0.45985270438471776</v>
      </c>
      <c r="AO50" s="87">
        <f t="shared" ca="1" si="63"/>
        <v>0.48471318162067428</v>
      </c>
      <c r="AP50" s="87">
        <f t="shared" ca="1" si="63"/>
        <v>0.50577901859995378</v>
      </c>
      <c r="AQ50" s="87">
        <f t="shared" ca="1" si="63"/>
        <v>0.50719267000571477</v>
      </c>
      <c r="AR50" s="87">
        <f t="shared" ca="1" si="63"/>
        <v>0.4885452105041867</v>
      </c>
      <c r="AS50" s="87">
        <f t="shared" ca="1" si="63"/>
        <v>0.47286867415209943</v>
      </c>
      <c r="AT50" s="87">
        <f t="shared" ca="1" si="59"/>
        <v>0.50216448618901588</v>
      </c>
      <c r="AU50" s="87">
        <f t="shared" ca="1" si="59"/>
        <v>0.50295901863580605</v>
      </c>
      <c r="AV50" s="87">
        <f t="shared" ca="1" si="60"/>
        <v>0.50216448618901588</v>
      </c>
    </row>
    <row r="51" spans="1:48" s="112" customFormat="1" ht="15.95" customHeight="1">
      <c r="A51" s="113" t="s">
        <v>252</v>
      </c>
      <c r="B51" s="116" t="s">
        <v>142</v>
      </c>
      <c r="C51" s="90">
        <f ca="1">IF(ISERROR(VLOOKUP($B51,OFFSET(INDIRECT(""&amp;$B$29&amp;"!$A$4"),0,0,200,100),MATCH(C$30,INDIRECT(""&amp;$B$29&amp;"!$A$4"):INDIRECT(""&amp;$B$29&amp;"!$o$4"),0),FALSE)),"",VLOOKUP($B51,OFFSET(INDIRECT(""&amp;$B$29&amp;"!$A$4"),0,0,200,100),MATCH(C$30,INDIRECT(""&amp;$B$29&amp;"!$A$4"):INDIRECT(""&amp;$B$29&amp;"!$o$4"),0),FALSE))</f>
        <v>11493.627640999999</v>
      </c>
      <c r="D51" s="90">
        <f ca="1">IF(ISERROR(VLOOKUP($B51,OFFSET(INDIRECT(""&amp;$B$29&amp;"!$A$4"),0,0,200,100),MATCH(D$30,INDIRECT(""&amp;$B$29&amp;"!$A$4"):INDIRECT(""&amp;$B$29&amp;"!$o$4"),0),FALSE)),"",VLOOKUP($B51,OFFSET(INDIRECT(""&amp;$B$29&amp;"!$A$4"),0,0,200,100),MATCH(D$30,INDIRECT(""&amp;$B$29&amp;"!$A$4"):INDIRECT(""&amp;$B$29&amp;"!$o$4"),0),FALSE))</f>
        <v>12670.243904999999</v>
      </c>
      <c r="E51" s="90">
        <f ca="1">IF(ISERROR(VLOOKUP($B51,OFFSET(INDIRECT(""&amp;$B$29&amp;"!$A$4"),0,0,200,100),MATCH(E$30,INDIRECT(""&amp;$B$29&amp;"!$A$4"):INDIRECT(""&amp;$B$29&amp;"!$o$4"),0),FALSE)),"",VLOOKUP($B51,OFFSET(INDIRECT(""&amp;$B$29&amp;"!$A$4"),0,0,200,100),MATCH(E$30,INDIRECT(""&amp;$B$29&amp;"!$A$4"):INDIRECT(""&amp;$B$29&amp;"!$o$4"),0),FALSE))</f>
        <v>13833.694412999999</v>
      </c>
      <c r="F51" s="90">
        <f ca="1">IF(ISERROR(VLOOKUP($B51,OFFSET(INDIRECT(""&amp;$B$29&amp;"!$A$4"),0,0,200,100),MATCH(F$30,INDIRECT(""&amp;$B$29&amp;"!$A$4"):INDIRECT(""&amp;$B$29&amp;"!$o$4"),0),FALSE)),"",VLOOKUP($B51,OFFSET(INDIRECT(""&amp;$B$29&amp;"!$A$4"),0,0,200,100),MATCH(F$30,INDIRECT(""&amp;$B$29&amp;"!$A$4"):INDIRECT(""&amp;$B$29&amp;"!$o$4"),0),FALSE))</f>
        <v>16109.282552000001</v>
      </c>
      <c r="G51" s="90">
        <f ca="1">IF(ISERROR(VLOOKUP($B51,OFFSET(INDIRECT(""&amp;$B$29&amp;"!$A$4"),0,0,200,100),MATCH(G$30,INDIRECT(""&amp;$B$29&amp;"!$A$4"):INDIRECT(""&amp;$B$29&amp;"!$o$4"),0),FALSE)),"",VLOOKUP($B51,OFFSET(INDIRECT(""&amp;$B$29&amp;"!$A$4"),0,0,200,100),MATCH(G$30,INDIRECT(""&amp;$B$29&amp;"!$A$4"):INDIRECT(""&amp;$B$29&amp;"!$o$4"),0),FALSE))</f>
        <v>43613.854566000002</v>
      </c>
      <c r="H51" s="90">
        <f ca="1">IF(ISERROR(VLOOKUP($B51,OFFSET(INDIRECT(""&amp;$B$29&amp;"!$A$4"),0,0,200,100),MATCH(H$30,INDIRECT(""&amp;$B$29&amp;"!$A$4"):INDIRECT(""&amp;$B$29&amp;"!$o$4"),0),FALSE)),"",VLOOKUP($B51,OFFSET(INDIRECT(""&amp;$B$29&amp;"!$A$4"),0,0,200,100),MATCH(H$30,INDIRECT(""&amp;$B$29&amp;"!$A$4"):INDIRECT(""&amp;$B$29&amp;"!$o$4"),0),FALSE))</f>
        <v>43643.296270999999</v>
      </c>
      <c r="I51" s="90">
        <f ca="1">IF(ISERROR(VLOOKUP($B51,OFFSET(INDIRECT(""&amp;$B$29&amp;"!$A$4"),0,0,200,100),MATCH(I$30,INDIRECT(""&amp;$B$29&amp;"!$A$4"):INDIRECT(""&amp;$B$29&amp;"!$o$4"),0),FALSE)),"",VLOOKUP($B51,OFFSET(INDIRECT(""&amp;$B$29&amp;"!$A$4"),0,0,200,100),MATCH(I$30,INDIRECT(""&amp;$B$29&amp;"!$A$4"):INDIRECT(""&amp;$B$29&amp;"!$o$4"),0),FALSE))</f>
        <v>38613.949869999997</v>
      </c>
      <c r="J51" s="90">
        <f ca="1">IF(ISERROR(VLOOKUP($B51,OFFSET(INDIRECT(""&amp;$B$29&amp;"!$A$4"),0,0,200,100),MATCH(J$30,INDIRECT(""&amp;$B$29&amp;"!$A$4"):INDIRECT(""&amp;$B$29&amp;"!$o$4"),0),FALSE)),"",VLOOKUP($B51,OFFSET(INDIRECT(""&amp;$B$29&amp;"!$A$4"),0,0,200,100),MATCH(J$30,INDIRECT(""&amp;$B$29&amp;"!$A$4"):INDIRECT(""&amp;$B$29&amp;"!$o$4"),0),FALSE))</f>
        <v>38613.949869999997</v>
      </c>
      <c r="K51" s="114" t="s">
        <v>142</v>
      </c>
      <c r="L51" s="90">
        <f ca="1">IF(ISERROR(VLOOKUP($K51,OFFSET(INDIRECT(""&amp;$S$29&amp;"!$A$4"),0,0,200,100),MATCH(L$30,INDIRECT(""&amp;$S$29&amp;"!$A$4"):INDIRECT(""&amp;$S$29&amp;"!$AA$4"),0),FALSE)),"",VLOOKUP($K51,OFFSET(INDIRECT(""&amp;$S$29&amp;"!$A$4"),0,0,200,100),MATCH(L$30,INDIRECT(""&amp;$S$29&amp;"!$A$4"):INDIRECT(""&amp;$S$29&amp;"!$AA$4"),0),FALSE))</f>
        <v>16974.482739999999</v>
      </c>
      <c r="M51" s="90">
        <f ca="1">IF(ISERROR(VLOOKUP($K51,OFFSET(INDIRECT(""&amp;$S$29&amp;"!$A$4"),0,0,200,100),MATCH(M$30,INDIRECT(""&amp;$S$29&amp;"!$A$4"):INDIRECT(""&amp;$S$29&amp;"!$AA$4"),0),FALSE)),"",VLOOKUP($K51,OFFSET(INDIRECT(""&amp;$S$29&amp;"!$A$4"),0,0,200,100),MATCH(M$30,INDIRECT(""&amp;$S$29&amp;"!$A$4"):INDIRECT(""&amp;$S$29&amp;"!$AA$4"),0),FALSE))</f>
        <v>16613.951421999998</v>
      </c>
      <c r="N51" s="90">
        <f ca="1">IF(ISERROR(VLOOKUP($K51,OFFSET(INDIRECT(""&amp;$S$29&amp;"!$A$4"),0,0,200,100),MATCH(N$30,INDIRECT(""&amp;$S$29&amp;"!$A$4"):INDIRECT(""&amp;$S$29&amp;"!$AA$4"),0),FALSE)),"",VLOOKUP($K51,OFFSET(INDIRECT(""&amp;$S$29&amp;"!$A$4"),0,0,200,100),MATCH(N$30,INDIRECT(""&amp;$S$29&amp;"!$A$4"):INDIRECT(""&amp;$S$29&amp;"!$AA$4"),0),FALSE))</f>
        <v>16886.921146000001</v>
      </c>
      <c r="O51" s="90">
        <f ca="1">IF(ISERROR(VLOOKUP($K51,OFFSET(INDIRECT(""&amp;$S$29&amp;"!$A$4"),0,0,200,100),MATCH(O$30,INDIRECT(""&amp;$S$29&amp;"!$A$4"):INDIRECT(""&amp;$S$29&amp;"!$AA$4"),0),FALSE)),"",VLOOKUP($K51,OFFSET(INDIRECT(""&amp;$S$29&amp;"!$A$4"),0,0,200,100),MATCH(O$30,INDIRECT(""&amp;$S$29&amp;"!$A$4"):INDIRECT(""&amp;$S$29&amp;"!$AA$4"),0),FALSE))</f>
        <v>16109.282552000001</v>
      </c>
      <c r="P51" s="90">
        <f ca="1">IF(ISERROR(VLOOKUP($K51,OFFSET(INDIRECT(""&amp;$S$29&amp;"!$A$4"),0,0,200,100),MATCH(P$30,INDIRECT(""&amp;$S$29&amp;"!$A$4"):INDIRECT(""&amp;$S$29&amp;"!$AA$4"),0),FALSE)),"",VLOOKUP($K51,OFFSET(INDIRECT(""&amp;$S$29&amp;"!$A$4"),0,0,200,100),MATCH(P$30,INDIRECT(""&amp;$S$29&amp;"!$A$4"):INDIRECT(""&amp;$S$29&amp;"!$AA$4"),0),FALSE))</f>
        <v>14846.832348</v>
      </c>
      <c r="Q51" s="90">
        <f ca="1">IF(ISERROR(VLOOKUP($K51,OFFSET(INDIRECT(""&amp;$S$29&amp;"!$A$4"),0,0,200,100),MATCH(Q$30,INDIRECT(""&amp;$S$29&amp;"!$A$4"):INDIRECT(""&amp;$S$29&amp;"!$AA$4"),0),FALSE)),"",VLOOKUP($K51,OFFSET(INDIRECT(""&amp;$S$29&amp;"!$A$4"),0,0,200,100),MATCH(Q$30,INDIRECT(""&amp;$S$29&amp;"!$A$4"):INDIRECT(""&amp;$S$29&amp;"!$AA$4"),0),FALSE))</f>
        <v>30030.611270000001</v>
      </c>
      <c r="R51" s="90">
        <f ca="1">IF(ISERROR(VLOOKUP($K51,OFFSET(INDIRECT(""&amp;$S$29&amp;"!$A$4"),0,0,200,100),MATCH(R$30,INDIRECT(""&amp;$S$29&amp;"!$A$4"):INDIRECT(""&amp;$S$29&amp;"!$AA$4"),0),FALSE)),"",VLOOKUP($K51,OFFSET(INDIRECT(""&amp;$S$29&amp;"!$A$4"),0,0,200,100),MATCH(R$30,INDIRECT(""&amp;$S$29&amp;"!$A$4"):INDIRECT(""&amp;$S$29&amp;"!$AA$4"),0),FALSE))</f>
        <v>29139.765915</v>
      </c>
      <c r="S51" s="90">
        <f ca="1">IF(ISERROR(VLOOKUP($K51,OFFSET(INDIRECT(""&amp;$S$29&amp;"!$A$4"),0,0,200,100),MATCH(S$30,INDIRECT(""&amp;$S$29&amp;"!$A$4"):INDIRECT(""&amp;$S$29&amp;"!$AA$4"),0),FALSE)),"",VLOOKUP($K51,OFFSET(INDIRECT(""&amp;$S$29&amp;"!$A$4"),0,0,200,100),MATCH(S$30,INDIRECT(""&amp;$S$29&amp;"!$A$4"):INDIRECT(""&amp;$S$29&amp;"!$AA$4"),0),FALSE))</f>
        <v>28779.906760999998</v>
      </c>
      <c r="T51" s="90">
        <f ca="1">IF(ISERROR(VLOOKUP($K51,OFFSET(INDIRECT(""&amp;$S$29&amp;"!$A$4"),0,0,200,100),MATCH(T$30,INDIRECT(""&amp;$S$29&amp;"!$A$4"):INDIRECT(""&amp;$S$29&amp;"!$AA$4"),0),FALSE)),"",VLOOKUP($K51,OFFSET(INDIRECT(""&amp;$S$29&amp;"!$A$4"),0,0,200,100),MATCH(T$30,INDIRECT(""&amp;$S$29&amp;"!$A$4"):INDIRECT(""&amp;$S$29&amp;"!$AA$4"),0),FALSE))</f>
        <v>42216.253167000003</v>
      </c>
      <c r="U51" s="90">
        <f ca="1">IF(ISERROR(VLOOKUP($K51,OFFSET(INDIRECT(""&amp;$S$29&amp;"!$A$4"),0,0,200,100),MATCH(U$30,INDIRECT(""&amp;$S$29&amp;"!$A$4"):INDIRECT(""&amp;$S$29&amp;"!$AA$4"),0),FALSE)),"",VLOOKUP($K51,OFFSET(INDIRECT(""&amp;$S$29&amp;"!$A$4"),0,0,200,100),MATCH(U$30,INDIRECT(""&amp;$S$29&amp;"!$A$4"):INDIRECT(""&amp;$S$29&amp;"!$AA$4"),0),FALSE))</f>
        <v>45844.311593999999</v>
      </c>
      <c r="V51" s="90">
        <f ca="1">IF(ISERROR(VLOOKUP($K51,OFFSET(INDIRECT(""&amp;$S$29&amp;"!$A$4"),0,0,200,100),MATCH(V$30,INDIRECT(""&amp;$S$29&amp;"!$A$4"):INDIRECT(""&amp;$S$29&amp;"!$AA$4"),0),FALSE)),"",VLOOKUP($K51,OFFSET(INDIRECT(""&amp;$S$29&amp;"!$A$4"),0,0,200,100),MATCH(V$30,INDIRECT(""&amp;$S$29&amp;"!$A$4"):INDIRECT(""&amp;$S$29&amp;"!$AA$4"),0),FALSE))</f>
        <v>45142.638615999997</v>
      </c>
      <c r="W51" s="90">
        <f ca="1">IF(ISERROR(VLOOKUP($K51,OFFSET(INDIRECT(""&amp;$S$29&amp;"!$A$4"),0,0,200,100),MATCH(W$30,INDIRECT(""&amp;$S$29&amp;"!$A$4"):INDIRECT(""&amp;$S$29&amp;"!$AA$4"),0),FALSE)),"",VLOOKUP($K51,OFFSET(INDIRECT(""&amp;$S$29&amp;"!$A$4"),0,0,200,100),MATCH(W$30,INDIRECT(""&amp;$S$29&amp;"!$A$4"):INDIRECT(""&amp;$S$29&amp;"!$AA$4"),0),FALSE))</f>
        <v>43643.296270999999</v>
      </c>
      <c r="X51" s="90">
        <f ca="1">IF(ISERROR(VLOOKUP($K51,OFFSET(INDIRECT(""&amp;$S$29&amp;"!$A$4"),0,0,200,100),MATCH(X$30,INDIRECT(""&amp;$S$29&amp;"!$A$4"):INDIRECT(""&amp;$S$29&amp;"!$AA$4"),0),FALSE)),"",VLOOKUP($K51,OFFSET(INDIRECT(""&amp;$S$29&amp;"!$A$4"),0,0,200,100),MATCH(X$30,INDIRECT(""&amp;$S$29&amp;"!$A$4"):INDIRECT(""&amp;$S$29&amp;"!$AA$4"),0),FALSE))</f>
        <v>42995.786333999997</v>
      </c>
      <c r="Y51" s="90">
        <f ca="1">IF(ISERROR(VLOOKUP($K51,OFFSET(INDIRECT(""&amp;$S$29&amp;"!$A$4"),0,0,200,100),MATCH(Y$30,INDIRECT(""&amp;$S$29&amp;"!$A$4"):INDIRECT(""&amp;$S$29&amp;"!$AA$4"),0),FALSE)),"",VLOOKUP($K51,OFFSET(INDIRECT(""&amp;$S$29&amp;"!$A$4"),0,0,200,100),MATCH(Y$30,INDIRECT(""&amp;$S$29&amp;"!$A$4"):INDIRECT(""&amp;$S$29&amp;"!$AA$4"),0),FALSE))</f>
        <v>41018.216253999999</v>
      </c>
      <c r="Z51" s="90">
        <f ca="1">IF(ISERROR(VLOOKUP($K51,OFFSET(INDIRECT(""&amp;$S$29&amp;"!$A$4"),0,0,200,100),MATCH(Z$30,INDIRECT(""&amp;$S$29&amp;"!$A$4"):INDIRECT(""&amp;$S$29&amp;"!$AA$4"),0),FALSE)),"",VLOOKUP($K51,OFFSET(INDIRECT(""&amp;$S$29&amp;"!$A$4"),0,0,200,100),MATCH(Z$30,INDIRECT(""&amp;$S$29&amp;"!$A$4"):INDIRECT(""&amp;$S$29&amp;"!$AA$4"),0),FALSE))</f>
        <v>39787.743068000003</v>
      </c>
      <c r="AA51" s="90">
        <f t="shared" ca="1" si="61"/>
        <v>41018.216253999999</v>
      </c>
      <c r="AB51" s="115"/>
      <c r="AC51" s="87">
        <f t="shared" ca="1" si="48"/>
        <v>3.9656930492241553E-2</v>
      </c>
      <c r="AD51" s="87">
        <f t="shared" ca="1" si="49"/>
        <v>4.2722011353716893E-2</v>
      </c>
      <c r="AE51" s="87">
        <f t="shared" ca="1" si="50"/>
        <v>0.11427887460522121</v>
      </c>
      <c r="AF51" s="87">
        <f t="shared" ca="1" si="51"/>
        <v>0.11918132729688465</v>
      </c>
      <c r="AG51" s="87">
        <f t="shared" ca="1" si="62"/>
        <v>0.11330039212134554</v>
      </c>
      <c r="AH51" s="87">
        <f t="shared" ca="1" si="62"/>
        <v>0.11330039212134554</v>
      </c>
      <c r="AI51" s="145"/>
      <c r="AJ51" s="87">
        <f t="shared" ca="1" si="53"/>
        <v>4.1116664122247792E-2</v>
      </c>
      <c r="AK51" s="87">
        <f t="shared" ca="1" si="54"/>
        <v>3.8178466676783346E-2</v>
      </c>
      <c r="AL51" s="87">
        <f t="shared" ca="1" si="55"/>
        <v>7.2583251281598565E-2</v>
      </c>
      <c r="AM51" s="87">
        <f t="shared" ca="1" si="56"/>
        <v>7.3328239693589523E-2</v>
      </c>
      <c r="AN51" s="87">
        <f t="shared" ca="1" si="57"/>
        <v>7.1411618033981952E-2</v>
      </c>
      <c r="AO51" s="87">
        <f t="shared" ca="1" si="63"/>
        <v>0.11130045891052422</v>
      </c>
      <c r="AP51" s="87">
        <f t="shared" ca="1" si="63"/>
        <v>0.12437494471781506</v>
      </c>
      <c r="AQ51" s="87">
        <f t="shared" ca="1" si="63"/>
        <v>0.12504418263248274</v>
      </c>
      <c r="AR51" s="87">
        <f t="shared" ca="1" si="63"/>
        <v>0.11897380062269834</v>
      </c>
      <c r="AS51" s="87">
        <f t="shared" ca="1" si="63"/>
        <v>0.11660713908058325</v>
      </c>
      <c r="AT51" s="87">
        <f t="shared" ca="1" si="59"/>
        <v>0.12127448708385417</v>
      </c>
      <c r="AU51" s="87">
        <f t="shared" ca="1" si="59"/>
        <v>0.11814339121231944</v>
      </c>
      <c r="AV51" s="87">
        <f t="shared" ca="1" si="60"/>
        <v>0.12127448708385417</v>
      </c>
    </row>
    <row r="52" spans="1:48" s="120" customFormat="1" ht="15.95" customHeight="1">
      <c r="A52" s="130" t="s">
        <v>253</v>
      </c>
      <c r="B52" s="117" t="s">
        <v>143</v>
      </c>
      <c r="C52" s="90">
        <f ca="1">IF(ISERROR(VLOOKUP($B52,OFFSET(INDIRECT(""&amp;$B$29&amp;"!$A$4"),0,0,200,100),MATCH(C$30,INDIRECT(""&amp;$B$29&amp;"!$A$4"):INDIRECT(""&amp;$B$29&amp;"!$o$4"),0),FALSE)),"",VLOOKUP($B52,OFFSET(INDIRECT(""&amp;$B$29&amp;"!$A$4"),0,0,200,100),MATCH(C$30,INDIRECT(""&amp;$B$29&amp;"!$A$4"):INDIRECT(""&amp;$B$29&amp;"!$o$4"),0),FALSE))</f>
        <v>35789.860554999999</v>
      </c>
      <c r="D52" s="90">
        <f ca="1">IF(ISERROR(VLOOKUP($B52,OFFSET(INDIRECT(""&amp;$B$29&amp;"!$A$4"),0,0,200,100),MATCH(D$30,INDIRECT(""&amp;$B$29&amp;"!$A$4"):INDIRECT(""&amp;$B$29&amp;"!$o$4"),0),FALSE)),"",VLOOKUP($B52,OFFSET(INDIRECT(""&amp;$B$29&amp;"!$A$4"),0,0,200,100),MATCH(D$30,INDIRECT(""&amp;$B$29&amp;"!$A$4"):INDIRECT(""&amp;$B$29&amp;"!$o$4"),0),FALSE))</f>
        <v>38998.766889999999</v>
      </c>
      <c r="E52" s="90">
        <f ca="1">IF(ISERROR(VLOOKUP($B52,OFFSET(INDIRECT(""&amp;$B$29&amp;"!$A$4"),0,0,200,100),MATCH(E$30,INDIRECT(""&amp;$B$29&amp;"!$A$4"):INDIRECT(""&amp;$B$29&amp;"!$o$4"),0),FALSE)),"",VLOOKUP($B52,OFFSET(INDIRECT(""&amp;$B$29&amp;"!$A$4"),0,0,200,100),MATCH(E$30,INDIRECT(""&amp;$B$29&amp;"!$A$4"):INDIRECT(""&amp;$B$29&amp;"!$o$4"),0),FALSE))</f>
        <v>41966.271105</v>
      </c>
      <c r="F52" s="90">
        <f ca="1">IF(ISERROR(VLOOKUP($B52,OFFSET(INDIRECT(""&amp;$B$29&amp;"!$A$4"),0,0,200,100),MATCH(F$30,INDIRECT(""&amp;$B$29&amp;"!$A$4"):INDIRECT(""&amp;$B$29&amp;"!$o$4"),0),FALSE)),"",VLOOKUP($B52,OFFSET(INDIRECT(""&amp;$B$29&amp;"!$A$4"),0,0,200,100),MATCH(F$30,INDIRECT(""&amp;$B$29&amp;"!$A$4"):INDIRECT(""&amp;$B$29&amp;"!$o$4"),0),FALSE))</f>
        <v>47184.164519999998</v>
      </c>
      <c r="G52" s="90">
        <f ca="1">IF(ISERROR(VLOOKUP($B52,OFFSET(INDIRECT(""&amp;$B$29&amp;"!$A$4"),0,0,200,100),MATCH(G$30,INDIRECT(""&amp;$B$29&amp;"!$A$4"):INDIRECT(""&amp;$B$29&amp;"!$o$4"),0),FALSE)),"",VLOOKUP($B52,OFFSET(INDIRECT(""&amp;$B$29&amp;"!$A$4"),0,0,200,100),MATCH(G$30,INDIRECT(""&amp;$B$29&amp;"!$A$4"):INDIRECT(""&amp;$B$29&amp;"!$o$4"),0),FALSE))</f>
        <v>79116.171465000007</v>
      </c>
      <c r="H52" s="90">
        <f ca="1">IF(ISERROR(VLOOKUP($B52,OFFSET(INDIRECT(""&amp;$B$29&amp;"!$A$4"),0,0,200,100),MATCH(H$30,INDIRECT(""&amp;$B$29&amp;"!$A$4"):INDIRECT(""&amp;$B$29&amp;"!$o$4"),0),FALSE)),"",VLOOKUP($B52,OFFSET(INDIRECT(""&amp;$B$29&amp;"!$A$4"),0,0,200,100),MATCH(H$30,INDIRECT(""&amp;$B$29&amp;"!$A$4"):INDIRECT(""&amp;$B$29&amp;"!$o$4"),0),FALSE))</f>
        <v>85610.372325000004</v>
      </c>
      <c r="I52" s="90">
        <f ca="1">IF(ISERROR(VLOOKUP($B52,OFFSET(INDIRECT(""&amp;$B$29&amp;"!$A$4"),0,0,200,100),MATCH(I$30,INDIRECT(""&amp;$B$29&amp;"!$A$4"):INDIRECT(""&amp;$B$29&amp;"!$o$4"),0),FALSE)),"",VLOOKUP($B52,OFFSET(INDIRECT(""&amp;$B$29&amp;"!$A$4"),0,0,200,100),MATCH(I$30,INDIRECT(""&amp;$B$29&amp;"!$A$4"):INDIRECT(""&amp;$B$29&amp;"!$o$4"),0),FALSE))</f>
        <v>83962.125773000007</v>
      </c>
      <c r="J52" s="90">
        <f ca="1">IF(ISERROR(VLOOKUP($B52,OFFSET(INDIRECT(""&amp;$B$29&amp;"!$A$4"),0,0,200,100),MATCH(J$30,INDIRECT(""&amp;$B$29&amp;"!$A$4"):INDIRECT(""&amp;$B$29&amp;"!$o$4"),0),FALSE)),"",VLOOKUP($B52,OFFSET(INDIRECT(""&amp;$B$29&amp;"!$A$4"),0,0,200,100),MATCH(J$30,INDIRECT(""&amp;$B$29&amp;"!$A$4"):INDIRECT(""&amp;$B$29&amp;"!$o$4"),0),FALSE))</f>
        <v>83962.125773000007</v>
      </c>
      <c r="K52" s="118" t="s">
        <v>143</v>
      </c>
      <c r="L52" s="90">
        <f ca="1">IF(ISERROR(VLOOKUP($K52,OFFSET(INDIRECT(""&amp;$S$29&amp;"!$A$4"),0,0,200,100),MATCH(L$30,INDIRECT(""&amp;$S$29&amp;"!$A$4"):INDIRECT(""&amp;$S$29&amp;"!$AA$4"),0),FALSE)),"",VLOOKUP($K52,OFFSET(INDIRECT(""&amp;$S$29&amp;"!$A$4"),0,0,200,100),MATCH(L$30,INDIRECT(""&amp;$S$29&amp;"!$A$4"):INDIRECT(""&amp;$S$29&amp;"!$AA$4"),0),FALSE))</f>
        <v>45792.385793000001</v>
      </c>
      <c r="M52" s="90">
        <f ca="1">IF(ISERROR(VLOOKUP($K52,OFFSET(INDIRECT(""&amp;$S$29&amp;"!$A$4"),0,0,200,100),MATCH(M$30,INDIRECT(""&amp;$S$29&amp;"!$A$4"):INDIRECT(""&amp;$S$29&amp;"!$AA$4"),0),FALSE)),"",VLOOKUP($K52,OFFSET(INDIRECT(""&amp;$S$29&amp;"!$A$4"),0,0,200,100),MATCH(M$30,INDIRECT(""&amp;$S$29&amp;"!$A$4"):INDIRECT(""&amp;$S$29&amp;"!$AA$4"),0),FALSE))</f>
        <v>46144.885793000001</v>
      </c>
      <c r="N52" s="90">
        <f ca="1">IF(ISERROR(VLOOKUP($K52,OFFSET(INDIRECT(""&amp;$S$29&amp;"!$A$4"),0,0,200,100),MATCH(N$30,INDIRECT(""&amp;$S$29&amp;"!$A$4"):INDIRECT(""&amp;$S$29&amp;"!$AA$4"),0),FALSE)),"",VLOOKUP($K52,OFFSET(INDIRECT(""&amp;$S$29&amp;"!$A$4"),0,0,200,100),MATCH(N$30,INDIRECT(""&amp;$S$29&amp;"!$A$4"):INDIRECT(""&amp;$S$29&amp;"!$AA$4"),0),FALSE))</f>
        <v>47184.164519999998</v>
      </c>
      <c r="O52" s="90">
        <f ca="1">IF(ISERROR(VLOOKUP($K52,OFFSET(INDIRECT(""&amp;$S$29&amp;"!$A$4"),0,0,200,100),MATCH(O$30,INDIRECT(""&amp;$S$29&amp;"!$A$4"):INDIRECT(""&amp;$S$29&amp;"!$AA$4"),0),FALSE)),"",VLOOKUP($K52,OFFSET(INDIRECT(""&amp;$S$29&amp;"!$A$4"),0,0,200,100),MATCH(O$30,INDIRECT(""&amp;$S$29&amp;"!$A$4"):INDIRECT(""&amp;$S$29&amp;"!$AA$4"),0),FALSE))</f>
        <v>47184.164519999998</v>
      </c>
      <c r="P52" s="90">
        <f ca="1">IF(ISERROR(VLOOKUP($K52,OFFSET(INDIRECT(""&amp;$S$29&amp;"!$A$4"),0,0,200,100),MATCH(P$30,INDIRECT(""&amp;$S$29&amp;"!$A$4"):INDIRECT(""&amp;$S$29&amp;"!$AA$4"),0),FALSE)),"",VLOOKUP($K52,OFFSET(INDIRECT(""&amp;$S$29&amp;"!$A$4"),0,0,200,100),MATCH(P$30,INDIRECT(""&amp;$S$29&amp;"!$A$4"):INDIRECT(""&amp;$S$29&amp;"!$AA$4"),0),FALSE))</f>
        <v>46684.164519999998</v>
      </c>
      <c r="Q52" s="90">
        <f ca="1">IF(ISERROR(VLOOKUP($K52,OFFSET(INDIRECT(""&amp;$S$29&amp;"!$A$4"),0,0,200,100),MATCH(Q$30,INDIRECT(""&amp;$S$29&amp;"!$A$4"):INDIRECT(""&amp;$S$29&amp;"!$AA$4"),0),FALSE)),"",VLOOKUP($K52,OFFSET(INDIRECT(""&amp;$S$29&amp;"!$A$4"),0,0,200,100),MATCH(Q$30,INDIRECT(""&amp;$S$29&amp;"!$A$4"):INDIRECT(""&amp;$S$29&amp;"!$AA$4"),0),FALSE))</f>
        <v>62781.016422000001</v>
      </c>
      <c r="R52" s="90">
        <f ca="1">IF(ISERROR(VLOOKUP($K52,OFFSET(INDIRECT(""&amp;$S$29&amp;"!$A$4"),0,0,200,100),MATCH(R$30,INDIRECT(""&amp;$S$29&amp;"!$A$4"):INDIRECT(""&amp;$S$29&amp;"!$AA$4"),0),FALSE)),"",VLOOKUP($K52,OFFSET(INDIRECT(""&amp;$S$29&amp;"!$A$4"),0,0,200,100),MATCH(R$30,INDIRECT(""&amp;$S$29&amp;"!$A$4"):INDIRECT(""&amp;$S$29&amp;"!$AA$4"),0),FALSE))</f>
        <v>63106.475511999997</v>
      </c>
      <c r="S52" s="90">
        <f ca="1">IF(ISERROR(VLOOKUP($K52,OFFSET(INDIRECT(""&amp;$S$29&amp;"!$A$4"),0,0,200,100),MATCH(S$30,INDIRECT(""&amp;$S$29&amp;"!$A$4"):INDIRECT(""&amp;$S$29&amp;"!$AA$4"),0),FALSE)),"",VLOOKUP($K52,OFFSET(INDIRECT(""&amp;$S$29&amp;"!$A$4"),0,0,200,100),MATCH(S$30,INDIRECT(""&amp;$S$29&amp;"!$A$4"):INDIRECT(""&amp;$S$29&amp;"!$AA$4"),0),FALSE))</f>
        <v>64000.368512000001</v>
      </c>
      <c r="T52" s="90">
        <f ca="1">IF(ISERROR(VLOOKUP($K52,OFFSET(INDIRECT(""&amp;$S$29&amp;"!$A$4"),0,0,200,100),MATCH(T$30,INDIRECT(""&amp;$S$29&amp;"!$A$4"):INDIRECT(""&amp;$S$29&amp;"!$AA$4"),0),FALSE)),"",VLOOKUP($K52,OFFSET(INDIRECT(""&amp;$S$29&amp;"!$A$4"),0,0,200,100),MATCH(T$30,INDIRECT(""&amp;$S$29&amp;"!$A$4"):INDIRECT(""&amp;$S$29&amp;"!$AA$4"),0),FALSE))</f>
        <v>79130.321465000001</v>
      </c>
      <c r="U52" s="90">
        <f ca="1">IF(ISERROR(VLOOKUP($K52,OFFSET(INDIRECT(""&amp;$S$29&amp;"!$A$4"),0,0,200,100),MATCH(U$30,INDIRECT(""&amp;$S$29&amp;"!$A$4"):INDIRECT(""&amp;$S$29&amp;"!$AA$4"),0),FALSE)),"",VLOOKUP($K52,OFFSET(INDIRECT(""&amp;$S$29&amp;"!$A$4"),0,0,200,100),MATCH(U$30,INDIRECT(""&amp;$S$29&amp;"!$A$4"):INDIRECT(""&amp;$S$29&amp;"!$AA$4"),0),FALSE))</f>
        <v>84454.607455999998</v>
      </c>
      <c r="V52" s="90">
        <f ca="1">IF(ISERROR(VLOOKUP($K52,OFFSET(INDIRECT(""&amp;$S$29&amp;"!$A$4"),0,0,200,100),MATCH(V$30,INDIRECT(""&amp;$S$29&amp;"!$A$4"):INDIRECT(""&amp;$S$29&amp;"!$AA$4"),0),FALSE)),"",VLOOKUP($K52,OFFSET(INDIRECT(""&amp;$S$29&amp;"!$A$4"),0,0,200,100),MATCH(V$30,INDIRECT(""&amp;$S$29&amp;"!$A$4"):INDIRECT(""&amp;$S$29&amp;"!$AA$4"),0),FALSE))</f>
        <v>85441.170761000001</v>
      </c>
      <c r="W52" s="90">
        <f ca="1">IF(ISERROR(VLOOKUP($K52,OFFSET(INDIRECT(""&amp;$S$29&amp;"!$A$4"),0,0,200,100),MATCH(W$30,INDIRECT(""&amp;$S$29&amp;"!$A$4"):INDIRECT(""&amp;$S$29&amp;"!$AA$4"),0),FALSE)),"",VLOOKUP($K52,OFFSET(INDIRECT(""&amp;$S$29&amp;"!$A$4"),0,0,200,100),MATCH(W$30,INDIRECT(""&amp;$S$29&amp;"!$A$4"):INDIRECT(""&amp;$S$29&amp;"!$AA$4"),0),FALSE))</f>
        <v>85610.372325000004</v>
      </c>
      <c r="X52" s="90">
        <f ca="1">IF(ISERROR(VLOOKUP($K52,OFFSET(INDIRECT(""&amp;$S$29&amp;"!$A$4"),0,0,200,100),MATCH(X$30,INDIRECT(""&amp;$S$29&amp;"!$A$4"):INDIRECT(""&amp;$S$29&amp;"!$AA$4"),0),FALSE)),"",VLOOKUP($K52,OFFSET(INDIRECT(""&amp;$S$29&amp;"!$A$4"),0,0,200,100),MATCH(X$30,INDIRECT(""&amp;$S$29&amp;"!$A$4"):INDIRECT(""&amp;$S$29&amp;"!$AA$4"),0),FALSE))</f>
        <v>86677.308025000006</v>
      </c>
      <c r="Y52" s="90">
        <f ca="1">IF(ISERROR(VLOOKUP($K52,OFFSET(INDIRECT(""&amp;$S$29&amp;"!$A$4"),0,0,200,100),MATCH(Y$30,INDIRECT(""&amp;$S$29&amp;"!$A$4"):INDIRECT(""&amp;$S$29&amp;"!$AA$4"),0),FALSE)),"",VLOOKUP($K52,OFFSET(INDIRECT(""&amp;$S$29&amp;"!$A$4"),0,0,200,100),MATCH(Y$30,INDIRECT(""&amp;$S$29&amp;"!$A$4"):INDIRECT(""&amp;$S$29&amp;"!$AA$4"),0),FALSE))</f>
        <v>85886.064564999993</v>
      </c>
      <c r="Z52" s="90">
        <f ca="1">IF(ISERROR(VLOOKUP($K52,OFFSET(INDIRECT(""&amp;$S$29&amp;"!$A$4"),0,0,200,100),MATCH(Z$30,INDIRECT(""&amp;$S$29&amp;"!$A$4"):INDIRECT(""&amp;$S$29&amp;"!$AA$4"),0),FALSE)),"",VLOOKUP($K52,OFFSET(INDIRECT(""&amp;$S$29&amp;"!$A$4"),0,0,200,100),MATCH(Z$30,INDIRECT(""&amp;$S$29&amp;"!$A$4"):INDIRECT(""&amp;$S$29&amp;"!$AA$4"),0),FALSE))</f>
        <v>85926.734565000006</v>
      </c>
      <c r="AA52" s="90">
        <f t="shared" ca="1" si="61"/>
        <v>85886.064564999993</v>
      </c>
      <c r="AB52" s="119"/>
      <c r="AC52" s="87">
        <f t="shared" ca="1" si="48"/>
        <v>0.12030434145383417</v>
      </c>
      <c r="AD52" s="87">
        <f t="shared" ca="1" si="49"/>
        <v>0.12513297260956044</v>
      </c>
      <c r="AE52" s="87">
        <f t="shared" ca="1" si="50"/>
        <v>0.20730355360844985</v>
      </c>
      <c r="AF52" s="87">
        <f t="shared" ca="1" si="51"/>
        <v>0.2337852242121719</v>
      </c>
      <c r="AG52" s="87">
        <f t="shared" ca="1" si="62"/>
        <v>0.24636023523751041</v>
      </c>
      <c r="AH52" s="87">
        <f t="shared" ca="1" si="62"/>
        <v>0.24636023523751041</v>
      </c>
      <c r="AI52" s="147"/>
      <c r="AJ52" s="87">
        <f t="shared" ca="1" si="53"/>
        <v>0.12043090300237234</v>
      </c>
      <c r="AK52" s="87">
        <f t="shared" ca="1" si="54"/>
        <v>0.12004781745248083</v>
      </c>
      <c r="AL52" s="87">
        <f t="shared" ca="1" si="55"/>
        <v>0.15174017770408812</v>
      </c>
      <c r="AM52" s="87">
        <f t="shared" ca="1" si="56"/>
        <v>0.15880315497591302</v>
      </c>
      <c r="AN52" s="87">
        <f t="shared" ca="1" si="57"/>
        <v>0.15880419308398849</v>
      </c>
      <c r="AO52" s="87">
        <f t="shared" ca="1" si="63"/>
        <v>0.20862204558874334</v>
      </c>
      <c r="AP52" s="87">
        <f t="shared" ca="1" si="63"/>
        <v>0.22912411089360793</v>
      </c>
      <c r="AQ52" s="87">
        <f t="shared" ca="1" si="63"/>
        <v>0.23667028974209992</v>
      </c>
      <c r="AR52" s="87">
        <f t="shared" ca="1" si="63"/>
        <v>0.23337814139848756</v>
      </c>
      <c r="AS52" s="87">
        <f t="shared" ca="1" si="63"/>
        <v>0.23507403338287627</v>
      </c>
      <c r="AT52" s="87">
        <f t="shared" ca="1" si="59"/>
        <v>0.25393079902043364</v>
      </c>
      <c r="AU52" s="87">
        <f t="shared" ca="1" si="59"/>
        <v>0.25514580708837925</v>
      </c>
      <c r="AV52" s="87">
        <f t="shared" ca="1" si="60"/>
        <v>0.25393079902043364</v>
      </c>
    </row>
    <row r="53" spans="1:48" s="120" customFormat="1" ht="15.95" customHeight="1">
      <c r="A53" s="130" t="s">
        <v>254</v>
      </c>
      <c r="B53" s="117" t="s">
        <v>144</v>
      </c>
      <c r="C53" s="90">
        <f ca="1">IF(ISERROR(VLOOKUP($B53,OFFSET(INDIRECT(""&amp;$B$29&amp;"!$A$4"),0,0,200,100),MATCH(C$30,INDIRECT(""&amp;$B$29&amp;"!$A$4"):INDIRECT(""&amp;$B$29&amp;"!$o$4"),0),FALSE)),"",VLOOKUP($B53,OFFSET(INDIRECT(""&amp;$B$29&amp;"!$A$4"),0,0,200,100),MATCH(C$30,INDIRECT(""&amp;$B$29&amp;"!$A$4"):INDIRECT(""&amp;$B$29&amp;"!$o$4"),0),FALSE))</f>
        <v>-24296.232914</v>
      </c>
      <c r="D53" s="90">
        <f ca="1">IF(ISERROR(VLOOKUP($B53,OFFSET(INDIRECT(""&amp;$B$29&amp;"!$A$4"),0,0,200,100),MATCH(D$30,INDIRECT(""&amp;$B$29&amp;"!$A$4"):INDIRECT(""&amp;$B$29&amp;"!$o$4"),0),FALSE)),"",VLOOKUP($B53,OFFSET(INDIRECT(""&amp;$B$29&amp;"!$A$4"),0,0,200,100),MATCH(D$30,INDIRECT(""&amp;$B$29&amp;"!$A$4"):INDIRECT(""&amp;$B$29&amp;"!$o$4"),0),FALSE))</f>
        <v>-26328.522985</v>
      </c>
      <c r="E53" s="90">
        <f ca="1">IF(ISERROR(VLOOKUP($B53,OFFSET(INDIRECT(""&amp;$B$29&amp;"!$A$4"),0,0,200,100),MATCH(E$30,INDIRECT(""&amp;$B$29&amp;"!$A$4"):INDIRECT(""&amp;$B$29&amp;"!$o$4"),0),FALSE)),"",VLOOKUP($B53,OFFSET(INDIRECT(""&amp;$B$29&amp;"!$A$4"),0,0,200,100),MATCH(E$30,INDIRECT(""&amp;$B$29&amp;"!$A$4"):INDIRECT(""&amp;$B$29&amp;"!$o$4"),0),FALSE))</f>
        <v>-28132.576691999999</v>
      </c>
      <c r="F53" s="90">
        <f ca="1">IF(ISERROR(VLOOKUP($B53,OFFSET(INDIRECT(""&amp;$B$29&amp;"!$A$4"),0,0,200,100),MATCH(F$30,INDIRECT(""&amp;$B$29&amp;"!$A$4"):INDIRECT(""&amp;$B$29&amp;"!$o$4"),0),FALSE)),"",VLOOKUP($B53,OFFSET(INDIRECT(""&amp;$B$29&amp;"!$A$4"),0,0,200,100),MATCH(F$30,INDIRECT(""&amp;$B$29&amp;"!$A$4"):INDIRECT(""&amp;$B$29&amp;"!$o$4"),0),FALSE))</f>
        <v>-31074.881968000002</v>
      </c>
      <c r="G53" s="90">
        <f ca="1">IF(ISERROR(VLOOKUP($B53,OFFSET(INDIRECT(""&amp;$B$29&amp;"!$A$4"),0,0,200,100),MATCH(G$30,INDIRECT(""&amp;$B$29&amp;"!$A$4"):INDIRECT(""&amp;$B$29&amp;"!$o$4"),0),FALSE)),"",VLOOKUP($B53,OFFSET(INDIRECT(""&amp;$B$29&amp;"!$A$4"),0,0,200,100),MATCH(G$30,INDIRECT(""&amp;$B$29&amp;"!$A$4"):INDIRECT(""&amp;$B$29&amp;"!$o$4"),0),FALSE))</f>
        <v>-35502.316898999998</v>
      </c>
      <c r="H53" s="90">
        <f ca="1">IF(ISERROR(VLOOKUP($B53,OFFSET(INDIRECT(""&amp;$B$29&amp;"!$A$4"),0,0,200,100),MATCH(H$30,INDIRECT(""&amp;$B$29&amp;"!$A$4"):INDIRECT(""&amp;$B$29&amp;"!$o$4"),0),FALSE)),"",VLOOKUP($B53,OFFSET(INDIRECT(""&amp;$B$29&amp;"!$A$4"),0,0,200,100),MATCH(H$30,INDIRECT(""&amp;$B$29&amp;"!$A$4"):INDIRECT(""&amp;$B$29&amp;"!$o$4"),0),FALSE))</f>
        <v>-41967.076053999997</v>
      </c>
      <c r="I53" s="90">
        <f ca="1">IF(ISERROR(VLOOKUP($B53,OFFSET(INDIRECT(""&amp;$B$29&amp;"!$A$4"),0,0,200,100),MATCH(I$30,INDIRECT(""&amp;$B$29&amp;"!$A$4"):INDIRECT(""&amp;$B$29&amp;"!$o$4"),0),FALSE)),"",VLOOKUP($B53,OFFSET(INDIRECT(""&amp;$B$29&amp;"!$A$4"),0,0,200,100),MATCH(I$30,INDIRECT(""&amp;$B$29&amp;"!$A$4"):INDIRECT(""&amp;$B$29&amp;"!$o$4"),0),FALSE))</f>
        <v>-45348.175903000003</v>
      </c>
      <c r="J53" s="90">
        <f ca="1">IF(ISERROR(VLOOKUP($B53,OFFSET(INDIRECT(""&amp;$B$29&amp;"!$A$4"),0,0,200,100),MATCH(J$30,INDIRECT(""&amp;$B$29&amp;"!$A$4"):INDIRECT(""&amp;$B$29&amp;"!$o$4"),0),FALSE)),"",VLOOKUP($B53,OFFSET(INDIRECT(""&amp;$B$29&amp;"!$A$4"),0,0,200,100),MATCH(J$30,INDIRECT(""&amp;$B$29&amp;"!$A$4"):INDIRECT(""&amp;$B$29&amp;"!$o$4"),0),FALSE))</f>
        <v>-45348.175903000003</v>
      </c>
      <c r="K53" s="118" t="s">
        <v>144</v>
      </c>
      <c r="L53" s="90">
        <f ca="1">IF(ISERROR(VLOOKUP($K53,OFFSET(INDIRECT(""&amp;$S$29&amp;"!$A$4"),0,0,200,100),MATCH(L$30,INDIRECT(""&amp;$S$29&amp;"!$A$4"):INDIRECT(""&amp;$S$29&amp;"!$AA$4"),0),FALSE)),"",VLOOKUP($K53,OFFSET(INDIRECT(""&amp;$S$29&amp;"!$A$4"),0,0,200,100),MATCH(L$30,INDIRECT(""&amp;$S$29&amp;"!$A$4"):INDIRECT(""&amp;$S$29&amp;"!$AA$4"),0),FALSE))</f>
        <v>-28817.903053000002</v>
      </c>
      <c r="M53" s="90">
        <f ca="1">IF(ISERROR(VLOOKUP($K53,OFFSET(INDIRECT(""&amp;$S$29&amp;"!$A$4"),0,0,200,100),MATCH(M$30,INDIRECT(""&amp;$S$29&amp;"!$A$4"):INDIRECT(""&amp;$S$29&amp;"!$AA$4"),0),FALSE)),"",VLOOKUP($K53,OFFSET(INDIRECT(""&amp;$S$29&amp;"!$A$4"),0,0,200,100),MATCH(M$30,INDIRECT(""&amp;$S$29&amp;"!$A$4"):INDIRECT(""&amp;$S$29&amp;"!$AA$4"),0),FALSE))</f>
        <v>-29530.934370999999</v>
      </c>
      <c r="N53" s="90">
        <f ca="1">IF(ISERROR(VLOOKUP($K53,OFFSET(INDIRECT(""&amp;$S$29&amp;"!$A$4"),0,0,200,100),MATCH(N$30,INDIRECT(""&amp;$S$29&amp;"!$A$4"):INDIRECT(""&amp;$S$29&amp;"!$AA$4"),0),FALSE)),"",VLOOKUP($K53,OFFSET(INDIRECT(""&amp;$S$29&amp;"!$A$4"),0,0,200,100),MATCH(N$30,INDIRECT(""&amp;$S$29&amp;"!$A$4"):INDIRECT(""&amp;$S$29&amp;"!$AA$4"),0),FALSE))</f>
        <v>-30297.243374000001</v>
      </c>
      <c r="O53" s="90">
        <f ca="1">IF(ISERROR(VLOOKUP($K53,OFFSET(INDIRECT(""&amp;$S$29&amp;"!$A$4"),0,0,200,100),MATCH(O$30,INDIRECT(""&amp;$S$29&amp;"!$A$4"):INDIRECT(""&amp;$S$29&amp;"!$AA$4"),0),FALSE)),"",VLOOKUP($K53,OFFSET(INDIRECT(""&amp;$S$29&amp;"!$A$4"),0,0,200,100),MATCH(O$30,INDIRECT(""&amp;$S$29&amp;"!$A$4"):INDIRECT(""&amp;$S$29&amp;"!$AA$4"),0),FALSE))</f>
        <v>-31074.881968000002</v>
      </c>
      <c r="P53" s="90">
        <f ca="1">IF(ISERROR(VLOOKUP($K53,OFFSET(INDIRECT(""&amp;$S$29&amp;"!$A$4"),0,0,200,100),MATCH(P$30,INDIRECT(""&amp;$S$29&amp;"!$A$4"):INDIRECT(""&amp;$S$29&amp;"!$AA$4"),0),FALSE)),"",VLOOKUP($K53,OFFSET(INDIRECT(""&amp;$S$29&amp;"!$A$4"),0,0,200,100),MATCH(P$30,INDIRECT(""&amp;$S$29&amp;"!$A$4"):INDIRECT(""&amp;$S$29&amp;"!$AA$4"),0),FALSE))</f>
        <v>-31837.332171999999</v>
      </c>
      <c r="Q53" s="90">
        <f ca="1">IF(ISERROR(VLOOKUP($K53,OFFSET(INDIRECT(""&amp;$S$29&amp;"!$A$4"),0,0,200,100),MATCH(Q$30,INDIRECT(""&amp;$S$29&amp;"!$A$4"):INDIRECT(""&amp;$S$29&amp;"!$AA$4"),0),FALSE)),"",VLOOKUP($K53,OFFSET(INDIRECT(""&amp;$S$29&amp;"!$A$4"),0,0,200,100),MATCH(Q$30,INDIRECT(""&amp;$S$29&amp;"!$A$4"):INDIRECT(""&amp;$S$29&amp;"!$AA$4"),0),FALSE))</f>
        <v>-32750.405151999999</v>
      </c>
      <c r="R53" s="90">
        <f ca="1">IF(ISERROR(VLOOKUP($K53,OFFSET(INDIRECT(""&amp;$S$29&amp;"!$A$4"),0,0,200,100),MATCH(R$30,INDIRECT(""&amp;$S$29&amp;"!$A$4"):INDIRECT(""&amp;$S$29&amp;"!$AA$4"),0),FALSE)),"",VLOOKUP($K53,OFFSET(INDIRECT(""&amp;$S$29&amp;"!$A$4"),0,0,200,100),MATCH(R$30,INDIRECT(""&amp;$S$29&amp;"!$A$4"):INDIRECT(""&amp;$S$29&amp;"!$AA$4"),0),FALSE))</f>
        <v>-33966.709597000001</v>
      </c>
      <c r="S53" s="90">
        <f ca="1">IF(ISERROR(VLOOKUP($K53,OFFSET(INDIRECT(""&amp;$S$29&amp;"!$A$4"),0,0,200,100),MATCH(S$30,INDIRECT(""&amp;$S$29&amp;"!$A$4"):INDIRECT(""&amp;$S$29&amp;"!$AA$4"),0),FALSE)),"",VLOOKUP($K53,OFFSET(INDIRECT(""&amp;$S$29&amp;"!$A$4"),0,0,200,100),MATCH(S$30,INDIRECT(""&amp;$S$29&amp;"!$A$4"):INDIRECT(""&amp;$S$29&amp;"!$AA$4"),0),FALSE))</f>
        <v>-35220.461751000003</v>
      </c>
      <c r="T53" s="90">
        <f ca="1">IF(ISERROR(VLOOKUP($K53,OFFSET(INDIRECT(""&amp;$S$29&amp;"!$A$4"),0,0,200,100),MATCH(T$30,INDIRECT(""&amp;$S$29&amp;"!$A$4"):INDIRECT(""&amp;$S$29&amp;"!$AA$4"),0),FALSE)),"",VLOOKUP($K53,OFFSET(INDIRECT(""&amp;$S$29&amp;"!$A$4"),0,0,200,100),MATCH(T$30,INDIRECT(""&amp;$S$29&amp;"!$A$4"):INDIRECT(""&amp;$S$29&amp;"!$AA$4"),0),FALSE))</f>
        <v>-36914.068297999998</v>
      </c>
      <c r="U53" s="90">
        <f ca="1">IF(ISERROR(VLOOKUP($K53,OFFSET(INDIRECT(""&amp;$S$29&amp;"!$A$4"),0,0,200,100),MATCH(U$30,INDIRECT(""&amp;$S$29&amp;"!$A$4"):INDIRECT(""&amp;$S$29&amp;"!$AA$4"),0),FALSE)),"",VLOOKUP($K53,OFFSET(INDIRECT(""&amp;$S$29&amp;"!$A$4"),0,0,200,100),MATCH(U$30,INDIRECT(""&amp;$S$29&amp;"!$A$4"):INDIRECT(""&amp;$S$29&amp;"!$AA$4"),0),FALSE))</f>
        <v>-38610.295861999999</v>
      </c>
      <c r="V53" s="90">
        <f ca="1">IF(ISERROR(VLOOKUP($K53,OFFSET(INDIRECT(""&amp;$S$29&amp;"!$A$4"),0,0,200,100),MATCH(V$30,INDIRECT(""&amp;$S$29&amp;"!$A$4"):INDIRECT(""&amp;$S$29&amp;"!$AA$4"),0),FALSE)),"",VLOOKUP($K53,OFFSET(INDIRECT(""&amp;$S$29&amp;"!$A$4"),0,0,200,100),MATCH(V$30,INDIRECT(""&amp;$S$29&amp;"!$A$4"):INDIRECT(""&amp;$S$29&amp;"!$AA$4"),0),FALSE))</f>
        <v>-40298.532144999997</v>
      </c>
      <c r="W53" s="90">
        <f ca="1">IF(ISERROR(VLOOKUP($K53,OFFSET(INDIRECT(""&amp;$S$29&amp;"!$A$4"),0,0,200,100),MATCH(W$30,INDIRECT(""&amp;$S$29&amp;"!$A$4"):INDIRECT(""&amp;$S$29&amp;"!$AA$4"),0),FALSE)),"",VLOOKUP($K53,OFFSET(INDIRECT(""&amp;$S$29&amp;"!$A$4"),0,0,200,100),MATCH(W$30,INDIRECT(""&amp;$S$29&amp;"!$A$4"):INDIRECT(""&amp;$S$29&amp;"!$AA$4"),0),FALSE))</f>
        <v>-41967.076053999997</v>
      </c>
      <c r="X53" s="90">
        <f ca="1">IF(ISERROR(VLOOKUP($K53,OFFSET(INDIRECT(""&amp;$S$29&amp;"!$A$4"),0,0,200,100),MATCH(X$30,INDIRECT(""&amp;$S$29&amp;"!$A$4"):INDIRECT(""&amp;$S$29&amp;"!$AA$4"),0),FALSE)),"",VLOOKUP($K53,OFFSET(INDIRECT(""&amp;$S$29&amp;"!$A$4"),0,0,200,100),MATCH(X$30,INDIRECT(""&amp;$S$29&amp;"!$A$4"):INDIRECT(""&amp;$S$29&amp;"!$AA$4"),0),FALSE))</f>
        <v>-43681.521691000002</v>
      </c>
      <c r="Y53" s="90">
        <f ca="1">IF(ISERROR(VLOOKUP($K53,OFFSET(INDIRECT(""&amp;$S$29&amp;"!$A$4"),0,0,200,100),MATCH(Y$30,INDIRECT(""&amp;$S$29&amp;"!$A$4"):INDIRECT(""&amp;$S$29&amp;"!$AA$4"),0),FALSE)),"",VLOOKUP($K53,OFFSET(INDIRECT(""&amp;$S$29&amp;"!$A$4"),0,0,200,100),MATCH(Y$30,INDIRECT(""&amp;$S$29&amp;"!$A$4"):INDIRECT(""&amp;$S$29&amp;"!$AA$4"),0),FALSE))</f>
        <v>-44867.848311000002</v>
      </c>
      <c r="Z53" s="90">
        <f ca="1">IF(ISERROR(VLOOKUP($K53,OFFSET(INDIRECT(""&amp;$S$29&amp;"!$A$4"),0,0,200,100),MATCH(Z$30,INDIRECT(""&amp;$S$29&amp;"!$A$4"):INDIRECT(""&amp;$S$29&amp;"!$AA$4"),0),FALSE)),"",VLOOKUP($K53,OFFSET(INDIRECT(""&amp;$S$29&amp;"!$A$4"),0,0,200,100),MATCH(Z$30,INDIRECT(""&amp;$S$29&amp;"!$A$4"):INDIRECT(""&amp;$S$29&amp;"!$AA$4"),0),FALSE))</f>
        <v>-46138.991497000003</v>
      </c>
      <c r="AA53" s="90">
        <f t="shared" ca="1" si="61"/>
        <v>-44867.848311000002</v>
      </c>
      <c r="AB53" s="119"/>
      <c r="AC53" s="87">
        <f t="shared" ca="1" si="48"/>
        <v>-8.0647410961592628E-2</v>
      </c>
      <c r="AD53" s="87">
        <f t="shared" ca="1" si="49"/>
        <v>-8.2410961255843546E-2</v>
      </c>
      <c r="AE53" s="87">
        <f t="shared" ca="1" si="50"/>
        <v>-9.3024679003228611E-2</v>
      </c>
      <c r="AF53" s="87">
        <f t="shared" ca="1" si="51"/>
        <v>-0.11460389691528723</v>
      </c>
      <c r="AG53" s="87">
        <f t="shared" ca="1" si="62"/>
        <v>-0.13305984311616484</v>
      </c>
      <c r="AH53" s="87">
        <f t="shared" ca="1" si="62"/>
        <v>-0.13305984311616484</v>
      </c>
      <c r="AI53" s="147"/>
      <c r="AJ53" s="87">
        <f t="shared" ca="1" si="53"/>
        <v>-7.9314238880124552E-2</v>
      </c>
      <c r="AK53" s="87">
        <f t="shared" ca="1" si="54"/>
        <v>-8.1869350775697486E-2</v>
      </c>
      <c r="AL53" s="87">
        <f t="shared" ca="1" si="55"/>
        <v>-7.915692642248956E-2</v>
      </c>
      <c r="AM53" s="87">
        <f t="shared" ca="1" si="56"/>
        <v>-8.5474915282323524E-2</v>
      </c>
      <c r="AN53" s="87">
        <f t="shared" ca="1" si="57"/>
        <v>-8.7392575050006555E-2</v>
      </c>
      <c r="AO53" s="87">
        <f t="shared" ca="1" si="63"/>
        <v>-9.7321586678219121E-2</v>
      </c>
      <c r="AP53" s="87">
        <f t="shared" ca="1" si="63"/>
        <v>-0.10474916617579286</v>
      </c>
      <c r="AQ53" s="87">
        <f t="shared" ca="1" si="63"/>
        <v>-0.11162610710961716</v>
      </c>
      <c r="AR53" s="87">
        <f t="shared" ca="1" si="63"/>
        <v>-0.11440434077578919</v>
      </c>
      <c r="AS53" s="87">
        <f t="shared" ca="1" si="63"/>
        <v>-0.118466894302293</v>
      </c>
      <c r="AT53" s="87">
        <f t="shared" ca="1" si="59"/>
        <v>-0.13265631193657948</v>
      </c>
      <c r="AU53" s="87">
        <f t="shared" ca="1" si="59"/>
        <v>-0.1370024158760598</v>
      </c>
      <c r="AV53" s="87">
        <f t="shared" ca="1" si="60"/>
        <v>-0.13265631193657948</v>
      </c>
    </row>
    <row r="54" spans="1:48" s="108" customFormat="1" ht="15.95" customHeight="1">
      <c r="A54" s="113" t="s">
        <v>255</v>
      </c>
      <c r="B54" s="111" t="s">
        <v>145</v>
      </c>
      <c r="C54" s="90">
        <f ca="1">IF(ISERROR(VLOOKUP($B54,OFFSET(INDIRECT(""&amp;$B$29&amp;"!$A$4"),0,0,200,100),MATCH(C$30,INDIRECT(""&amp;$B$29&amp;"!$A$4"):INDIRECT(""&amp;$B$29&amp;"!$o$4"),0),FALSE)),"",VLOOKUP($B54,OFFSET(INDIRECT(""&amp;$B$29&amp;"!$A$4"),0,0,200,100),MATCH(C$30,INDIRECT(""&amp;$B$29&amp;"!$A$4"):INDIRECT(""&amp;$B$29&amp;"!$o$4"),0),FALSE))</f>
        <v>0</v>
      </c>
      <c r="D54" s="90">
        <f ca="1">IF(ISERROR(VLOOKUP($B54,OFFSET(INDIRECT(""&amp;$B$29&amp;"!$A$4"),0,0,200,100),MATCH(D$30,INDIRECT(""&amp;$B$29&amp;"!$A$4"):INDIRECT(""&amp;$B$29&amp;"!$o$4"),0),FALSE)),"",VLOOKUP($B54,OFFSET(INDIRECT(""&amp;$B$29&amp;"!$A$4"),0,0,200,100),MATCH(D$30,INDIRECT(""&amp;$B$29&amp;"!$A$4"):INDIRECT(""&amp;$B$29&amp;"!$o$4"),0),FALSE))</f>
        <v>0</v>
      </c>
      <c r="E54" s="90">
        <f ca="1">IF(ISERROR(VLOOKUP($B54,OFFSET(INDIRECT(""&amp;$B$29&amp;"!$A$4"),0,0,200,100),MATCH(E$30,INDIRECT(""&amp;$B$29&amp;"!$A$4"):INDIRECT(""&amp;$B$29&amp;"!$o$4"),0),FALSE)),"",VLOOKUP($B54,OFFSET(INDIRECT(""&amp;$B$29&amp;"!$A$4"),0,0,200,100),MATCH(E$30,INDIRECT(""&amp;$B$29&amp;"!$A$4"):INDIRECT(""&amp;$B$29&amp;"!$o$4"),0),FALSE))</f>
        <v>0</v>
      </c>
      <c r="F54" s="90">
        <f ca="1">IF(ISERROR(VLOOKUP($B54,OFFSET(INDIRECT(""&amp;$B$29&amp;"!$A$4"),0,0,200,100),MATCH(F$30,INDIRECT(""&amp;$B$29&amp;"!$A$4"):INDIRECT(""&amp;$B$29&amp;"!$o$4"),0),FALSE)),"",VLOOKUP($B54,OFFSET(INDIRECT(""&amp;$B$29&amp;"!$A$4"),0,0,200,100),MATCH(F$30,INDIRECT(""&amp;$B$29&amp;"!$A$4"):INDIRECT(""&amp;$B$29&amp;"!$o$4"),0),FALSE))</f>
        <v>0</v>
      </c>
      <c r="G54" s="90">
        <f ca="1">IF(ISERROR(VLOOKUP($B54,OFFSET(INDIRECT(""&amp;$B$29&amp;"!$A$4"),0,0,200,100),MATCH(G$30,INDIRECT(""&amp;$B$29&amp;"!$A$4"):INDIRECT(""&amp;$B$29&amp;"!$o$4"),0),FALSE)),"",VLOOKUP($B54,OFFSET(INDIRECT(""&amp;$B$29&amp;"!$A$4"),0,0,200,100),MATCH(G$30,INDIRECT(""&amp;$B$29&amp;"!$A$4"):INDIRECT(""&amp;$B$29&amp;"!$o$4"),0),FALSE))</f>
        <v>0</v>
      </c>
      <c r="H54" s="90">
        <f ca="1">IF(ISERROR(VLOOKUP($B54,OFFSET(INDIRECT(""&amp;$B$29&amp;"!$A$4"),0,0,200,100),MATCH(H$30,INDIRECT(""&amp;$B$29&amp;"!$A$4"):INDIRECT(""&amp;$B$29&amp;"!$o$4"),0),FALSE)),"",VLOOKUP($B54,OFFSET(INDIRECT(""&amp;$B$29&amp;"!$A$4"),0,0,200,100),MATCH(H$30,INDIRECT(""&amp;$B$29&amp;"!$A$4"):INDIRECT(""&amp;$B$29&amp;"!$o$4"),0),FALSE))</f>
        <v>0</v>
      </c>
      <c r="I54" s="90">
        <f ca="1">IF(ISERROR(VLOOKUP($B54,OFFSET(INDIRECT(""&amp;$B$29&amp;"!$A$4"),0,0,200,100),MATCH(I$30,INDIRECT(""&amp;$B$29&amp;"!$A$4"):INDIRECT(""&amp;$B$29&amp;"!$o$4"),0),FALSE)),"",VLOOKUP($B54,OFFSET(INDIRECT(""&amp;$B$29&amp;"!$A$4"),0,0,200,100),MATCH(I$30,INDIRECT(""&amp;$B$29&amp;"!$A$4"):INDIRECT(""&amp;$B$29&amp;"!$o$4"),0),FALSE))</f>
        <v>0</v>
      </c>
      <c r="J54" s="90">
        <f ca="1">IF(ISERROR(VLOOKUP($B54,OFFSET(INDIRECT(""&amp;$B$29&amp;"!$A$4"),0,0,200,100),MATCH(J$30,INDIRECT(""&amp;$B$29&amp;"!$A$4"):INDIRECT(""&amp;$B$29&amp;"!$o$4"),0),FALSE)),"",VLOOKUP($B54,OFFSET(INDIRECT(""&amp;$B$29&amp;"!$A$4"),0,0,200,100),MATCH(J$30,INDIRECT(""&amp;$B$29&amp;"!$A$4"):INDIRECT(""&amp;$B$29&amp;"!$o$4"),0),FALSE))</f>
        <v>0</v>
      </c>
      <c r="K54" s="109" t="s">
        <v>145</v>
      </c>
      <c r="L54" s="90">
        <f ca="1">IF(ISERROR(VLOOKUP($K54,OFFSET(INDIRECT(""&amp;$S$29&amp;"!$A$4"),0,0,200,100),MATCH(L$30,INDIRECT(""&amp;$S$29&amp;"!$A$4"):INDIRECT(""&amp;$S$29&amp;"!$AA$4"),0),FALSE)),"",VLOOKUP($K54,OFFSET(INDIRECT(""&amp;$S$29&amp;"!$A$4"),0,0,200,100),MATCH(L$30,INDIRECT(""&amp;$S$29&amp;"!$A$4"):INDIRECT(""&amp;$S$29&amp;"!$AA$4"),0),FALSE))</f>
        <v>0</v>
      </c>
      <c r="M54" s="90">
        <f ca="1">IF(ISERROR(VLOOKUP($K54,OFFSET(INDIRECT(""&amp;$S$29&amp;"!$A$4"),0,0,200,100),MATCH(M$30,INDIRECT(""&amp;$S$29&amp;"!$A$4"):INDIRECT(""&amp;$S$29&amp;"!$AA$4"),0),FALSE)),"",VLOOKUP($K54,OFFSET(INDIRECT(""&amp;$S$29&amp;"!$A$4"),0,0,200,100),MATCH(M$30,INDIRECT(""&amp;$S$29&amp;"!$A$4"):INDIRECT(""&amp;$S$29&amp;"!$AA$4"),0),FALSE))</f>
        <v>0</v>
      </c>
      <c r="N54" s="90">
        <f ca="1">IF(ISERROR(VLOOKUP($K54,OFFSET(INDIRECT(""&amp;$S$29&amp;"!$A$4"),0,0,200,100),MATCH(N$30,INDIRECT(""&amp;$S$29&amp;"!$A$4"):INDIRECT(""&amp;$S$29&amp;"!$AA$4"),0),FALSE)),"",VLOOKUP($K54,OFFSET(INDIRECT(""&amp;$S$29&amp;"!$A$4"),0,0,200,100),MATCH(N$30,INDIRECT(""&amp;$S$29&amp;"!$A$4"):INDIRECT(""&amp;$S$29&amp;"!$AA$4"),0),FALSE))</f>
        <v>0</v>
      </c>
      <c r="O54" s="90">
        <f ca="1">IF(ISERROR(VLOOKUP($K54,OFFSET(INDIRECT(""&amp;$S$29&amp;"!$A$4"),0,0,200,100),MATCH(O$30,INDIRECT(""&amp;$S$29&amp;"!$A$4"):INDIRECT(""&amp;$S$29&amp;"!$AA$4"),0),FALSE)),"",VLOOKUP($K54,OFFSET(INDIRECT(""&amp;$S$29&amp;"!$A$4"),0,0,200,100),MATCH(O$30,INDIRECT(""&amp;$S$29&amp;"!$A$4"):INDIRECT(""&amp;$S$29&amp;"!$AA$4"),0),FALSE))</f>
        <v>0</v>
      </c>
      <c r="P54" s="90">
        <f ca="1">IF(ISERROR(VLOOKUP($K54,OFFSET(INDIRECT(""&amp;$S$29&amp;"!$A$4"),0,0,200,100),MATCH(P$30,INDIRECT(""&amp;$S$29&amp;"!$A$4"):INDIRECT(""&amp;$S$29&amp;"!$AA$4"),0),FALSE)),"",VLOOKUP($K54,OFFSET(INDIRECT(""&amp;$S$29&amp;"!$A$4"),0,0,200,100),MATCH(P$30,INDIRECT(""&amp;$S$29&amp;"!$A$4"):INDIRECT(""&amp;$S$29&amp;"!$AA$4"),0),FALSE))</f>
        <v>0</v>
      </c>
      <c r="Q54" s="90">
        <f ca="1">IF(ISERROR(VLOOKUP($K54,OFFSET(INDIRECT(""&amp;$S$29&amp;"!$A$4"),0,0,200,100),MATCH(Q$30,INDIRECT(""&amp;$S$29&amp;"!$A$4"):INDIRECT(""&amp;$S$29&amp;"!$AA$4"),0),FALSE)),"",VLOOKUP($K54,OFFSET(INDIRECT(""&amp;$S$29&amp;"!$A$4"),0,0,200,100),MATCH(Q$30,INDIRECT(""&amp;$S$29&amp;"!$A$4"):INDIRECT(""&amp;$S$29&amp;"!$AA$4"),0),FALSE))</f>
        <v>0</v>
      </c>
      <c r="R54" s="90">
        <f ca="1">IF(ISERROR(VLOOKUP($K54,OFFSET(INDIRECT(""&amp;$S$29&amp;"!$A$4"),0,0,200,100),MATCH(R$30,INDIRECT(""&amp;$S$29&amp;"!$A$4"):INDIRECT(""&amp;$S$29&amp;"!$AA$4"),0),FALSE)),"",VLOOKUP($K54,OFFSET(INDIRECT(""&amp;$S$29&amp;"!$A$4"),0,0,200,100),MATCH(R$30,INDIRECT(""&amp;$S$29&amp;"!$A$4"):INDIRECT(""&amp;$S$29&amp;"!$AA$4"),0),FALSE))</f>
        <v>0</v>
      </c>
      <c r="S54" s="90">
        <f ca="1">IF(ISERROR(VLOOKUP($K54,OFFSET(INDIRECT(""&amp;$S$29&amp;"!$A$4"),0,0,200,100),MATCH(S$30,INDIRECT(""&amp;$S$29&amp;"!$A$4"):INDIRECT(""&amp;$S$29&amp;"!$AA$4"),0),FALSE)),"",VLOOKUP($K54,OFFSET(INDIRECT(""&amp;$S$29&amp;"!$A$4"),0,0,200,100),MATCH(S$30,INDIRECT(""&amp;$S$29&amp;"!$A$4"):INDIRECT(""&amp;$S$29&amp;"!$AA$4"),0),FALSE))</f>
        <v>0</v>
      </c>
      <c r="T54" s="90">
        <f ca="1">IF(ISERROR(VLOOKUP($K54,OFFSET(INDIRECT(""&amp;$S$29&amp;"!$A$4"),0,0,200,100),MATCH(T$30,INDIRECT(""&amp;$S$29&amp;"!$A$4"):INDIRECT(""&amp;$S$29&amp;"!$AA$4"),0),FALSE)),"",VLOOKUP($K54,OFFSET(INDIRECT(""&amp;$S$29&amp;"!$A$4"),0,0,200,100),MATCH(T$30,INDIRECT(""&amp;$S$29&amp;"!$A$4"):INDIRECT(""&amp;$S$29&amp;"!$AA$4"),0),FALSE))</f>
        <v>0</v>
      </c>
      <c r="U54" s="90">
        <f ca="1">IF(ISERROR(VLOOKUP($K54,OFFSET(INDIRECT(""&amp;$S$29&amp;"!$A$4"),0,0,200,100),MATCH(U$30,INDIRECT(""&amp;$S$29&amp;"!$A$4"):INDIRECT(""&amp;$S$29&amp;"!$AA$4"),0),FALSE)),"",VLOOKUP($K54,OFFSET(INDIRECT(""&amp;$S$29&amp;"!$A$4"),0,0,200,100),MATCH(U$30,INDIRECT(""&amp;$S$29&amp;"!$A$4"):INDIRECT(""&amp;$S$29&amp;"!$AA$4"),0),FALSE))</f>
        <v>0</v>
      </c>
      <c r="V54" s="90">
        <f ca="1">IF(ISERROR(VLOOKUP($K54,OFFSET(INDIRECT(""&amp;$S$29&amp;"!$A$4"),0,0,200,100),MATCH(V$30,INDIRECT(""&amp;$S$29&amp;"!$A$4"):INDIRECT(""&amp;$S$29&amp;"!$AA$4"),0),FALSE)),"",VLOOKUP($K54,OFFSET(INDIRECT(""&amp;$S$29&amp;"!$A$4"),0,0,200,100),MATCH(V$30,INDIRECT(""&amp;$S$29&amp;"!$A$4"):INDIRECT(""&amp;$S$29&amp;"!$AA$4"),0),FALSE))</f>
        <v>0</v>
      </c>
      <c r="W54" s="90">
        <f ca="1">IF(ISERROR(VLOOKUP($K54,OFFSET(INDIRECT(""&amp;$S$29&amp;"!$A$4"),0,0,200,100),MATCH(W$30,INDIRECT(""&amp;$S$29&amp;"!$A$4"):INDIRECT(""&amp;$S$29&amp;"!$AA$4"),0),FALSE)),"",VLOOKUP($K54,OFFSET(INDIRECT(""&amp;$S$29&amp;"!$A$4"),0,0,200,100),MATCH(W$30,INDIRECT(""&amp;$S$29&amp;"!$A$4"):INDIRECT(""&amp;$S$29&amp;"!$AA$4"),0),FALSE))</f>
        <v>0</v>
      </c>
      <c r="X54" s="90">
        <f ca="1">IF(ISERROR(VLOOKUP($K54,OFFSET(INDIRECT(""&amp;$S$29&amp;"!$A$4"),0,0,200,100),MATCH(X$30,INDIRECT(""&amp;$S$29&amp;"!$A$4"):INDIRECT(""&amp;$S$29&amp;"!$AA$4"),0),FALSE)),"",VLOOKUP($K54,OFFSET(INDIRECT(""&amp;$S$29&amp;"!$A$4"),0,0,200,100),MATCH(X$30,INDIRECT(""&amp;$S$29&amp;"!$A$4"):INDIRECT(""&amp;$S$29&amp;"!$AA$4"),0),FALSE))</f>
        <v>0</v>
      </c>
      <c r="Y54" s="90">
        <f ca="1">IF(ISERROR(VLOOKUP($K54,OFFSET(INDIRECT(""&amp;$S$29&amp;"!$A$4"),0,0,200,100),MATCH(Y$30,INDIRECT(""&amp;$S$29&amp;"!$A$4"):INDIRECT(""&amp;$S$29&amp;"!$AA$4"),0),FALSE)),"",VLOOKUP($K54,OFFSET(INDIRECT(""&amp;$S$29&amp;"!$A$4"),0,0,200,100),MATCH(Y$30,INDIRECT(""&amp;$S$29&amp;"!$A$4"):INDIRECT(""&amp;$S$29&amp;"!$AA$4"),0),FALSE))</f>
        <v>0</v>
      </c>
      <c r="Z54" s="90">
        <f ca="1">IF(ISERROR(VLOOKUP($K54,OFFSET(INDIRECT(""&amp;$S$29&amp;"!$A$4"),0,0,200,100),MATCH(Z$30,INDIRECT(""&amp;$S$29&amp;"!$A$4"):INDIRECT(""&amp;$S$29&amp;"!$AA$4"),0),FALSE)),"",VLOOKUP($K54,OFFSET(INDIRECT(""&amp;$S$29&amp;"!$A$4"),0,0,200,100),MATCH(Z$30,INDIRECT(""&amp;$S$29&amp;"!$A$4"):INDIRECT(""&amp;$S$29&amp;"!$AA$4"),0),FALSE))</f>
        <v>0</v>
      </c>
      <c r="AA54" s="90">
        <f t="shared" ca="1" si="61"/>
        <v>0</v>
      </c>
      <c r="AB54" s="110"/>
      <c r="AC54" s="87">
        <f t="shared" ca="1" si="48"/>
        <v>0</v>
      </c>
      <c r="AD54" s="87">
        <f t="shared" ca="1" si="49"/>
        <v>0</v>
      </c>
      <c r="AE54" s="87">
        <f t="shared" ca="1" si="50"/>
        <v>0</v>
      </c>
      <c r="AF54" s="87">
        <f t="shared" ca="1" si="51"/>
        <v>0</v>
      </c>
      <c r="AG54" s="87">
        <f t="shared" ca="1" si="62"/>
        <v>0</v>
      </c>
      <c r="AH54" s="87">
        <f t="shared" ca="1" si="62"/>
        <v>0</v>
      </c>
      <c r="AI54" s="145"/>
      <c r="AJ54" s="87">
        <f t="shared" ca="1" si="53"/>
        <v>0</v>
      </c>
      <c r="AK54" s="87">
        <f t="shared" ca="1" si="54"/>
        <v>0</v>
      </c>
      <c r="AL54" s="87">
        <f t="shared" ca="1" si="55"/>
        <v>0</v>
      </c>
      <c r="AM54" s="87">
        <f t="shared" ca="1" si="56"/>
        <v>0</v>
      </c>
      <c r="AN54" s="87">
        <f t="shared" ca="1" si="57"/>
        <v>0</v>
      </c>
      <c r="AO54" s="87">
        <f t="shared" ca="1" si="63"/>
        <v>0</v>
      </c>
      <c r="AP54" s="87">
        <f t="shared" ca="1" si="63"/>
        <v>0</v>
      </c>
      <c r="AQ54" s="87">
        <f t="shared" ca="1" si="63"/>
        <v>0</v>
      </c>
      <c r="AR54" s="87">
        <f t="shared" ca="1" si="63"/>
        <v>0</v>
      </c>
      <c r="AS54" s="87">
        <f t="shared" ca="1" si="63"/>
        <v>0</v>
      </c>
      <c r="AT54" s="87">
        <f t="shared" ca="1" si="59"/>
        <v>0</v>
      </c>
      <c r="AU54" s="87">
        <f t="shared" ca="1" si="59"/>
        <v>0</v>
      </c>
      <c r="AV54" s="87">
        <f t="shared" ca="1" si="60"/>
        <v>0</v>
      </c>
    </row>
    <row r="55" spans="1:48" s="120" customFormat="1" ht="15.95" customHeight="1">
      <c r="A55" s="130" t="s">
        <v>253</v>
      </c>
      <c r="B55" s="117" t="s">
        <v>146</v>
      </c>
      <c r="C55" s="90">
        <f ca="1">IF(ISERROR(VLOOKUP($B55,OFFSET(INDIRECT(""&amp;$B$29&amp;"!$A$4"),0,0,200,100),MATCH(C$30,INDIRECT(""&amp;$B$29&amp;"!$A$4"):INDIRECT(""&amp;$B$29&amp;"!$o$4"),0),FALSE)),"",VLOOKUP($B55,OFFSET(INDIRECT(""&amp;$B$29&amp;"!$A$4"),0,0,200,100),MATCH(C$30,INDIRECT(""&amp;$B$29&amp;"!$A$4"):INDIRECT(""&amp;$B$29&amp;"!$o$4"),0),FALSE))</f>
        <v>0</v>
      </c>
      <c r="D55" s="90">
        <f ca="1">IF(ISERROR(VLOOKUP($B55,OFFSET(INDIRECT(""&amp;$B$29&amp;"!$A$4"),0,0,200,100),MATCH(D$30,INDIRECT(""&amp;$B$29&amp;"!$A$4"):INDIRECT(""&amp;$B$29&amp;"!$o$4"),0),FALSE)),"",VLOOKUP($B55,OFFSET(INDIRECT(""&amp;$B$29&amp;"!$A$4"),0,0,200,100),MATCH(D$30,INDIRECT(""&amp;$B$29&amp;"!$A$4"):INDIRECT(""&amp;$B$29&amp;"!$o$4"),0),FALSE))</f>
        <v>0</v>
      </c>
      <c r="E55" s="90">
        <f ca="1">IF(ISERROR(VLOOKUP($B55,OFFSET(INDIRECT(""&amp;$B$29&amp;"!$A$4"),0,0,200,100),MATCH(E$30,INDIRECT(""&amp;$B$29&amp;"!$A$4"):INDIRECT(""&amp;$B$29&amp;"!$o$4"),0),FALSE)),"",VLOOKUP($B55,OFFSET(INDIRECT(""&amp;$B$29&amp;"!$A$4"),0,0,200,100),MATCH(E$30,INDIRECT(""&amp;$B$29&amp;"!$A$4"):INDIRECT(""&amp;$B$29&amp;"!$o$4"),0),FALSE))</f>
        <v>0</v>
      </c>
      <c r="F55" s="90">
        <f ca="1">IF(ISERROR(VLOOKUP($B55,OFFSET(INDIRECT(""&amp;$B$29&amp;"!$A$4"),0,0,200,100),MATCH(F$30,INDIRECT(""&amp;$B$29&amp;"!$A$4"):INDIRECT(""&amp;$B$29&amp;"!$o$4"),0),FALSE)),"",VLOOKUP($B55,OFFSET(INDIRECT(""&amp;$B$29&amp;"!$A$4"),0,0,200,100),MATCH(F$30,INDIRECT(""&amp;$B$29&amp;"!$A$4"):INDIRECT(""&amp;$B$29&amp;"!$o$4"),0),FALSE))</f>
        <v>0</v>
      </c>
      <c r="G55" s="90">
        <f ca="1">IF(ISERROR(VLOOKUP($B55,OFFSET(INDIRECT(""&amp;$B$29&amp;"!$A$4"),0,0,200,100),MATCH(G$30,INDIRECT(""&amp;$B$29&amp;"!$A$4"):INDIRECT(""&amp;$B$29&amp;"!$o$4"),0),FALSE)),"",VLOOKUP($B55,OFFSET(INDIRECT(""&amp;$B$29&amp;"!$A$4"),0,0,200,100),MATCH(G$30,INDIRECT(""&amp;$B$29&amp;"!$A$4"):INDIRECT(""&amp;$B$29&amp;"!$o$4"),0),FALSE))</f>
        <v>0</v>
      </c>
      <c r="H55" s="90">
        <f ca="1">IF(ISERROR(VLOOKUP($B55,OFFSET(INDIRECT(""&amp;$B$29&amp;"!$A$4"),0,0,200,100),MATCH(H$30,INDIRECT(""&amp;$B$29&amp;"!$A$4"):INDIRECT(""&amp;$B$29&amp;"!$o$4"),0),FALSE)),"",VLOOKUP($B55,OFFSET(INDIRECT(""&amp;$B$29&amp;"!$A$4"),0,0,200,100),MATCH(H$30,INDIRECT(""&amp;$B$29&amp;"!$A$4"):INDIRECT(""&amp;$B$29&amp;"!$o$4"),0),FALSE))</f>
        <v>0</v>
      </c>
      <c r="I55" s="90">
        <f ca="1">IF(ISERROR(VLOOKUP($B55,OFFSET(INDIRECT(""&amp;$B$29&amp;"!$A$4"),0,0,200,100),MATCH(I$30,INDIRECT(""&amp;$B$29&amp;"!$A$4"):INDIRECT(""&amp;$B$29&amp;"!$o$4"),0),FALSE)),"",VLOOKUP($B55,OFFSET(INDIRECT(""&amp;$B$29&amp;"!$A$4"),0,0,200,100),MATCH(I$30,INDIRECT(""&amp;$B$29&amp;"!$A$4"):INDIRECT(""&amp;$B$29&amp;"!$o$4"),0),FALSE))</f>
        <v>0</v>
      </c>
      <c r="J55" s="90">
        <f ca="1">IF(ISERROR(VLOOKUP($B55,OFFSET(INDIRECT(""&amp;$B$29&amp;"!$A$4"),0,0,200,100),MATCH(J$30,INDIRECT(""&amp;$B$29&amp;"!$A$4"):INDIRECT(""&amp;$B$29&amp;"!$o$4"),0),FALSE)),"",VLOOKUP($B55,OFFSET(INDIRECT(""&amp;$B$29&amp;"!$A$4"),0,0,200,100),MATCH(J$30,INDIRECT(""&amp;$B$29&amp;"!$A$4"):INDIRECT(""&amp;$B$29&amp;"!$o$4"),0),FALSE))</f>
        <v>0</v>
      </c>
      <c r="K55" s="118" t="s">
        <v>146</v>
      </c>
      <c r="L55" s="90">
        <f ca="1">IF(ISERROR(VLOOKUP($K55,OFFSET(INDIRECT(""&amp;$S$29&amp;"!$A$4"),0,0,200,100),MATCH(L$30,INDIRECT(""&amp;$S$29&amp;"!$A$4"):INDIRECT(""&amp;$S$29&amp;"!$AA$4"),0),FALSE)),"",VLOOKUP($K55,OFFSET(INDIRECT(""&amp;$S$29&amp;"!$A$4"),0,0,200,100),MATCH(L$30,INDIRECT(""&amp;$S$29&amp;"!$A$4"):INDIRECT(""&amp;$S$29&amp;"!$AA$4"),0),FALSE))</f>
        <v>0</v>
      </c>
      <c r="M55" s="90">
        <f ca="1">IF(ISERROR(VLOOKUP($K55,OFFSET(INDIRECT(""&amp;$S$29&amp;"!$A$4"),0,0,200,100),MATCH(M$30,INDIRECT(""&amp;$S$29&amp;"!$A$4"):INDIRECT(""&amp;$S$29&amp;"!$AA$4"),0),FALSE)),"",VLOOKUP($K55,OFFSET(INDIRECT(""&amp;$S$29&amp;"!$A$4"),0,0,200,100),MATCH(M$30,INDIRECT(""&amp;$S$29&amp;"!$A$4"):INDIRECT(""&amp;$S$29&amp;"!$AA$4"),0),FALSE))</f>
        <v>0</v>
      </c>
      <c r="N55" s="90">
        <f ca="1">IF(ISERROR(VLOOKUP($K55,OFFSET(INDIRECT(""&amp;$S$29&amp;"!$A$4"),0,0,200,100),MATCH(N$30,INDIRECT(""&amp;$S$29&amp;"!$A$4"):INDIRECT(""&amp;$S$29&amp;"!$AA$4"),0),FALSE)),"",VLOOKUP($K55,OFFSET(INDIRECT(""&amp;$S$29&amp;"!$A$4"),0,0,200,100),MATCH(N$30,INDIRECT(""&amp;$S$29&amp;"!$A$4"):INDIRECT(""&amp;$S$29&amp;"!$AA$4"),0),FALSE))</f>
        <v>0</v>
      </c>
      <c r="O55" s="90">
        <f ca="1">IF(ISERROR(VLOOKUP($K55,OFFSET(INDIRECT(""&amp;$S$29&amp;"!$A$4"),0,0,200,100),MATCH(O$30,INDIRECT(""&amp;$S$29&amp;"!$A$4"):INDIRECT(""&amp;$S$29&amp;"!$AA$4"),0),FALSE)),"",VLOOKUP($K55,OFFSET(INDIRECT(""&amp;$S$29&amp;"!$A$4"),0,0,200,100),MATCH(O$30,INDIRECT(""&amp;$S$29&amp;"!$A$4"):INDIRECT(""&amp;$S$29&amp;"!$AA$4"),0),FALSE))</f>
        <v>0</v>
      </c>
      <c r="P55" s="90">
        <f ca="1">IF(ISERROR(VLOOKUP($K55,OFFSET(INDIRECT(""&amp;$S$29&amp;"!$A$4"),0,0,200,100),MATCH(P$30,INDIRECT(""&amp;$S$29&amp;"!$A$4"):INDIRECT(""&amp;$S$29&amp;"!$AA$4"),0),FALSE)),"",VLOOKUP($K55,OFFSET(INDIRECT(""&amp;$S$29&amp;"!$A$4"),0,0,200,100),MATCH(P$30,INDIRECT(""&amp;$S$29&amp;"!$A$4"):INDIRECT(""&amp;$S$29&amp;"!$AA$4"),0),FALSE))</f>
        <v>0</v>
      </c>
      <c r="Q55" s="90">
        <f ca="1">IF(ISERROR(VLOOKUP($K55,OFFSET(INDIRECT(""&amp;$S$29&amp;"!$A$4"),0,0,200,100),MATCH(Q$30,INDIRECT(""&amp;$S$29&amp;"!$A$4"):INDIRECT(""&amp;$S$29&amp;"!$AA$4"),0),FALSE)),"",VLOOKUP($K55,OFFSET(INDIRECT(""&amp;$S$29&amp;"!$A$4"),0,0,200,100),MATCH(Q$30,INDIRECT(""&amp;$S$29&amp;"!$A$4"):INDIRECT(""&amp;$S$29&amp;"!$AA$4"),0),FALSE))</f>
        <v>0</v>
      </c>
      <c r="R55" s="90">
        <f ca="1">IF(ISERROR(VLOOKUP($K55,OFFSET(INDIRECT(""&amp;$S$29&amp;"!$A$4"),0,0,200,100),MATCH(R$30,INDIRECT(""&amp;$S$29&amp;"!$A$4"):INDIRECT(""&amp;$S$29&amp;"!$AA$4"),0),FALSE)),"",VLOOKUP($K55,OFFSET(INDIRECT(""&amp;$S$29&amp;"!$A$4"),0,0,200,100),MATCH(R$30,INDIRECT(""&amp;$S$29&amp;"!$A$4"):INDIRECT(""&amp;$S$29&amp;"!$AA$4"),0),FALSE))</f>
        <v>0</v>
      </c>
      <c r="S55" s="90">
        <f ca="1">IF(ISERROR(VLOOKUP($K55,OFFSET(INDIRECT(""&amp;$S$29&amp;"!$A$4"),0,0,200,100),MATCH(S$30,INDIRECT(""&amp;$S$29&amp;"!$A$4"):INDIRECT(""&amp;$S$29&amp;"!$AA$4"),0),FALSE)),"",VLOOKUP($K55,OFFSET(INDIRECT(""&amp;$S$29&amp;"!$A$4"),0,0,200,100),MATCH(S$30,INDIRECT(""&amp;$S$29&amp;"!$A$4"):INDIRECT(""&amp;$S$29&amp;"!$AA$4"),0),FALSE))</f>
        <v>0</v>
      </c>
      <c r="T55" s="90">
        <f ca="1">IF(ISERROR(VLOOKUP($K55,OFFSET(INDIRECT(""&amp;$S$29&amp;"!$A$4"),0,0,200,100),MATCH(T$30,INDIRECT(""&amp;$S$29&amp;"!$A$4"):INDIRECT(""&amp;$S$29&amp;"!$AA$4"),0),FALSE)),"",VLOOKUP($K55,OFFSET(INDIRECT(""&amp;$S$29&amp;"!$A$4"),0,0,200,100),MATCH(T$30,INDIRECT(""&amp;$S$29&amp;"!$A$4"):INDIRECT(""&amp;$S$29&amp;"!$AA$4"),0),FALSE))</f>
        <v>0</v>
      </c>
      <c r="U55" s="90">
        <f ca="1">IF(ISERROR(VLOOKUP($K55,OFFSET(INDIRECT(""&amp;$S$29&amp;"!$A$4"),0,0,200,100),MATCH(U$30,INDIRECT(""&amp;$S$29&amp;"!$A$4"):INDIRECT(""&amp;$S$29&amp;"!$AA$4"),0),FALSE)),"",VLOOKUP($K55,OFFSET(INDIRECT(""&amp;$S$29&amp;"!$A$4"),0,0,200,100),MATCH(U$30,INDIRECT(""&amp;$S$29&amp;"!$A$4"):INDIRECT(""&amp;$S$29&amp;"!$AA$4"),0),FALSE))</f>
        <v>0</v>
      </c>
      <c r="V55" s="90">
        <f ca="1">IF(ISERROR(VLOOKUP($K55,OFFSET(INDIRECT(""&amp;$S$29&amp;"!$A$4"),0,0,200,100),MATCH(V$30,INDIRECT(""&amp;$S$29&amp;"!$A$4"):INDIRECT(""&amp;$S$29&amp;"!$AA$4"),0),FALSE)),"",VLOOKUP($K55,OFFSET(INDIRECT(""&amp;$S$29&amp;"!$A$4"),0,0,200,100),MATCH(V$30,INDIRECT(""&amp;$S$29&amp;"!$A$4"):INDIRECT(""&amp;$S$29&amp;"!$AA$4"),0),FALSE))</f>
        <v>0</v>
      </c>
      <c r="W55" s="90">
        <f ca="1">IF(ISERROR(VLOOKUP($K55,OFFSET(INDIRECT(""&amp;$S$29&amp;"!$A$4"),0,0,200,100),MATCH(W$30,INDIRECT(""&amp;$S$29&amp;"!$A$4"):INDIRECT(""&amp;$S$29&amp;"!$AA$4"),0),FALSE)),"",VLOOKUP($K55,OFFSET(INDIRECT(""&amp;$S$29&amp;"!$A$4"),0,0,200,100),MATCH(W$30,INDIRECT(""&amp;$S$29&amp;"!$A$4"):INDIRECT(""&amp;$S$29&amp;"!$AA$4"),0),FALSE))</f>
        <v>0</v>
      </c>
      <c r="X55" s="90">
        <f ca="1">IF(ISERROR(VLOOKUP($K55,OFFSET(INDIRECT(""&amp;$S$29&amp;"!$A$4"),0,0,200,100),MATCH(X$30,INDIRECT(""&amp;$S$29&amp;"!$A$4"):INDIRECT(""&amp;$S$29&amp;"!$AA$4"),0),FALSE)),"",VLOOKUP($K55,OFFSET(INDIRECT(""&amp;$S$29&amp;"!$A$4"),0,0,200,100),MATCH(X$30,INDIRECT(""&amp;$S$29&amp;"!$A$4"):INDIRECT(""&amp;$S$29&amp;"!$AA$4"),0),FALSE))</f>
        <v>0</v>
      </c>
      <c r="Y55" s="90">
        <f ca="1">IF(ISERROR(VLOOKUP($K55,OFFSET(INDIRECT(""&amp;$S$29&amp;"!$A$4"),0,0,200,100),MATCH(Y$30,INDIRECT(""&amp;$S$29&amp;"!$A$4"):INDIRECT(""&amp;$S$29&amp;"!$AA$4"),0),FALSE)),"",VLOOKUP($K55,OFFSET(INDIRECT(""&amp;$S$29&amp;"!$A$4"),0,0,200,100),MATCH(Y$30,INDIRECT(""&amp;$S$29&amp;"!$A$4"):INDIRECT(""&amp;$S$29&amp;"!$AA$4"),0),FALSE))</f>
        <v>0</v>
      </c>
      <c r="Z55" s="90">
        <f ca="1">IF(ISERROR(VLOOKUP($K55,OFFSET(INDIRECT(""&amp;$S$29&amp;"!$A$4"),0,0,200,100),MATCH(Z$30,INDIRECT(""&amp;$S$29&amp;"!$A$4"):INDIRECT(""&amp;$S$29&amp;"!$AA$4"),0),FALSE)),"",VLOOKUP($K55,OFFSET(INDIRECT(""&amp;$S$29&amp;"!$A$4"),0,0,200,100),MATCH(Z$30,INDIRECT(""&amp;$S$29&amp;"!$A$4"):INDIRECT(""&amp;$S$29&amp;"!$AA$4"),0),FALSE))</f>
        <v>0</v>
      </c>
      <c r="AA55" s="90">
        <f t="shared" ca="1" si="61"/>
        <v>0</v>
      </c>
      <c r="AB55" s="119"/>
      <c r="AC55" s="87">
        <f t="shared" ca="1" si="48"/>
        <v>0</v>
      </c>
      <c r="AD55" s="87">
        <f t="shared" ca="1" si="49"/>
        <v>0</v>
      </c>
      <c r="AE55" s="87">
        <f t="shared" ca="1" si="50"/>
        <v>0</v>
      </c>
      <c r="AF55" s="87">
        <f t="shared" ca="1" si="51"/>
        <v>0</v>
      </c>
      <c r="AG55" s="87">
        <f t="shared" ca="1" si="62"/>
        <v>0</v>
      </c>
      <c r="AH55" s="87">
        <f t="shared" ca="1" si="62"/>
        <v>0</v>
      </c>
      <c r="AI55" s="147"/>
      <c r="AJ55" s="87">
        <f t="shared" ca="1" si="53"/>
        <v>0</v>
      </c>
      <c r="AK55" s="87">
        <f t="shared" ca="1" si="54"/>
        <v>0</v>
      </c>
      <c r="AL55" s="87">
        <f t="shared" ca="1" si="55"/>
        <v>0</v>
      </c>
      <c r="AM55" s="87">
        <f t="shared" ca="1" si="56"/>
        <v>0</v>
      </c>
      <c r="AN55" s="87">
        <f t="shared" ca="1" si="57"/>
        <v>0</v>
      </c>
      <c r="AO55" s="87">
        <f t="shared" ca="1" si="63"/>
        <v>0</v>
      </c>
      <c r="AP55" s="87">
        <f t="shared" ca="1" si="63"/>
        <v>0</v>
      </c>
      <c r="AQ55" s="87">
        <f t="shared" ca="1" si="63"/>
        <v>0</v>
      </c>
      <c r="AR55" s="87">
        <f t="shared" ca="1" si="63"/>
        <v>0</v>
      </c>
      <c r="AS55" s="87">
        <f t="shared" ca="1" si="63"/>
        <v>0</v>
      </c>
      <c r="AT55" s="87">
        <f t="shared" ca="1" si="59"/>
        <v>0</v>
      </c>
      <c r="AU55" s="87">
        <f t="shared" ca="1" si="59"/>
        <v>0</v>
      </c>
      <c r="AV55" s="87">
        <f t="shared" ca="1" si="60"/>
        <v>0</v>
      </c>
    </row>
    <row r="56" spans="1:48" s="120" customFormat="1" ht="15.95" customHeight="1">
      <c r="A56" s="130" t="s">
        <v>254</v>
      </c>
      <c r="B56" s="117" t="s">
        <v>147</v>
      </c>
      <c r="C56" s="90">
        <f ca="1">IF(ISERROR(VLOOKUP($B56,OFFSET(INDIRECT(""&amp;$B$29&amp;"!$A$4"),0,0,200,100),MATCH(C$30,INDIRECT(""&amp;$B$29&amp;"!$A$4"):INDIRECT(""&amp;$B$29&amp;"!$o$4"),0),FALSE)),"",VLOOKUP($B56,OFFSET(INDIRECT(""&amp;$B$29&amp;"!$A$4"),0,0,200,100),MATCH(C$30,INDIRECT(""&amp;$B$29&amp;"!$A$4"):INDIRECT(""&amp;$B$29&amp;"!$o$4"),0),FALSE))</f>
        <v>0</v>
      </c>
      <c r="D56" s="90">
        <f ca="1">IF(ISERROR(VLOOKUP($B56,OFFSET(INDIRECT(""&amp;$B$29&amp;"!$A$4"),0,0,200,100),MATCH(D$30,INDIRECT(""&amp;$B$29&amp;"!$A$4"):INDIRECT(""&amp;$B$29&amp;"!$o$4"),0),FALSE)),"",VLOOKUP($B56,OFFSET(INDIRECT(""&amp;$B$29&amp;"!$A$4"),0,0,200,100),MATCH(D$30,INDIRECT(""&amp;$B$29&amp;"!$A$4"):INDIRECT(""&amp;$B$29&amp;"!$o$4"),0),FALSE))</f>
        <v>0</v>
      </c>
      <c r="E56" s="90">
        <f ca="1">IF(ISERROR(VLOOKUP($B56,OFFSET(INDIRECT(""&amp;$B$29&amp;"!$A$4"),0,0,200,100),MATCH(E$30,INDIRECT(""&amp;$B$29&amp;"!$A$4"):INDIRECT(""&amp;$B$29&amp;"!$o$4"),0),FALSE)),"",VLOOKUP($B56,OFFSET(INDIRECT(""&amp;$B$29&amp;"!$A$4"),0,0,200,100),MATCH(E$30,INDIRECT(""&amp;$B$29&amp;"!$A$4"):INDIRECT(""&amp;$B$29&amp;"!$o$4"),0),FALSE))</f>
        <v>0</v>
      </c>
      <c r="F56" s="90">
        <f ca="1">IF(ISERROR(VLOOKUP($B56,OFFSET(INDIRECT(""&amp;$B$29&amp;"!$A$4"),0,0,200,100),MATCH(F$30,INDIRECT(""&amp;$B$29&amp;"!$A$4"):INDIRECT(""&amp;$B$29&amp;"!$o$4"),0),FALSE)),"",VLOOKUP($B56,OFFSET(INDIRECT(""&amp;$B$29&amp;"!$A$4"),0,0,200,100),MATCH(F$30,INDIRECT(""&amp;$B$29&amp;"!$A$4"):INDIRECT(""&amp;$B$29&amp;"!$o$4"),0),FALSE))</f>
        <v>0</v>
      </c>
      <c r="G56" s="90">
        <f ca="1">IF(ISERROR(VLOOKUP($B56,OFFSET(INDIRECT(""&amp;$B$29&amp;"!$A$4"),0,0,200,100),MATCH(G$30,INDIRECT(""&amp;$B$29&amp;"!$A$4"):INDIRECT(""&amp;$B$29&amp;"!$o$4"),0),FALSE)),"",VLOOKUP($B56,OFFSET(INDIRECT(""&amp;$B$29&amp;"!$A$4"),0,0,200,100),MATCH(G$30,INDIRECT(""&amp;$B$29&amp;"!$A$4"):INDIRECT(""&amp;$B$29&amp;"!$o$4"),0),FALSE))</f>
        <v>0</v>
      </c>
      <c r="H56" s="90">
        <f ca="1">IF(ISERROR(VLOOKUP($B56,OFFSET(INDIRECT(""&amp;$B$29&amp;"!$A$4"),0,0,200,100),MATCH(H$30,INDIRECT(""&amp;$B$29&amp;"!$A$4"):INDIRECT(""&amp;$B$29&amp;"!$o$4"),0),FALSE)),"",VLOOKUP($B56,OFFSET(INDIRECT(""&amp;$B$29&amp;"!$A$4"),0,0,200,100),MATCH(H$30,INDIRECT(""&amp;$B$29&amp;"!$A$4"):INDIRECT(""&amp;$B$29&amp;"!$o$4"),0),FALSE))</f>
        <v>0</v>
      </c>
      <c r="I56" s="90">
        <f ca="1">IF(ISERROR(VLOOKUP($B56,OFFSET(INDIRECT(""&amp;$B$29&amp;"!$A$4"),0,0,200,100),MATCH(I$30,INDIRECT(""&amp;$B$29&amp;"!$A$4"):INDIRECT(""&amp;$B$29&amp;"!$o$4"),0),FALSE)),"",VLOOKUP($B56,OFFSET(INDIRECT(""&amp;$B$29&amp;"!$A$4"),0,0,200,100),MATCH(I$30,INDIRECT(""&amp;$B$29&amp;"!$A$4"):INDIRECT(""&amp;$B$29&amp;"!$o$4"),0),FALSE))</f>
        <v>0</v>
      </c>
      <c r="J56" s="90">
        <f ca="1">IF(ISERROR(VLOOKUP($B56,OFFSET(INDIRECT(""&amp;$B$29&amp;"!$A$4"),0,0,200,100),MATCH(J$30,INDIRECT(""&amp;$B$29&amp;"!$A$4"):INDIRECT(""&amp;$B$29&amp;"!$o$4"),0),FALSE)),"",VLOOKUP($B56,OFFSET(INDIRECT(""&amp;$B$29&amp;"!$A$4"),0,0,200,100),MATCH(J$30,INDIRECT(""&amp;$B$29&amp;"!$A$4"):INDIRECT(""&amp;$B$29&amp;"!$o$4"),0),FALSE))</f>
        <v>0</v>
      </c>
      <c r="K56" s="118" t="s">
        <v>147</v>
      </c>
      <c r="L56" s="90">
        <f ca="1">IF(ISERROR(VLOOKUP($K56,OFFSET(INDIRECT(""&amp;$S$29&amp;"!$A$4"),0,0,200,100),MATCH(L$30,INDIRECT(""&amp;$S$29&amp;"!$A$4"):INDIRECT(""&amp;$S$29&amp;"!$AA$4"),0),FALSE)),"",VLOOKUP($K56,OFFSET(INDIRECT(""&amp;$S$29&amp;"!$A$4"),0,0,200,100),MATCH(L$30,INDIRECT(""&amp;$S$29&amp;"!$A$4"):INDIRECT(""&amp;$S$29&amp;"!$AA$4"),0),FALSE))</f>
        <v>0</v>
      </c>
      <c r="M56" s="90">
        <f ca="1">IF(ISERROR(VLOOKUP($K56,OFFSET(INDIRECT(""&amp;$S$29&amp;"!$A$4"),0,0,200,100),MATCH(M$30,INDIRECT(""&amp;$S$29&amp;"!$A$4"):INDIRECT(""&amp;$S$29&amp;"!$AA$4"),0),FALSE)),"",VLOOKUP($K56,OFFSET(INDIRECT(""&amp;$S$29&amp;"!$A$4"),0,0,200,100),MATCH(M$30,INDIRECT(""&amp;$S$29&amp;"!$A$4"):INDIRECT(""&amp;$S$29&amp;"!$AA$4"),0),FALSE))</f>
        <v>0</v>
      </c>
      <c r="N56" s="90">
        <f ca="1">IF(ISERROR(VLOOKUP($K56,OFFSET(INDIRECT(""&amp;$S$29&amp;"!$A$4"),0,0,200,100),MATCH(N$30,INDIRECT(""&amp;$S$29&amp;"!$A$4"):INDIRECT(""&amp;$S$29&amp;"!$AA$4"),0),FALSE)),"",VLOOKUP($K56,OFFSET(INDIRECT(""&amp;$S$29&amp;"!$A$4"),0,0,200,100),MATCH(N$30,INDIRECT(""&amp;$S$29&amp;"!$A$4"):INDIRECT(""&amp;$S$29&amp;"!$AA$4"),0),FALSE))</f>
        <v>0</v>
      </c>
      <c r="O56" s="90">
        <f ca="1">IF(ISERROR(VLOOKUP($K56,OFFSET(INDIRECT(""&amp;$S$29&amp;"!$A$4"),0,0,200,100),MATCH(O$30,INDIRECT(""&amp;$S$29&amp;"!$A$4"):INDIRECT(""&amp;$S$29&amp;"!$AA$4"),0),FALSE)),"",VLOOKUP($K56,OFFSET(INDIRECT(""&amp;$S$29&amp;"!$A$4"),0,0,200,100),MATCH(O$30,INDIRECT(""&amp;$S$29&amp;"!$A$4"):INDIRECT(""&amp;$S$29&amp;"!$AA$4"),0),FALSE))</f>
        <v>0</v>
      </c>
      <c r="P56" s="90">
        <f ca="1">IF(ISERROR(VLOOKUP($K56,OFFSET(INDIRECT(""&amp;$S$29&amp;"!$A$4"),0,0,200,100),MATCH(P$30,INDIRECT(""&amp;$S$29&amp;"!$A$4"):INDIRECT(""&amp;$S$29&amp;"!$AA$4"),0),FALSE)),"",VLOOKUP($K56,OFFSET(INDIRECT(""&amp;$S$29&amp;"!$A$4"),0,0,200,100),MATCH(P$30,INDIRECT(""&amp;$S$29&amp;"!$A$4"):INDIRECT(""&amp;$S$29&amp;"!$AA$4"),0),FALSE))</f>
        <v>0</v>
      </c>
      <c r="Q56" s="90">
        <f ca="1">IF(ISERROR(VLOOKUP($K56,OFFSET(INDIRECT(""&amp;$S$29&amp;"!$A$4"),0,0,200,100),MATCH(Q$30,INDIRECT(""&amp;$S$29&amp;"!$A$4"):INDIRECT(""&amp;$S$29&amp;"!$AA$4"),0),FALSE)),"",VLOOKUP($K56,OFFSET(INDIRECT(""&amp;$S$29&amp;"!$A$4"),0,0,200,100),MATCH(Q$30,INDIRECT(""&amp;$S$29&amp;"!$A$4"):INDIRECT(""&amp;$S$29&amp;"!$AA$4"),0),FALSE))</f>
        <v>0</v>
      </c>
      <c r="R56" s="90">
        <f ca="1">IF(ISERROR(VLOOKUP($K56,OFFSET(INDIRECT(""&amp;$S$29&amp;"!$A$4"),0,0,200,100),MATCH(R$30,INDIRECT(""&amp;$S$29&amp;"!$A$4"):INDIRECT(""&amp;$S$29&amp;"!$AA$4"),0),FALSE)),"",VLOOKUP($K56,OFFSET(INDIRECT(""&amp;$S$29&amp;"!$A$4"),0,0,200,100),MATCH(R$30,INDIRECT(""&amp;$S$29&amp;"!$A$4"):INDIRECT(""&amp;$S$29&amp;"!$AA$4"),0),FALSE))</f>
        <v>0</v>
      </c>
      <c r="S56" s="90">
        <f ca="1">IF(ISERROR(VLOOKUP($K56,OFFSET(INDIRECT(""&amp;$S$29&amp;"!$A$4"),0,0,200,100),MATCH(S$30,INDIRECT(""&amp;$S$29&amp;"!$A$4"):INDIRECT(""&amp;$S$29&amp;"!$AA$4"),0),FALSE)),"",VLOOKUP($K56,OFFSET(INDIRECT(""&amp;$S$29&amp;"!$A$4"),0,0,200,100),MATCH(S$30,INDIRECT(""&amp;$S$29&amp;"!$A$4"):INDIRECT(""&amp;$S$29&amp;"!$AA$4"),0),FALSE))</f>
        <v>0</v>
      </c>
      <c r="T56" s="90">
        <f ca="1">IF(ISERROR(VLOOKUP($K56,OFFSET(INDIRECT(""&amp;$S$29&amp;"!$A$4"),0,0,200,100),MATCH(T$30,INDIRECT(""&amp;$S$29&amp;"!$A$4"):INDIRECT(""&amp;$S$29&amp;"!$AA$4"),0),FALSE)),"",VLOOKUP($K56,OFFSET(INDIRECT(""&amp;$S$29&amp;"!$A$4"),0,0,200,100),MATCH(T$30,INDIRECT(""&amp;$S$29&amp;"!$A$4"):INDIRECT(""&amp;$S$29&amp;"!$AA$4"),0),FALSE))</f>
        <v>0</v>
      </c>
      <c r="U56" s="90">
        <f ca="1">IF(ISERROR(VLOOKUP($K56,OFFSET(INDIRECT(""&amp;$S$29&amp;"!$A$4"),0,0,200,100),MATCH(U$30,INDIRECT(""&amp;$S$29&amp;"!$A$4"):INDIRECT(""&amp;$S$29&amp;"!$AA$4"),0),FALSE)),"",VLOOKUP($K56,OFFSET(INDIRECT(""&amp;$S$29&amp;"!$A$4"),0,0,200,100),MATCH(U$30,INDIRECT(""&amp;$S$29&amp;"!$A$4"):INDIRECT(""&amp;$S$29&amp;"!$AA$4"),0),FALSE))</f>
        <v>0</v>
      </c>
      <c r="V56" s="90">
        <f ca="1">IF(ISERROR(VLOOKUP($K56,OFFSET(INDIRECT(""&amp;$S$29&amp;"!$A$4"),0,0,200,100),MATCH(V$30,INDIRECT(""&amp;$S$29&amp;"!$A$4"):INDIRECT(""&amp;$S$29&amp;"!$AA$4"),0),FALSE)),"",VLOOKUP($K56,OFFSET(INDIRECT(""&amp;$S$29&amp;"!$A$4"),0,0,200,100),MATCH(V$30,INDIRECT(""&amp;$S$29&amp;"!$A$4"):INDIRECT(""&amp;$S$29&amp;"!$AA$4"),0),FALSE))</f>
        <v>0</v>
      </c>
      <c r="W56" s="90">
        <f ca="1">IF(ISERROR(VLOOKUP($K56,OFFSET(INDIRECT(""&amp;$S$29&amp;"!$A$4"),0,0,200,100),MATCH(W$30,INDIRECT(""&amp;$S$29&amp;"!$A$4"):INDIRECT(""&amp;$S$29&amp;"!$AA$4"),0),FALSE)),"",VLOOKUP($K56,OFFSET(INDIRECT(""&amp;$S$29&amp;"!$A$4"),0,0,200,100),MATCH(W$30,INDIRECT(""&amp;$S$29&amp;"!$A$4"):INDIRECT(""&amp;$S$29&amp;"!$AA$4"),0),FALSE))</f>
        <v>0</v>
      </c>
      <c r="X56" s="90">
        <f ca="1">IF(ISERROR(VLOOKUP($K56,OFFSET(INDIRECT(""&amp;$S$29&amp;"!$A$4"),0,0,200,100),MATCH(X$30,INDIRECT(""&amp;$S$29&amp;"!$A$4"):INDIRECT(""&amp;$S$29&amp;"!$AA$4"),0),FALSE)),"",VLOOKUP($K56,OFFSET(INDIRECT(""&amp;$S$29&amp;"!$A$4"),0,0,200,100),MATCH(X$30,INDIRECT(""&amp;$S$29&amp;"!$A$4"):INDIRECT(""&amp;$S$29&amp;"!$AA$4"),0),FALSE))</f>
        <v>0</v>
      </c>
      <c r="Y56" s="90">
        <f ca="1">IF(ISERROR(VLOOKUP($K56,OFFSET(INDIRECT(""&amp;$S$29&amp;"!$A$4"),0,0,200,100),MATCH(Y$30,INDIRECT(""&amp;$S$29&amp;"!$A$4"):INDIRECT(""&amp;$S$29&amp;"!$AA$4"),0),FALSE)),"",VLOOKUP($K56,OFFSET(INDIRECT(""&amp;$S$29&amp;"!$A$4"),0,0,200,100),MATCH(Y$30,INDIRECT(""&amp;$S$29&amp;"!$A$4"):INDIRECT(""&amp;$S$29&amp;"!$AA$4"),0),FALSE))</f>
        <v>0</v>
      </c>
      <c r="Z56" s="90">
        <f ca="1">IF(ISERROR(VLOOKUP($K56,OFFSET(INDIRECT(""&amp;$S$29&amp;"!$A$4"),0,0,200,100),MATCH(Z$30,INDIRECT(""&amp;$S$29&amp;"!$A$4"):INDIRECT(""&amp;$S$29&amp;"!$AA$4"),0),FALSE)),"",VLOOKUP($K56,OFFSET(INDIRECT(""&amp;$S$29&amp;"!$A$4"),0,0,200,100),MATCH(Z$30,INDIRECT(""&amp;$S$29&amp;"!$A$4"):INDIRECT(""&amp;$S$29&amp;"!$AA$4"),0),FALSE))</f>
        <v>0</v>
      </c>
      <c r="AA56" s="90">
        <f t="shared" ca="1" si="61"/>
        <v>0</v>
      </c>
      <c r="AB56" s="119"/>
      <c r="AC56" s="87">
        <f t="shared" ca="1" si="48"/>
        <v>0</v>
      </c>
      <c r="AD56" s="87">
        <f t="shared" ca="1" si="49"/>
        <v>0</v>
      </c>
      <c r="AE56" s="87">
        <f t="shared" ca="1" si="50"/>
        <v>0</v>
      </c>
      <c r="AF56" s="87">
        <f t="shared" ca="1" si="51"/>
        <v>0</v>
      </c>
      <c r="AG56" s="87">
        <f t="shared" ca="1" si="62"/>
        <v>0</v>
      </c>
      <c r="AH56" s="87">
        <f t="shared" ca="1" si="62"/>
        <v>0</v>
      </c>
      <c r="AI56" s="147"/>
      <c r="AJ56" s="87">
        <f t="shared" ca="1" si="53"/>
        <v>0</v>
      </c>
      <c r="AK56" s="87">
        <f t="shared" ca="1" si="54"/>
        <v>0</v>
      </c>
      <c r="AL56" s="87">
        <f t="shared" ca="1" si="55"/>
        <v>0</v>
      </c>
      <c r="AM56" s="87">
        <f t="shared" ca="1" si="56"/>
        <v>0</v>
      </c>
      <c r="AN56" s="87">
        <f t="shared" ca="1" si="57"/>
        <v>0</v>
      </c>
      <c r="AO56" s="87">
        <f t="shared" ca="1" si="63"/>
        <v>0</v>
      </c>
      <c r="AP56" s="87">
        <f t="shared" ca="1" si="63"/>
        <v>0</v>
      </c>
      <c r="AQ56" s="87">
        <f t="shared" ca="1" si="63"/>
        <v>0</v>
      </c>
      <c r="AR56" s="87">
        <f t="shared" ca="1" si="63"/>
        <v>0</v>
      </c>
      <c r="AS56" s="87">
        <f t="shared" ca="1" si="63"/>
        <v>0</v>
      </c>
      <c r="AT56" s="87">
        <f t="shared" ca="1" si="59"/>
        <v>0</v>
      </c>
      <c r="AU56" s="87">
        <f t="shared" ca="1" si="59"/>
        <v>0</v>
      </c>
      <c r="AV56" s="87">
        <f t="shared" ca="1" si="60"/>
        <v>0</v>
      </c>
    </row>
    <row r="57" spans="1:48" s="108" customFormat="1" ht="15.95" customHeight="1">
      <c r="A57" s="113" t="s">
        <v>256</v>
      </c>
      <c r="B57" s="111" t="s">
        <v>148</v>
      </c>
      <c r="C57" s="90">
        <f ca="1">IF(ISERROR(VLOOKUP($B57,OFFSET(INDIRECT(""&amp;$B$29&amp;"!$A$4"),0,0,200,100),MATCH(C$30,INDIRECT(""&amp;$B$29&amp;"!$A$4"):INDIRECT(""&amp;$B$29&amp;"!$o$4"),0),FALSE)),"",VLOOKUP($B57,OFFSET(INDIRECT(""&amp;$B$29&amp;"!$A$4"),0,0,200,100),MATCH(C$30,INDIRECT(""&amp;$B$29&amp;"!$A$4"):INDIRECT(""&amp;$B$29&amp;"!$o$4"),0),FALSE))</f>
        <v>15644.429264</v>
      </c>
      <c r="D57" s="90">
        <f ca="1">IF(ISERROR(VLOOKUP($B57,OFFSET(INDIRECT(""&amp;$B$29&amp;"!$A$4"),0,0,200,100),MATCH(D$30,INDIRECT(""&amp;$B$29&amp;"!$A$4"):INDIRECT(""&amp;$B$29&amp;"!$o$4"),0),FALSE)),"",VLOOKUP($B57,OFFSET(INDIRECT(""&amp;$B$29&amp;"!$A$4"),0,0,200,100),MATCH(D$30,INDIRECT(""&amp;$B$29&amp;"!$A$4"):INDIRECT(""&amp;$B$29&amp;"!$o$4"),0),FALSE))</f>
        <v>13900.393049</v>
      </c>
      <c r="E57" s="90">
        <f ca="1">IF(ISERROR(VLOOKUP($B57,OFFSET(INDIRECT(""&amp;$B$29&amp;"!$A$4"),0,0,200,100),MATCH(E$30,INDIRECT(""&amp;$B$29&amp;"!$A$4"):INDIRECT(""&amp;$B$29&amp;"!$o$4"),0),FALSE)),"",VLOOKUP($B57,OFFSET(INDIRECT(""&amp;$B$29&amp;"!$A$4"),0,0,200,100),MATCH(E$30,INDIRECT(""&amp;$B$29&amp;"!$A$4"):INDIRECT(""&amp;$B$29&amp;"!$o$4"),0),FALSE))</f>
        <v>13349.245048999999</v>
      </c>
      <c r="F57" s="90">
        <f ca="1">IF(ISERROR(VLOOKUP($B57,OFFSET(INDIRECT(""&amp;$B$29&amp;"!$A$4"),0,0,200,100),MATCH(F$30,INDIRECT(""&amp;$B$29&amp;"!$A$4"):INDIRECT(""&amp;$B$29&amp;"!$o$4"),0),FALSE)),"",VLOOKUP($B57,OFFSET(INDIRECT(""&amp;$B$29&amp;"!$A$4"),0,0,200,100),MATCH(F$30,INDIRECT(""&amp;$B$29&amp;"!$A$4"):INDIRECT(""&amp;$B$29&amp;"!$o$4"),0),FALSE))</f>
        <v>12798.097049</v>
      </c>
      <c r="G57" s="90">
        <f ca="1">IF(ISERROR(VLOOKUP($B57,OFFSET(INDIRECT(""&amp;$B$29&amp;"!$A$4"),0,0,200,100),MATCH(G$30,INDIRECT(""&amp;$B$29&amp;"!$A$4"):INDIRECT(""&amp;$B$29&amp;"!$o$4"),0),FALSE)),"",VLOOKUP($B57,OFFSET(INDIRECT(""&amp;$B$29&amp;"!$A$4"),0,0,200,100),MATCH(G$30,INDIRECT(""&amp;$B$29&amp;"!$A$4"):INDIRECT(""&amp;$B$29&amp;"!$o$4"),0),FALSE))</f>
        <v>101447.374324</v>
      </c>
      <c r="H57" s="90">
        <f ca="1">IF(ISERROR(VLOOKUP($B57,OFFSET(INDIRECT(""&amp;$B$29&amp;"!$A$4"),0,0,200,100),MATCH(H$30,INDIRECT(""&amp;$B$29&amp;"!$A$4"):INDIRECT(""&amp;$B$29&amp;"!$o$4"),0),FALSE)),"",VLOOKUP($B57,OFFSET(INDIRECT(""&amp;$B$29&amp;"!$A$4"),0,0,200,100),MATCH(H$30,INDIRECT(""&amp;$B$29&amp;"!$A$4"):INDIRECT(""&amp;$B$29&amp;"!$o$4"),0),FALSE))</f>
        <v>93600.767705000006</v>
      </c>
      <c r="I57" s="90">
        <f ca="1">IF(ISERROR(VLOOKUP($B57,OFFSET(INDIRECT(""&amp;$B$29&amp;"!$A$4"),0,0,200,100),MATCH(I$30,INDIRECT(""&amp;$B$29&amp;"!$A$4"):INDIRECT(""&amp;$B$29&amp;"!$o$4"),0),FALSE)),"",VLOOKUP($B57,OFFSET(INDIRECT(""&amp;$B$29&amp;"!$A$4"),0,0,200,100),MATCH(I$30,INDIRECT(""&amp;$B$29&amp;"!$A$4"):INDIRECT(""&amp;$B$29&amp;"!$o$4"),0),FALSE))</f>
        <v>94850.188613999999</v>
      </c>
      <c r="J57" s="90">
        <f ca="1">IF(ISERROR(VLOOKUP($B57,OFFSET(INDIRECT(""&amp;$B$29&amp;"!$A$4"),0,0,200,100),MATCH(J$30,INDIRECT(""&amp;$B$29&amp;"!$A$4"):INDIRECT(""&amp;$B$29&amp;"!$o$4"),0),FALSE)),"",VLOOKUP($B57,OFFSET(INDIRECT(""&amp;$B$29&amp;"!$A$4"),0,0,200,100),MATCH(J$30,INDIRECT(""&amp;$B$29&amp;"!$A$4"):INDIRECT(""&amp;$B$29&amp;"!$o$4"),0),FALSE))</f>
        <v>94850.188613999999</v>
      </c>
      <c r="K57" s="109" t="s">
        <v>148</v>
      </c>
      <c r="L57" s="90">
        <f ca="1">IF(ISERROR(VLOOKUP($K57,OFFSET(INDIRECT(""&amp;$S$29&amp;"!$A$4"),0,0,200,100),MATCH(L$30,INDIRECT(""&amp;$S$29&amp;"!$A$4"):INDIRECT(""&amp;$S$29&amp;"!$AA$4"),0),FALSE)),"",VLOOKUP($K57,OFFSET(INDIRECT(""&amp;$S$29&amp;"!$A$4"),0,0,200,100),MATCH(L$30,INDIRECT(""&amp;$S$29&amp;"!$A$4"):INDIRECT(""&amp;$S$29&amp;"!$AA$4"),0),FALSE))</f>
        <v>13211.458049000001</v>
      </c>
      <c r="M57" s="90">
        <f ca="1">IF(ISERROR(VLOOKUP($K57,OFFSET(INDIRECT(""&amp;$S$29&amp;"!$A$4"),0,0,200,100),MATCH(M$30,INDIRECT(""&amp;$S$29&amp;"!$A$4"):INDIRECT(""&amp;$S$29&amp;"!$AA$4"),0),FALSE)),"",VLOOKUP($K57,OFFSET(INDIRECT(""&amp;$S$29&amp;"!$A$4"),0,0,200,100),MATCH(M$30,INDIRECT(""&amp;$S$29&amp;"!$A$4"):INDIRECT(""&amp;$S$29&amp;"!$AA$4"),0),FALSE))</f>
        <v>13073.671049</v>
      </c>
      <c r="N57" s="90">
        <f ca="1">IF(ISERROR(VLOOKUP($K57,OFFSET(INDIRECT(""&amp;$S$29&amp;"!$A$4"),0,0,200,100),MATCH(N$30,INDIRECT(""&amp;$S$29&amp;"!$A$4"):INDIRECT(""&amp;$S$29&amp;"!$AA$4"),0),FALSE)),"",VLOOKUP($K57,OFFSET(INDIRECT(""&amp;$S$29&amp;"!$A$4"),0,0,200,100),MATCH(N$30,INDIRECT(""&amp;$S$29&amp;"!$A$4"):INDIRECT(""&amp;$S$29&amp;"!$AA$4"),0),FALSE))</f>
        <v>12935.884049</v>
      </c>
      <c r="O57" s="90">
        <f ca="1">IF(ISERROR(VLOOKUP($K57,OFFSET(INDIRECT(""&amp;$S$29&amp;"!$A$4"),0,0,200,100),MATCH(O$30,INDIRECT(""&amp;$S$29&amp;"!$A$4"):INDIRECT(""&amp;$S$29&amp;"!$AA$4"),0),FALSE)),"",VLOOKUP($K57,OFFSET(INDIRECT(""&amp;$S$29&amp;"!$A$4"),0,0,200,100),MATCH(O$30,INDIRECT(""&amp;$S$29&amp;"!$A$4"):INDIRECT(""&amp;$S$29&amp;"!$AA$4"),0),FALSE))</f>
        <v>12798.097049</v>
      </c>
      <c r="P57" s="90">
        <f ca="1">IF(ISERROR(VLOOKUP($K57,OFFSET(INDIRECT(""&amp;$S$29&amp;"!$A$4"),0,0,200,100),MATCH(P$30,INDIRECT(""&amp;$S$29&amp;"!$A$4"):INDIRECT(""&amp;$S$29&amp;"!$AA$4"),0),FALSE)),"",VLOOKUP($K57,OFFSET(INDIRECT(""&amp;$S$29&amp;"!$A$4"),0,0,200,100),MATCH(P$30,INDIRECT(""&amp;$S$29&amp;"!$A$4"):INDIRECT(""&amp;$S$29&amp;"!$AA$4"),0),FALSE))</f>
        <v>12660.310049</v>
      </c>
      <c r="Q57" s="90">
        <f ca="1">IF(ISERROR(VLOOKUP($K57,OFFSET(INDIRECT(""&amp;$S$29&amp;"!$A$4"),0,0,200,100),MATCH(Q$30,INDIRECT(""&amp;$S$29&amp;"!$A$4"):INDIRECT(""&amp;$S$29&amp;"!$AA$4"),0),FALSE)),"",VLOOKUP($K57,OFFSET(INDIRECT(""&amp;$S$29&amp;"!$A$4"),0,0,200,100),MATCH(Q$30,INDIRECT(""&amp;$S$29&amp;"!$A$4"):INDIRECT(""&amp;$S$29&amp;"!$AA$4"),0),FALSE))</f>
        <v>54610.541259999998</v>
      </c>
      <c r="R57" s="90">
        <f ca="1">IF(ISERROR(VLOOKUP($K57,OFFSET(INDIRECT(""&amp;$S$29&amp;"!$A$4"),0,0,200,100),MATCH(R$30,INDIRECT(""&amp;$S$29&amp;"!$A$4"):INDIRECT(""&amp;$S$29&amp;"!$AA$4"),0),FALSE)),"",VLOOKUP($K57,OFFSET(INDIRECT(""&amp;$S$29&amp;"!$A$4"),0,0,200,100),MATCH(R$30,INDIRECT(""&amp;$S$29&amp;"!$A$4"):INDIRECT(""&amp;$S$29&amp;"!$AA$4"),0),FALSE))</f>
        <v>54421.808251000002</v>
      </c>
      <c r="S57" s="90">
        <f ca="1">IF(ISERROR(VLOOKUP($K57,OFFSET(INDIRECT(""&amp;$S$29&amp;"!$A$4"),0,0,200,100),MATCH(S$30,INDIRECT(""&amp;$S$29&amp;"!$A$4"):INDIRECT(""&amp;$S$29&amp;"!$AA$4"),0),FALSE)),"",VLOOKUP($K57,OFFSET(INDIRECT(""&amp;$S$29&amp;"!$A$4"),0,0,200,100),MATCH(S$30,INDIRECT(""&amp;$S$29&amp;"!$A$4"):INDIRECT(""&amp;$S$29&amp;"!$AA$4"),0),FALSE))</f>
        <v>52563.659044</v>
      </c>
      <c r="T57" s="90">
        <f ca="1">IF(ISERROR(VLOOKUP($K57,OFFSET(INDIRECT(""&amp;$S$29&amp;"!$A$4"),0,0,200,100),MATCH(T$30,INDIRECT(""&amp;$S$29&amp;"!$A$4"):INDIRECT(""&amp;$S$29&amp;"!$AA$4"),0),FALSE)),"",VLOOKUP($K57,OFFSET(INDIRECT(""&amp;$S$29&amp;"!$A$4"),0,0,200,100),MATCH(T$30,INDIRECT(""&amp;$S$29&amp;"!$A$4"):INDIRECT(""&amp;$S$29&amp;"!$AA$4"),0),FALSE))</f>
        <v>99414.047743999996</v>
      </c>
      <c r="U57" s="90">
        <f ca="1">IF(ISERROR(VLOOKUP($K57,OFFSET(INDIRECT(""&amp;$S$29&amp;"!$A$4"),0,0,200,100),MATCH(U$30,INDIRECT(""&amp;$S$29&amp;"!$A$4"):INDIRECT(""&amp;$S$29&amp;"!$AA$4"),0),FALSE)),"",VLOOKUP($K57,OFFSET(INDIRECT(""&amp;$S$29&amp;"!$A$4"),0,0,200,100),MATCH(U$30,INDIRECT(""&amp;$S$29&amp;"!$A$4"):INDIRECT(""&amp;$S$29&amp;"!$AA$4"),0),FALSE))</f>
        <v>98371.281621999995</v>
      </c>
      <c r="V57" s="90">
        <f ca="1">IF(ISERROR(VLOOKUP($K57,OFFSET(INDIRECT(""&amp;$S$29&amp;"!$A$4"),0,0,200,100),MATCH(V$30,INDIRECT(""&amp;$S$29&amp;"!$A$4"):INDIRECT(""&amp;$S$29&amp;"!$AA$4"),0),FALSE)),"",VLOOKUP($K57,OFFSET(INDIRECT(""&amp;$S$29&amp;"!$A$4"),0,0,200,100),MATCH(V$30,INDIRECT(""&amp;$S$29&amp;"!$A$4"):INDIRECT(""&amp;$S$29&amp;"!$AA$4"),0),FALSE))</f>
        <v>95991.226634000006</v>
      </c>
      <c r="W57" s="90">
        <f ca="1">IF(ISERROR(VLOOKUP($K57,OFFSET(INDIRECT(""&amp;$S$29&amp;"!$A$4"),0,0,200,100),MATCH(W$30,INDIRECT(""&amp;$S$29&amp;"!$A$4"):INDIRECT(""&amp;$S$29&amp;"!$AA$4"),0),FALSE)),"",VLOOKUP($K57,OFFSET(INDIRECT(""&amp;$S$29&amp;"!$A$4"),0,0,200,100),MATCH(W$30,INDIRECT(""&amp;$S$29&amp;"!$A$4"):INDIRECT(""&amp;$S$29&amp;"!$AA$4"),0),FALSE))</f>
        <v>93600.767705000006</v>
      </c>
      <c r="X57" s="90">
        <f ca="1">IF(ISERROR(VLOOKUP($K57,OFFSET(INDIRECT(""&amp;$S$29&amp;"!$A$4"),0,0,200,100),MATCH(X$30,INDIRECT(""&amp;$S$29&amp;"!$A$4"):INDIRECT(""&amp;$S$29&amp;"!$AA$4"),0),FALSE)),"",VLOOKUP($K57,OFFSET(INDIRECT(""&amp;$S$29&amp;"!$A$4"),0,0,200,100),MATCH(X$30,INDIRECT(""&amp;$S$29&amp;"!$A$4"):INDIRECT(""&amp;$S$29&amp;"!$AA$4"),0),FALSE))</f>
        <v>98049.436293000006</v>
      </c>
      <c r="Y57" s="90">
        <f ca="1">IF(ISERROR(VLOOKUP($K57,OFFSET(INDIRECT(""&amp;$S$29&amp;"!$A$4"),0,0,200,100),MATCH(Y$30,INDIRECT(""&amp;$S$29&amp;"!$A$4"):INDIRECT(""&amp;$S$29&amp;"!$AA$4"),0),FALSE)),"",VLOOKUP($K57,OFFSET(INDIRECT(""&amp;$S$29&amp;"!$A$4"),0,0,200,100),MATCH(Y$30,INDIRECT(""&amp;$S$29&amp;"!$A$4"):INDIRECT(""&amp;$S$29&amp;"!$AA$4"),0),FALSE))</f>
        <v>95514.454880999998</v>
      </c>
      <c r="Z57" s="90">
        <f ca="1">IF(ISERROR(VLOOKUP($K57,OFFSET(INDIRECT(""&amp;$S$29&amp;"!$A$4"),0,0,200,100),MATCH(Z$30,INDIRECT(""&amp;$S$29&amp;"!$A$4"):INDIRECT(""&amp;$S$29&amp;"!$AA$4"),0),FALSE)),"",VLOOKUP($K57,OFFSET(INDIRECT(""&amp;$S$29&amp;"!$A$4"),0,0,200,100),MATCH(Z$30,INDIRECT(""&amp;$S$29&amp;"!$A$4"):INDIRECT(""&amp;$S$29&amp;"!$AA$4"),0),FALSE))</f>
        <v>96283.745886000004</v>
      </c>
      <c r="AA57" s="90">
        <f t="shared" ca="1" si="61"/>
        <v>95514.454880999998</v>
      </c>
      <c r="AB57" s="110"/>
      <c r="AC57" s="87">
        <f t="shared" ca="1" si="48"/>
        <v>3.826816374768309E-2</v>
      </c>
      <c r="AD57" s="87">
        <f t="shared" ca="1" si="49"/>
        <v>3.3940707518688801E-2</v>
      </c>
      <c r="AE57" s="87">
        <f t="shared" ca="1" si="50"/>
        <v>0.26581672004838347</v>
      </c>
      <c r="AF57" s="87">
        <f t="shared" ca="1" si="51"/>
        <v>0.25560543506659539</v>
      </c>
      <c r="AG57" s="87">
        <f t="shared" ca="1" si="62"/>
        <v>0.27830780324027454</v>
      </c>
      <c r="AH57" s="87">
        <f t="shared" ca="1" si="62"/>
        <v>0.27830780324027454</v>
      </c>
      <c r="AI57" s="145"/>
      <c r="AJ57" s="87">
        <f t="shared" ca="1" si="53"/>
        <v>3.2665331684950366E-2</v>
      </c>
      <c r="AK57" s="87">
        <f t="shared" ca="1" si="54"/>
        <v>3.2555848546953078E-2</v>
      </c>
      <c r="AL57" s="87">
        <f t="shared" ca="1" si="55"/>
        <v>0.13199233952518497</v>
      </c>
      <c r="AM57" s="87">
        <f t="shared" ca="1" si="56"/>
        <v>0.13694878028974367</v>
      </c>
      <c r="AN57" s="87">
        <f t="shared" ca="1" si="57"/>
        <v>0.13042627181840677</v>
      </c>
      <c r="AO57" s="87">
        <f t="shared" ca="1" si="63"/>
        <v>0.26209879622166998</v>
      </c>
      <c r="AP57" s="87">
        <f t="shared" ca="1" si="63"/>
        <v>0.26687984371780044</v>
      </c>
      <c r="AQ57" s="87">
        <f t="shared" ca="1" si="63"/>
        <v>0.26589372802155253</v>
      </c>
      <c r="AR57" s="87">
        <f t="shared" ca="1" si="63"/>
        <v>0.25516035741016713</v>
      </c>
      <c r="AS57" s="87">
        <f t="shared" ca="1" si="63"/>
        <v>0.26591592408090226</v>
      </c>
      <c r="AT57" s="87">
        <f t="shared" ca="1" si="59"/>
        <v>0.28239810461425452</v>
      </c>
      <c r="AU57" s="87">
        <f t="shared" ca="1" si="59"/>
        <v>0.28589930919570122</v>
      </c>
      <c r="AV57" s="87">
        <f t="shared" ca="1" si="60"/>
        <v>0.28239810461425452</v>
      </c>
    </row>
    <row r="58" spans="1:48" s="120" customFormat="1" ht="15.95" customHeight="1">
      <c r="A58" s="130" t="s">
        <v>253</v>
      </c>
      <c r="B58" s="117" t="s">
        <v>149</v>
      </c>
      <c r="C58" s="90">
        <f ca="1">IF(ISERROR(VLOOKUP($B58,OFFSET(INDIRECT(""&amp;$B$29&amp;"!$A$4"),0,0,200,100),MATCH(C$30,INDIRECT(""&amp;$B$29&amp;"!$A$4"):INDIRECT(""&amp;$B$29&amp;"!$o$4"),0),FALSE)),"",VLOOKUP($B58,OFFSET(INDIRECT(""&amp;$B$29&amp;"!$A$4"),0,0,200,100),MATCH(C$30,INDIRECT(""&amp;$B$29&amp;"!$A$4"):INDIRECT(""&amp;$B$29&amp;"!$o$4"),0),FALSE))</f>
        <v>18622.429542000002</v>
      </c>
      <c r="D58" s="90">
        <f ca="1">IF(ISERROR(VLOOKUP($B58,OFFSET(INDIRECT(""&amp;$B$29&amp;"!$A$4"),0,0,200,100),MATCH(D$30,INDIRECT(""&amp;$B$29&amp;"!$A$4"):INDIRECT(""&amp;$B$29&amp;"!$o$4"),0),FALSE)),"",VLOOKUP($B58,OFFSET(INDIRECT(""&amp;$B$29&amp;"!$A$4"),0,0,200,100),MATCH(D$30,INDIRECT(""&amp;$B$29&amp;"!$A$4"):INDIRECT(""&amp;$B$29&amp;"!$o$4"),0),FALSE))</f>
        <v>17452.939542</v>
      </c>
      <c r="E58" s="90">
        <f ca="1">IF(ISERROR(VLOOKUP($B58,OFFSET(INDIRECT(""&amp;$B$29&amp;"!$A$4"),0,0,200,100),MATCH(E$30,INDIRECT(""&amp;$B$29&amp;"!$A$4"):INDIRECT(""&amp;$B$29&amp;"!$o$4"),0),FALSE)),"",VLOOKUP($B58,OFFSET(INDIRECT(""&amp;$B$29&amp;"!$A$4"),0,0,200,100),MATCH(E$30,INDIRECT(""&amp;$B$29&amp;"!$A$4"):INDIRECT(""&amp;$B$29&amp;"!$o$4"),0),FALSE))</f>
        <v>17452.939542</v>
      </c>
      <c r="F58" s="90">
        <f ca="1">IF(ISERROR(VLOOKUP($B58,OFFSET(INDIRECT(""&amp;$B$29&amp;"!$A$4"),0,0,200,100),MATCH(F$30,INDIRECT(""&amp;$B$29&amp;"!$A$4"):INDIRECT(""&amp;$B$29&amp;"!$o$4"),0),FALSE)),"",VLOOKUP($B58,OFFSET(INDIRECT(""&amp;$B$29&amp;"!$A$4"),0,0,200,100),MATCH(F$30,INDIRECT(""&amp;$B$29&amp;"!$A$4"):INDIRECT(""&amp;$B$29&amp;"!$o$4"),0),FALSE))</f>
        <v>17452.939542</v>
      </c>
      <c r="G58" s="90">
        <f ca="1">IF(ISERROR(VLOOKUP($B58,OFFSET(INDIRECT(""&amp;$B$29&amp;"!$A$4"),0,0,200,100),MATCH(G$30,INDIRECT(""&amp;$B$29&amp;"!$A$4"):INDIRECT(""&amp;$B$29&amp;"!$o$4"),0),FALSE)),"",VLOOKUP($B58,OFFSET(INDIRECT(""&amp;$B$29&amp;"!$A$4"),0,0,200,100),MATCH(G$30,INDIRECT(""&amp;$B$29&amp;"!$A$4"):INDIRECT(""&amp;$B$29&amp;"!$o$4"),0),FALSE))</f>
        <v>109627.38007299999</v>
      </c>
      <c r="H58" s="90">
        <f ca="1">IF(ISERROR(VLOOKUP($B58,OFFSET(INDIRECT(""&amp;$B$29&amp;"!$A$4"),0,0,200,100),MATCH(H$30,INDIRECT(""&amp;$B$29&amp;"!$A$4"):INDIRECT(""&amp;$B$29&amp;"!$o$4"),0),FALSE)),"",VLOOKUP($B58,OFFSET(INDIRECT(""&amp;$B$29&amp;"!$A$4"),0,0,200,100),MATCH(H$30,INDIRECT(""&amp;$B$29&amp;"!$A$4"):INDIRECT(""&amp;$B$29&amp;"!$o$4"),0),FALSE))</f>
        <v>111375.242073</v>
      </c>
      <c r="I58" s="90">
        <f ca="1">IF(ISERROR(VLOOKUP($B58,OFFSET(INDIRECT(""&amp;$B$29&amp;"!$A$4"),0,0,200,100),MATCH(I$30,INDIRECT(""&amp;$B$29&amp;"!$A$4"):INDIRECT(""&amp;$B$29&amp;"!$o$4"),0),FALSE)),"",VLOOKUP($B58,OFFSET(INDIRECT(""&amp;$B$29&amp;"!$A$4"),0,0,200,100),MATCH(I$30,INDIRECT(""&amp;$B$29&amp;"!$A$4"):INDIRECT(""&amp;$B$29&amp;"!$o$4"),0),FALSE))</f>
        <v>118358.892073</v>
      </c>
      <c r="J58" s="90">
        <f ca="1">IF(ISERROR(VLOOKUP($B58,OFFSET(INDIRECT(""&amp;$B$29&amp;"!$A$4"),0,0,200,100),MATCH(J$30,INDIRECT(""&amp;$B$29&amp;"!$A$4"):INDIRECT(""&amp;$B$29&amp;"!$o$4"),0),FALSE)),"",VLOOKUP($B58,OFFSET(INDIRECT(""&amp;$B$29&amp;"!$A$4"),0,0,200,100),MATCH(J$30,INDIRECT(""&amp;$B$29&amp;"!$A$4"):INDIRECT(""&amp;$B$29&amp;"!$o$4"),0),FALSE))</f>
        <v>118358.892073</v>
      </c>
      <c r="K58" s="118" t="s">
        <v>149</v>
      </c>
      <c r="L58" s="90">
        <f ca="1">IF(ISERROR(VLOOKUP($K58,OFFSET(INDIRECT(""&amp;$S$29&amp;"!$A$4"),0,0,200,100),MATCH(L$30,INDIRECT(""&amp;$S$29&amp;"!$A$4"):INDIRECT(""&amp;$S$29&amp;"!$AA$4"),0),FALSE)),"",VLOOKUP($K58,OFFSET(INDIRECT(""&amp;$S$29&amp;"!$A$4"),0,0,200,100),MATCH(L$30,INDIRECT(""&amp;$S$29&amp;"!$A$4"):INDIRECT(""&amp;$S$29&amp;"!$AA$4"),0),FALSE))</f>
        <v>17452.939542</v>
      </c>
      <c r="M58" s="90">
        <f ca="1">IF(ISERROR(VLOOKUP($K58,OFFSET(INDIRECT(""&amp;$S$29&amp;"!$A$4"),0,0,200,100),MATCH(M$30,INDIRECT(""&amp;$S$29&amp;"!$A$4"):INDIRECT(""&amp;$S$29&amp;"!$AA$4"),0),FALSE)),"",VLOOKUP($K58,OFFSET(INDIRECT(""&amp;$S$29&amp;"!$A$4"),0,0,200,100),MATCH(M$30,INDIRECT(""&amp;$S$29&amp;"!$A$4"):INDIRECT(""&amp;$S$29&amp;"!$AA$4"),0),FALSE))</f>
        <v>17452.939542</v>
      </c>
      <c r="N58" s="90">
        <f ca="1">IF(ISERROR(VLOOKUP($K58,OFFSET(INDIRECT(""&amp;$S$29&amp;"!$A$4"),0,0,200,100),MATCH(N$30,INDIRECT(""&amp;$S$29&amp;"!$A$4"):INDIRECT(""&amp;$S$29&amp;"!$AA$4"),0),FALSE)),"",VLOOKUP($K58,OFFSET(INDIRECT(""&amp;$S$29&amp;"!$A$4"),0,0,200,100),MATCH(N$30,INDIRECT(""&amp;$S$29&amp;"!$A$4"):INDIRECT(""&amp;$S$29&amp;"!$AA$4"),0),FALSE))</f>
        <v>17452.939542</v>
      </c>
      <c r="O58" s="90">
        <f ca="1">IF(ISERROR(VLOOKUP($K58,OFFSET(INDIRECT(""&amp;$S$29&amp;"!$A$4"),0,0,200,100),MATCH(O$30,INDIRECT(""&amp;$S$29&amp;"!$A$4"):INDIRECT(""&amp;$S$29&amp;"!$AA$4"),0),FALSE)),"",VLOOKUP($K58,OFFSET(INDIRECT(""&amp;$S$29&amp;"!$A$4"),0,0,200,100),MATCH(O$30,INDIRECT(""&amp;$S$29&amp;"!$A$4"):INDIRECT(""&amp;$S$29&amp;"!$AA$4"),0),FALSE))</f>
        <v>17452.939542</v>
      </c>
      <c r="P58" s="90">
        <f ca="1">IF(ISERROR(VLOOKUP($K58,OFFSET(INDIRECT(""&amp;$S$29&amp;"!$A$4"),0,0,200,100),MATCH(P$30,INDIRECT(""&amp;$S$29&amp;"!$A$4"):INDIRECT(""&amp;$S$29&amp;"!$AA$4"),0),FALSE)),"",VLOOKUP($K58,OFFSET(INDIRECT(""&amp;$S$29&amp;"!$A$4"),0,0,200,100),MATCH(P$30,INDIRECT(""&amp;$S$29&amp;"!$A$4"):INDIRECT(""&amp;$S$29&amp;"!$AA$4"),0),FALSE))</f>
        <v>17452.939542</v>
      </c>
      <c r="Q58" s="90">
        <f ca="1">IF(ISERROR(VLOOKUP($K58,OFFSET(INDIRECT(""&amp;$S$29&amp;"!$A$4"),0,0,200,100),MATCH(Q$30,INDIRECT(""&amp;$S$29&amp;"!$A$4"):INDIRECT(""&amp;$S$29&amp;"!$AA$4"),0),FALSE)),"",VLOOKUP($K58,OFFSET(INDIRECT(""&amp;$S$29&amp;"!$A$4"),0,0,200,100),MATCH(Q$30,INDIRECT(""&amp;$S$29&amp;"!$A$4"):INDIRECT(""&amp;$S$29&amp;"!$AA$4"),0),FALSE))</f>
        <v>60017.374315000001</v>
      </c>
      <c r="R58" s="90">
        <f ca="1">IF(ISERROR(VLOOKUP($K58,OFFSET(INDIRECT(""&amp;$S$29&amp;"!$A$4"),0,0,200,100),MATCH(R$30,INDIRECT(""&amp;$S$29&amp;"!$A$4"):INDIRECT(""&amp;$S$29&amp;"!$AA$4"),0),FALSE)),"",VLOOKUP($K58,OFFSET(INDIRECT(""&amp;$S$29&amp;"!$A$4"),0,0,200,100),MATCH(R$30,INDIRECT(""&amp;$S$29&amp;"!$A$4"):INDIRECT(""&amp;$S$29&amp;"!$AA$4"),0),FALSE))</f>
        <v>61663.921798000003</v>
      </c>
      <c r="S58" s="90">
        <f ca="1">IF(ISERROR(VLOOKUP($K58,OFFSET(INDIRECT(""&amp;$S$29&amp;"!$A$4"),0,0,200,100),MATCH(S$30,INDIRECT(""&amp;$S$29&amp;"!$A$4"):INDIRECT(""&amp;$S$29&amp;"!$AA$4"),0),FALSE)),"",VLOOKUP($K58,OFFSET(INDIRECT(""&amp;$S$29&amp;"!$A$4"),0,0,200,100),MATCH(S$30,INDIRECT(""&amp;$S$29&amp;"!$A$4"):INDIRECT(""&amp;$S$29&amp;"!$AA$4"),0),FALSE))</f>
        <v>61663.921798000003</v>
      </c>
      <c r="T58" s="90">
        <f ca="1">IF(ISERROR(VLOOKUP($K58,OFFSET(INDIRECT(""&amp;$S$29&amp;"!$A$4"),0,0,200,100),MATCH(T$30,INDIRECT(""&amp;$S$29&amp;"!$A$4"):INDIRECT(""&amp;$S$29&amp;"!$AA$4"),0),FALSE)),"",VLOOKUP($K58,OFFSET(INDIRECT(""&amp;$S$29&amp;"!$A$4"),0,0,200,100),MATCH(T$30,INDIRECT(""&amp;$S$29&amp;"!$A$4"):INDIRECT(""&amp;$S$29&amp;"!$AA$4"),0),FALSE))</f>
        <v>109627.38007299999</v>
      </c>
      <c r="U58" s="90">
        <f ca="1">IF(ISERROR(VLOOKUP($K58,OFFSET(INDIRECT(""&amp;$S$29&amp;"!$A$4"),0,0,200,100),MATCH(U$30,INDIRECT(""&amp;$S$29&amp;"!$A$4"):INDIRECT(""&amp;$S$29&amp;"!$AA$4"),0),FALSE)),"",VLOOKUP($K58,OFFSET(INDIRECT(""&amp;$S$29&amp;"!$A$4"),0,0,200,100),MATCH(U$30,INDIRECT(""&amp;$S$29&amp;"!$A$4"):INDIRECT(""&amp;$S$29&amp;"!$AA$4"),0),FALSE))</f>
        <v>111375.242073</v>
      </c>
      <c r="V58" s="90">
        <f ca="1">IF(ISERROR(VLOOKUP($K58,OFFSET(INDIRECT(""&amp;$S$29&amp;"!$A$4"),0,0,200,100),MATCH(V$30,INDIRECT(""&amp;$S$29&amp;"!$A$4"):INDIRECT(""&amp;$S$29&amp;"!$AA$4"),0),FALSE)),"",VLOOKUP($K58,OFFSET(INDIRECT(""&amp;$S$29&amp;"!$A$4"),0,0,200,100),MATCH(V$30,INDIRECT(""&amp;$S$29&amp;"!$A$4"):INDIRECT(""&amp;$S$29&amp;"!$AA$4"),0),FALSE))</f>
        <v>111375.242073</v>
      </c>
      <c r="W58" s="90">
        <f ca="1">IF(ISERROR(VLOOKUP($K58,OFFSET(INDIRECT(""&amp;$S$29&amp;"!$A$4"),0,0,200,100),MATCH(W$30,INDIRECT(""&amp;$S$29&amp;"!$A$4"):INDIRECT(""&amp;$S$29&amp;"!$AA$4"),0),FALSE)),"",VLOOKUP($K58,OFFSET(INDIRECT(""&amp;$S$29&amp;"!$A$4"),0,0,200,100),MATCH(W$30,INDIRECT(""&amp;$S$29&amp;"!$A$4"):INDIRECT(""&amp;$S$29&amp;"!$AA$4"),0),FALSE))</f>
        <v>111375.242073</v>
      </c>
      <c r="X58" s="90">
        <f ca="1">IF(ISERROR(VLOOKUP($K58,OFFSET(INDIRECT(""&amp;$S$29&amp;"!$A$4"),0,0,200,100),MATCH(X$30,INDIRECT(""&amp;$S$29&amp;"!$A$4"):INDIRECT(""&amp;$S$29&amp;"!$AA$4"),0),FALSE)),"",VLOOKUP($K58,OFFSET(INDIRECT(""&amp;$S$29&amp;"!$A$4"),0,0,200,100),MATCH(X$30,INDIRECT(""&amp;$S$29&amp;"!$A$4"):INDIRECT(""&amp;$S$29&amp;"!$AA$4"),0),FALSE))</f>
        <v>118358.892073</v>
      </c>
      <c r="Y58" s="90">
        <f ca="1">IF(ISERROR(VLOOKUP($K58,OFFSET(INDIRECT(""&amp;$S$29&amp;"!$A$4"),0,0,200,100),MATCH(Y$30,INDIRECT(""&amp;$S$29&amp;"!$A$4"):INDIRECT(""&amp;$S$29&amp;"!$AA$4"),0),FALSE)),"",VLOOKUP($K58,OFFSET(INDIRECT(""&amp;$S$29&amp;"!$A$4"),0,0,200,100),MATCH(Y$30,INDIRECT(""&amp;$S$29&amp;"!$A$4"):INDIRECT(""&amp;$S$29&amp;"!$AA$4"),0),FALSE))</f>
        <v>118358.892073</v>
      </c>
      <c r="Z58" s="90">
        <f ca="1">IF(ISERROR(VLOOKUP($K58,OFFSET(INDIRECT(""&amp;$S$29&amp;"!$A$4"),0,0,200,100),MATCH(Z$30,INDIRECT(""&amp;$S$29&amp;"!$A$4"):INDIRECT(""&amp;$S$29&amp;"!$AA$4"),0),FALSE)),"",VLOOKUP($K58,OFFSET(INDIRECT(""&amp;$S$29&amp;"!$A$4"),0,0,200,100),MATCH(Z$30,INDIRECT(""&amp;$S$29&amp;"!$A$4"):INDIRECT(""&amp;$S$29&amp;"!$AA$4"),0),FALSE))</f>
        <v>118358.892073</v>
      </c>
      <c r="AA58" s="90">
        <f t="shared" ca="1" si="61"/>
        <v>118358.892073</v>
      </c>
      <c r="AB58" s="119"/>
      <c r="AC58" s="87">
        <f t="shared" ca="1" si="48"/>
        <v>5.0032188773229638E-2</v>
      </c>
      <c r="AD58" s="87">
        <f t="shared" ca="1" si="49"/>
        <v>4.6285405874669928E-2</v>
      </c>
      <c r="AE58" s="87">
        <f t="shared" ca="1" si="50"/>
        <v>0.28725031862759964</v>
      </c>
      <c r="AF58" s="87">
        <f t="shared" ca="1" si="51"/>
        <v>0.30414405676072059</v>
      </c>
      <c r="AG58" s="87">
        <f t="shared" ca="1" si="62"/>
        <v>0.3472866393639133</v>
      </c>
      <c r="AH58" s="87">
        <f t="shared" ca="1" si="62"/>
        <v>0.3472866393639133</v>
      </c>
      <c r="AI58" s="147"/>
      <c r="AJ58" s="87">
        <f t="shared" ca="1" si="53"/>
        <v>4.4546158451061427E-2</v>
      </c>
      <c r="AK58" s="87">
        <f t="shared" ca="1" si="54"/>
        <v>4.4880042765884767E-2</v>
      </c>
      <c r="AL58" s="87">
        <f t="shared" ca="1" si="55"/>
        <v>0.14506052247824938</v>
      </c>
      <c r="AM58" s="87">
        <f t="shared" ca="1" si="56"/>
        <v>0.15517306663479091</v>
      </c>
      <c r="AN58" s="87">
        <f t="shared" ca="1" si="57"/>
        <v>0.15300676497963411</v>
      </c>
      <c r="AO58" s="87">
        <f t="shared" ca="1" si="63"/>
        <v>0.28902559549792545</v>
      </c>
      <c r="AP58" s="87">
        <f t="shared" ca="1" si="63"/>
        <v>0.30215939762471211</v>
      </c>
      <c r="AQ58" s="87">
        <f t="shared" ca="1" si="63"/>
        <v>0.3085071351052367</v>
      </c>
      <c r="AR58" s="87">
        <f t="shared" ca="1" si="63"/>
        <v>0.30361446033815476</v>
      </c>
      <c r="AS58" s="87">
        <f t="shared" ca="1" si="63"/>
        <v>0.32099638048638679</v>
      </c>
      <c r="AT58" s="87">
        <f t="shared" ca="1" si="59"/>
        <v>0.34993998371556612</v>
      </c>
      <c r="AU58" s="87">
        <f t="shared" ca="1" si="59"/>
        <v>0.35144795385198579</v>
      </c>
      <c r="AV58" s="87">
        <f t="shared" ca="1" si="60"/>
        <v>0.34993998371556612</v>
      </c>
    </row>
    <row r="59" spans="1:48" s="120" customFormat="1" ht="15.95" customHeight="1">
      <c r="A59" s="130" t="s">
        <v>254</v>
      </c>
      <c r="B59" s="117" t="s">
        <v>150</v>
      </c>
      <c r="C59" s="90">
        <f ca="1">IF(ISERROR(VLOOKUP($B59,OFFSET(INDIRECT(""&amp;$B$29&amp;"!$A$4"),0,0,200,100),MATCH(C$30,INDIRECT(""&amp;$B$29&amp;"!$A$4"):INDIRECT(""&amp;$B$29&amp;"!$o$4"),0),FALSE)),"",VLOOKUP($B59,OFFSET(INDIRECT(""&amp;$B$29&amp;"!$A$4"),0,0,200,100),MATCH(C$30,INDIRECT(""&amp;$B$29&amp;"!$A$4"):INDIRECT(""&amp;$B$29&amp;"!$o$4"),0),FALSE))</f>
        <v>-2978.000278</v>
      </c>
      <c r="D59" s="90">
        <f ca="1">IF(ISERROR(VLOOKUP($B59,OFFSET(INDIRECT(""&amp;$B$29&amp;"!$A$4"),0,0,200,100),MATCH(D$30,INDIRECT(""&amp;$B$29&amp;"!$A$4"):INDIRECT(""&amp;$B$29&amp;"!$o$4"),0),FALSE)),"",VLOOKUP($B59,OFFSET(INDIRECT(""&amp;$B$29&amp;"!$A$4"),0,0,200,100),MATCH(D$30,INDIRECT(""&amp;$B$29&amp;"!$A$4"):INDIRECT(""&amp;$B$29&amp;"!$o$4"),0),FALSE))</f>
        <v>-3552.5464929999998</v>
      </c>
      <c r="E59" s="90">
        <f ca="1">IF(ISERROR(VLOOKUP($B59,OFFSET(INDIRECT(""&amp;$B$29&amp;"!$A$4"),0,0,200,100),MATCH(E$30,INDIRECT(""&amp;$B$29&amp;"!$A$4"):INDIRECT(""&amp;$B$29&amp;"!$o$4"),0),FALSE)),"",VLOOKUP($B59,OFFSET(INDIRECT(""&amp;$B$29&amp;"!$A$4"),0,0,200,100),MATCH(E$30,INDIRECT(""&amp;$B$29&amp;"!$A$4"):INDIRECT(""&amp;$B$29&amp;"!$o$4"),0),FALSE))</f>
        <v>-4103.694493</v>
      </c>
      <c r="F59" s="90">
        <f ca="1">IF(ISERROR(VLOOKUP($B59,OFFSET(INDIRECT(""&amp;$B$29&amp;"!$A$4"),0,0,200,100),MATCH(F$30,INDIRECT(""&amp;$B$29&amp;"!$A$4"):INDIRECT(""&amp;$B$29&amp;"!$o$4"),0),FALSE)),"",VLOOKUP($B59,OFFSET(INDIRECT(""&amp;$B$29&amp;"!$A$4"),0,0,200,100),MATCH(F$30,INDIRECT(""&amp;$B$29&amp;"!$A$4"):INDIRECT(""&amp;$B$29&amp;"!$o$4"),0),FALSE))</f>
        <v>-4654.8424930000001</v>
      </c>
      <c r="G59" s="90">
        <f ca="1">IF(ISERROR(VLOOKUP($B59,OFFSET(INDIRECT(""&amp;$B$29&amp;"!$A$4"),0,0,200,100),MATCH(G$30,INDIRECT(""&amp;$B$29&amp;"!$A$4"):INDIRECT(""&amp;$B$29&amp;"!$o$4"),0),FALSE)),"",VLOOKUP($B59,OFFSET(INDIRECT(""&amp;$B$29&amp;"!$A$4"),0,0,200,100),MATCH(G$30,INDIRECT(""&amp;$B$29&amp;"!$A$4"):INDIRECT(""&amp;$B$29&amp;"!$o$4"),0),FALSE))</f>
        <v>-8180.0057489999999</v>
      </c>
      <c r="H59" s="90">
        <f ca="1">IF(ISERROR(VLOOKUP($B59,OFFSET(INDIRECT(""&amp;$B$29&amp;"!$A$4"),0,0,200,100),MATCH(H$30,INDIRECT(""&amp;$B$29&amp;"!$A$4"):INDIRECT(""&amp;$B$29&amp;"!$o$4"),0),FALSE)),"",VLOOKUP($B59,OFFSET(INDIRECT(""&amp;$B$29&amp;"!$A$4"),0,0,200,100),MATCH(H$30,INDIRECT(""&amp;$B$29&amp;"!$A$4"):INDIRECT(""&amp;$B$29&amp;"!$o$4"),0),FALSE))</f>
        <v>-17774.474367999999</v>
      </c>
      <c r="I59" s="90">
        <f ca="1">IF(ISERROR(VLOOKUP($B59,OFFSET(INDIRECT(""&amp;$B$29&amp;"!$A$4"),0,0,200,100),MATCH(I$30,INDIRECT(""&amp;$B$29&amp;"!$A$4"):INDIRECT(""&amp;$B$29&amp;"!$o$4"),0),FALSE)),"",VLOOKUP($B59,OFFSET(INDIRECT(""&amp;$B$29&amp;"!$A$4"),0,0,200,100),MATCH(I$30,INDIRECT(""&amp;$B$29&amp;"!$A$4"):INDIRECT(""&amp;$B$29&amp;"!$o$4"),0),FALSE))</f>
        <v>-23508.703459</v>
      </c>
      <c r="J59" s="90">
        <f ca="1">IF(ISERROR(VLOOKUP($B59,OFFSET(INDIRECT(""&amp;$B$29&amp;"!$A$4"),0,0,200,100),MATCH(J$30,INDIRECT(""&amp;$B$29&amp;"!$A$4"):INDIRECT(""&amp;$B$29&amp;"!$o$4"),0),FALSE)),"",VLOOKUP($B59,OFFSET(INDIRECT(""&amp;$B$29&amp;"!$A$4"),0,0,200,100),MATCH(J$30,INDIRECT(""&amp;$B$29&amp;"!$A$4"):INDIRECT(""&amp;$B$29&amp;"!$o$4"),0),FALSE))</f>
        <v>-23508.703459</v>
      </c>
      <c r="K59" s="118" t="s">
        <v>150</v>
      </c>
      <c r="L59" s="90">
        <f ca="1">IF(ISERROR(VLOOKUP($K59,OFFSET(INDIRECT(""&amp;$S$29&amp;"!$A$4"),0,0,200,100),MATCH(L$30,INDIRECT(""&amp;$S$29&amp;"!$A$4"):INDIRECT(""&amp;$S$29&amp;"!$AA$4"),0),FALSE)),"",VLOOKUP($K59,OFFSET(INDIRECT(""&amp;$S$29&amp;"!$A$4"),0,0,200,100),MATCH(L$30,INDIRECT(""&amp;$S$29&amp;"!$A$4"):INDIRECT(""&amp;$S$29&amp;"!$AA$4"),0),FALSE))</f>
        <v>-4241.4814930000002</v>
      </c>
      <c r="M59" s="90">
        <f ca="1">IF(ISERROR(VLOOKUP($K59,OFFSET(INDIRECT(""&amp;$S$29&amp;"!$A$4"),0,0,200,100),MATCH(M$30,INDIRECT(""&amp;$S$29&amp;"!$A$4"):INDIRECT(""&amp;$S$29&amp;"!$AA$4"),0),FALSE)),"",VLOOKUP($K59,OFFSET(INDIRECT(""&amp;$S$29&amp;"!$A$4"),0,0,200,100),MATCH(M$30,INDIRECT(""&amp;$S$29&amp;"!$A$4"):INDIRECT(""&amp;$S$29&amp;"!$AA$4"),0),FALSE))</f>
        <v>-4379.2684929999996</v>
      </c>
      <c r="N59" s="90">
        <f ca="1">IF(ISERROR(VLOOKUP($K59,OFFSET(INDIRECT(""&amp;$S$29&amp;"!$A$4"),0,0,200,100),MATCH(N$30,INDIRECT(""&amp;$S$29&amp;"!$A$4"):INDIRECT(""&amp;$S$29&amp;"!$AA$4"),0),FALSE)),"",VLOOKUP($K59,OFFSET(INDIRECT(""&amp;$S$29&amp;"!$A$4"),0,0,200,100),MATCH(N$30,INDIRECT(""&amp;$S$29&amp;"!$A$4"):INDIRECT(""&amp;$S$29&amp;"!$AA$4"),0),FALSE))</f>
        <v>-4517.0554929999998</v>
      </c>
      <c r="O59" s="90">
        <f ca="1">IF(ISERROR(VLOOKUP($K59,OFFSET(INDIRECT(""&amp;$S$29&amp;"!$A$4"),0,0,200,100),MATCH(O$30,INDIRECT(""&amp;$S$29&amp;"!$A$4"):INDIRECT(""&amp;$S$29&amp;"!$AA$4"),0),FALSE)),"",VLOOKUP($K59,OFFSET(INDIRECT(""&amp;$S$29&amp;"!$A$4"),0,0,200,100),MATCH(O$30,INDIRECT(""&amp;$S$29&amp;"!$A$4"):INDIRECT(""&amp;$S$29&amp;"!$AA$4"),0),FALSE))</f>
        <v>-4654.8424930000001</v>
      </c>
      <c r="P59" s="90">
        <f ca="1">IF(ISERROR(VLOOKUP($K59,OFFSET(INDIRECT(""&amp;$S$29&amp;"!$A$4"),0,0,200,100),MATCH(P$30,INDIRECT(""&amp;$S$29&amp;"!$A$4"):INDIRECT(""&amp;$S$29&amp;"!$AA$4"),0),FALSE)),"",VLOOKUP($K59,OFFSET(INDIRECT(""&amp;$S$29&amp;"!$A$4"),0,0,200,100),MATCH(P$30,INDIRECT(""&amp;$S$29&amp;"!$A$4"):INDIRECT(""&amp;$S$29&amp;"!$AA$4"),0),FALSE))</f>
        <v>-4792.6294930000004</v>
      </c>
      <c r="Q59" s="90">
        <f ca="1">IF(ISERROR(VLOOKUP($K59,OFFSET(INDIRECT(""&amp;$S$29&amp;"!$A$4"),0,0,200,100),MATCH(Q$30,INDIRECT(""&amp;$S$29&amp;"!$A$4"):INDIRECT(""&amp;$S$29&amp;"!$AA$4"),0),FALSE)),"",VLOOKUP($K59,OFFSET(INDIRECT(""&amp;$S$29&amp;"!$A$4"),0,0,200,100),MATCH(Q$30,INDIRECT(""&amp;$S$29&amp;"!$A$4"):INDIRECT(""&amp;$S$29&amp;"!$AA$4"),0),FALSE))</f>
        <v>-5406.8330550000001</v>
      </c>
      <c r="R59" s="90">
        <f ca="1">IF(ISERROR(VLOOKUP($K59,OFFSET(INDIRECT(""&amp;$S$29&amp;"!$A$4"),0,0,200,100),MATCH(R$30,INDIRECT(""&amp;$S$29&amp;"!$A$4"):INDIRECT(""&amp;$S$29&amp;"!$AA$4"),0),FALSE)),"",VLOOKUP($K59,OFFSET(INDIRECT(""&amp;$S$29&amp;"!$A$4"),0,0,200,100),MATCH(R$30,INDIRECT(""&amp;$S$29&amp;"!$A$4"):INDIRECT(""&amp;$S$29&amp;"!$AA$4"),0),FALSE))</f>
        <v>-7242.1135469999999</v>
      </c>
      <c r="S59" s="90">
        <f ca="1">IF(ISERROR(VLOOKUP($K59,OFFSET(INDIRECT(""&amp;$S$29&amp;"!$A$4"),0,0,200,100),MATCH(S$30,INDIRECT(""&amp;$S$29&amp;"!$A$4"):INDIRECT(""&amp;$S$29&amp;"!$AA$4"),0),FALSE)),"",VLOOKUP($K59,OFFSET(INDIRECT(""&amp;$S$29&amp;"!$A$4"),0,0,200,100),MATCH(S$30,INDIRECT(""&amp;$S$29&amp;"!$A$4"):INDIRECT(""&amp;$S$29&amp;"!$AA$4"),0),FALSE))</f>
        <v>-9100.2627539999994</v>
      </c>
      <c r="T59" s="90">
        <f ca="1">IF(ISERROR(VLOOKUP($K59,OFFSET(INDIRECT(""&amp;$S$29&amp;"!$A$4"),0,0,200,100),MATCH(T$30,INDIRECT(""&amp;$S$29&amp;"!$A$4"):INDIRECT(""&amp;$S$29&amp;"!$AA$4"),0),FALSE)),"",VLOOKUP($K59,OFFSET(INDIRECT(""&amp;$S$29&amp;"!$A$4"),0,0,200,100),MATCH(T$30,INDIRECT(""&amp;$S$29&amp;"!$A$4"):INDIRECT(""&amp;$S$29&amp;"!$AA$4"),0),FALSE))</f>
        <v>-10213.332329000001</v>
      </c>
      <c r="U59" s="90">
        <f ca="1">IF(ISERROR(VLOOKUP($K59,OFFSET(INDIRECT(""&amp;$S$29&amp;"!$A$4"),0,0,200,100),MATCH(U$30,INDIRECT(""&amp;$S$29&amp;"!$A$4"):INDIRECT(""&amp;$S$29&amp;"!$AA$4"),0),FALSE)),"",VLOOKUP($K59,OFFSET(INDIRECT(""&amp;$S$29&amp;"!$A$4"),0,0,200,100),MATCH(U$30,INDIRECT(""&amp;$S$29&amp;"!$A$4"):INDIRECT(""&amp;$S$29&amp;"!$AA$4"),0),FALSE))</f>
        <v>-13003.960451000001</v>
      </c>
      <c r="V59" s="90">
        <f ca="1">IF(ISERROR(VLOOKUP($K59,OFFSET(INDIRECT(""&amp;$S$29&amp;"!$A$4"),0,0,200,100),MATCH(V$30,INDIRECT(""&amp;$S$29&amp;"!$A$4"):INDIRECT(""&amp;$S$29&amp;"!$AA$4"),0),FALSE)),"",VLOOKUP($K59,OFFSET(INDIRECT(""&amp;$S$29&amp;"!$A$4"),0,0,200,100),MATCH(V$30,INDIRECT(""&amp;$S$29&amp;"!$A$4"):INDIRECT(""&amp;$S$29&amp;"!$AA$4"),0),FALSE))</f>
        <v>-15384.015439000001</v>
      </c>
      <c r="W59" s="90">
        <f ca="1">IF(ISERROR(VLOOKUP($K59,OFFSET(INDIRECT(""&amp;$S$29&amp;"!$A$4"),0,0,200,100),MATCH(W$30,INDIRECT(""&amp;$S$29&amp;"!$A$4"):INDIRECT(""&amp;$S$29&amp;"!$AA$4"),0),FALSE)),"",VLOOKUP($K59,OFFSET(INDIRECT(""&amp;$S$29&amp;"!$A$4"),0,0,200,100),MATCH(W$30,INDIRECT(""&amp;$S$29&amp;"!$A$4"):INDIRECT(""&amp;$S$29&amp;"!$AA$4"),0),FALSE))</f>
        <v>-17774.474367999999</v>
      </c>
      <c r="X59" s="90">
        <f ca="1">IF(ISERROR(VLOOKUP($K59,OFFSET(INDIRECT(""&amp;$S$29&amp;"!$A$4"),0,0,200,100),MATCH(X$30,INDIRECT(""&amp;$S$29&amp;"!$A$4"):INDIRECT(""&amp;$S$29&amp;"!$AA$4"),0),FALSE)),"",VLOOKUP($K59,OFFSET(INDIRECT(""&amp;$S$29&amp;"!$A$4"),0,0,200,100),MATCH(X$30,INDIRECT(""&amp;$S$29&amp;"!$A$4"):INDIRECT(""&amp;$S$29&amp;"!$AA$4"),0),FALSE))</f>
        <v>-20309.45578</v>
      </c>
      <c r="Y59" s="90">
        <f ca="1">IF(ISERROR(VLOOKUP($K59,OFFSET(INDIRECT(""&amp;$S$29&amp;"!$A$4"),0,0,200,100),MATCH(Y$30,INDIRECT(""&amp;$S$29&amp;"!$A$4"):INDIRECT(""&amp;$S$29&amp;"!$AA$4"),0),FALSE)),"",VLOOKUP($K59,OFFSET(INDIRECT(""&amp;$S$29&amp;"!$A$4"),0,0,200,100),MATCH(Y$30,INDIRECT(""&amp;$S$29&amp;"!$A$4"):INDIRECT(""&amp;$S$29&amp;"!$AA$4"),0),FALSE))</f>
        <v>-22844.437192000001</v>
      </c>
      <c r="Z59" s="90">
        <f ca="1">IF(ISERROR(VLOOKUP($K59,OFFSET(INDIRECT(""&amp;$S$29&amp;"!$A$4"),0,0,200,100),MATCH(Z$30,INDIRECT(""&amp;$S$29&amp;"!$A$4"):INDIRECT(""&amp;$S$29&amp;"!$AA$4"),0),FALSE)),"",VLOOKUP($K59,OFFSET(INDIRECT(""&amp;$S$29&amp;"!$A$4"),0,0,200,100),MATCH(Z$30,INDIRECT(""&amp;$S$29&amp;"!$A$4"):INDIRECT(""&amp;$S$29&amp;"!$AA$4"),0),FALSE))</f>
        <v>-22075.146186999998</v>
      </c>
      <c r="AA59" s="90">
        <f t="shared" ca="1" si="61"/>
        <v>-22844.437192000001</v>
      </c>
      <c r="AB59" s="119"/>
      <c r="AC59" s="87">
        <f t="shared" ca="1" si="48"/>
        <v>-1.1764025025546547E-2</v>
      </c>
      <c r="AD59" s="87">
        <f t="shared" ca="1" si="49"/>
        <v>-1.2344698355981128E-2</v>
      </c>
      <c r="AE59" s="87">
        <f t="shared" ca="1" si="50"/>
        <v>-2.1433598579216201E-2</v>
      </c>
      <c r="AF59" s="87">
        <f t="shared" ca="1" si="51"/>
        <v>-4.8538621694125213E-2</v>
      </c>
      <c r="AG59" s="87">
        <f t="shared" ca="1" si="62"/>
        <v>-6.8978836123638768E-2</v>
      </c>
      <c r="AH59" s="87">
        <f t="shared" ca="1" si="62"/>
        <v>-6.8978836123638768E-2</v>
      </c>
      <c r="AI59" s="147"/>
      <c r="AJ59" s="87">
        <f t="shared" ca="1" si="53"/>
        <v>-1.1880826766111066E-2</v>
      </c>
      <c r="AK59" s="87">
        <f t="shared" ca="1" si="54"/>
        <v>-1.2324194218931687E-2</v>
      </c>
      <c r="AL59" s="87">
        <f t="shared" ca="1" si="55"/>
        <v>-1.3068182953064418E-2</v>
      </c>
      <c r="AM59" s="87">
        <f t="shared" ca="1" si="56"/>
        <v>-1.822428634504725E-2</v>
      </c>
      <c r="AN59" s="87">
        <f t="shared" ca="1" si="57"/>
        <v>-2.2580493161227327E-2</v>
      </c>
      <c r="AO59" s="87">
        <f t="shared" ca="1" si="63"/>
        <v>-2.6926799276255464E-2</v>
      </c>
      <c r="AP59" s="87">
        <f t="shared" ca="1" si="63"/>
        <v>-3.5279553906911669E-2</v>
      </c>
      <c r="AQ59" s="87">
        <f t="shared" ca="1" si="63"/>
        <v>-4.2613407083684197E-2</v>
      </c>
      <c r="AR59" s="87">
        <f t="shared" ca="1" si="63"/>
        <v>-4.8454102927987665E-2</v>
      </c>
      <c r="AS59" s="87">
        <f t="shared" ca="1" si="63"/>
        <v>-5.5080456405484556E-2</v>
      </c>
      <c r="AT59" s="87">
        <f t="shared" ca="1" si="59"/>
        <v>-6.7541879101311597E-2</v>
      </c>
      <c r="AU59" s="87">
        <f t="shared" ca="1" si="59"/>
        <v>-6.5548644656284585E-2</v>
      </c>
      <c r="AV59" s="87">
        <f t="shared" ca="1" si="60"/>
        <v>-6.7541879101311597E-2</v>
      </c>
    </row>
    <row r="60" spans="1:48" s="108" customFormat="1" ht="15.95" customHeight="1">
      <c r="A60" s="113" t="s">
        <v>257</v>
      </c>
      <c r="B60" s="111" t="s">
        <v>151</v>
      </c>
      <c r="C60" s="90">
        <f ca="1">IF(ISERROR(VLOOKUP($B60,OFFSET(INDIRECT(""&amp;$B$29&amp;"!$A$4"),0,0,200,100),MATCH(C$30,INDIRECT(""&amp;$B$29&amp;"!$A$4"):INDIRECT(""&amp;$B$29&amp;"!$o$4"),0),FALSE)),"",VLOOKUP($B60,OFFSET(INDIRECT(""&amp;$B$29&amp;"!$A$4"),0,0,200,100),MATCH(C$30,INDIRECT(""&amp;$B$29&amp;"!$A$4"):INDIRECT(""&amp;$B$29&amp;"!$o$4"),0),FALSE))</f>
        <v>32717.075862000002</v>
      </c>
      <c r="D60" s="90">
        <f ca="1">IF(ISERROR(VLOOKUP($B60,OFFSET(INDIRECT(""&amp;$B$29&amp;"!$A$4"),0,0,200,100),MATCH(D$30,INDIRECT(""&amp;$B$29&amp;"!$A$4"):INDIRECT(""&amp;$B$29&amp;"!$o$4"),0),FALSE)),"",VLOOKUP($B60,OFFSET(INDIRECT(""&amp;$B$29&amp;"!$A$4"),0,0,200,100),MATCH(D$30,INDIRECT(""&amp;$B$29&amp;"!$A$4"):INDIRECT(""&amp;$B$29&amp;"!$o$4"),0),FALSE))</f>
        <v>89252.915775999994</v>
      </c>
      <c r="E60" s="90">
        <f ca="1">IF(ISERROR(VLOOKUP($B60,OFFSET(INDIRECT(""&amp;$B$29&amp;"!$A$4"),0,0,200,100),MATCH(E$30,INDIRECT(""&amp;$B$29&amp;"!$A$4"):INDIRECT(""&amp;$B$29&amp;"!$o$4"),0),FALSE)),"",VLOOKUP($B60,OFFSET(INDIRECT(""&amp;$B$29&amp;"!$A$4"),0,0,200,100),MATCH(E$30,INDIRECT(""&amp;$B$29&amp;"!$A$4"):INDIRECT(""&amp;$B$29&amp;"!$o$4"),0),FALSE))</f>
        <v>126106.663202</v>
      </c>
      <c r="F60" s="90">
        <f ca="1">IF(ISERROR(VLOOKUP($B60,OFFSET(INDIRECT(""&amp;$B$29&amp;"!$A$4"),0,0,200,100),MATCH(F$30,INDIRECT(""&amp;$B$29&amp;"!$A$4"):INDIRECT(""&amp;$B$29&amp;"!$o$4"),0),FALSE)),"",VLOOKUP($B60,OFFSET(INDIRECT(""&amp;$B$29&amp;"!$A$4"),0,0,200,100),MATCH(F$30,INDIRECT(""&amp;$B$29&amp;"!$A$4"):INDIRECT(""&amp;$B$29&amp;"!$o$4"),0),FALSE))</f>
        <v>152340.27114</v>
      </c>
      <c r="G60" s="90">
        <f ca="1">IF(ISERROR(VLOOKUP($B60,OFFSET(INDIRECT(""&amp;$B$29&amp;"!$A$4"),0,0,200,100),MATCH(G$30,INDIRECT(""&amp;$B$29&amp;"!$A$4"):INDIRECT(""&amp;$B$29&amp;"!$o$4"),0),FALSE)),"",VLOOKUP($B60,OFFSET(INDIRECT(""&amp;$B$29&amp;"!$A$4"),0,0,200,100),MATCH(G$30,INDIRECT(""&amp;$B$29&amp;"!$A$4"):INDIRECT(""&amp;$B$29&amp;"!$o$4"),0),FALSE))</f>
        <v>40904.411311999997</v>
      </c>
      <c r="H60" s="90">
        <f ca="1">IF(ISERROR(VLOOKUP($B60,OFFSET(INDIRECT(""&amp;$B$29&amp;"!$A$4"),0,0,200,100),MATCH(H$30,INDIRECT(""&amp;$B$29&amp;"!$A$4"):INDIRECT(""&amp;$B$29&amp;"!$o$4"),0),FALSE)),"",VLOOKUP($B60,OFFSET(INDIRECT(""&amp;$B$29&amp;"!$A$4"),0,0,200,100),MATCH(H$30,INDIRECT(""&amp;$B$29&amp;"!$A$4"):INDIRECT(""&amp;$B$29&amp;"!$o$4"),0),FALSE))</f>
        <v>41969.538113000002</v>
      </c>
      <c r="I60" s="90">
        <f ca="1">IF(ISERROR(VLOOKUP($B60,OFFSET(INDIRECT(""&amp;$B$29&amp;"!$A$4"),0,0,200,100),MATCH(I$30,INDIRECT(""&amp;$B$29&amp;"!$A$4"):INDIRECT(""&amp;$B$29&amp;"!$o$4"),0),FALSE)),"",VLOOKUP($B60,OFFSET(INDIRECT(""&amp;$B$29&amp;"!$A$4"),0,0,200,100),MATCH(I$30,INDIRECT(""&amp;$B$29&amp;"!$A$4"):INDIRECT(""&amp;$B$29&amp;"!$o$4"),0),FALSE))</f>
        <v>37895.635010999998</v>
      </c>
      <c r="J60" s="90">
        <f ca="1">IF(ISERROR(VLOOKUP($B60,OFFSET(INDIRECT(""&amp;$B$29&amp;"!$A$4"),0,0,200,100),MATCH(J$30,INDIRECT(""&amp;$B$29&amp;"!$A$4"):INDIRECT(""&amp;$B$29&amp;"!$o$4"),0),FALSE)),"",VLOOKUP($B60,OFFSET(INDIRECT(""&amp;$B$29&amp;"!$A$4"),0,0,200,100),MATCH(J$30,INDIRECT(""&amp;$B$29&amp;"!$A$4"):INDIRECT(""&amp;$B$29&amp;"!$o$4"),0),FALSE))</f>
        <v>37895.635010999998</v>
      </c>
      <c r="K60" s="109" t="s">
        <v>151</v>
      </c>
      <c r="L60" s="90">
        <f ca="1">IF(ISERROR(VLOOKUP($K60,OFFSET(INDIRECT(""&amp;$S$29&amp;"!$A$4"),0,0,200,100),MATCH(L$30,INDIRECT(""&amp;$S$29&amp;"!$A$4"):INDIRECT(""&amp;$S$29&amp;"!$AA$4"),0),FALSE)),"",VLOOKUP($K60,OFFSET(INDIRECT(""&amp;$S$29&amp;"!$A$4"),0,0,200,100),MATCH(L$30,INDIRECT(""&amp;$S$29&amp;"!$A$4"):INDIRECT(""&amp;$S$29&amp;"!$AA$4"),0),FALSE))</f>
        <v>127710.990621</v>
      </c>
      <c r="M60" s="90">
        <f ca="1">IF(ISERROR(VLOOKUP($K60,OFFSET(INDIRECT(""&amp;$S$29&amp;"!$A$4"),0,0,200,100),MATCH(M$30,INDIRECT(""&amp;$S$29&amp;"!$A$4"):INDIRECT(""&amp;$S$29&amp;"!$AA$4"),0),FALSE)),"",VLOOKUP($K60,OFFSET(INDIRECT(""&amp;$S$29&amp;"!$A$4"),0,0,200,100),MATCH(M$30,INDIRECT(""&amp;$S$29&amp;"!$A$4"):INDIRECT(""&amp;$S$29&amp;"!$AA$4"),0),FALSE))</f>
        <v>138309.85711499999</v>
      </c>
      <c r="N60" s="90">
        <f ca="1">IF(ISERROR(VLOOKUP($K60,OFFSET(INDIRECT(""&amp;$S$29&amp;"!$A$4"),0,0,200,100),MATCH(N$30,INDIRECT(""&amp;$S$29&amp;"!$A$4"):INDIRECT(""&amp;$S$29&amp;"!$AA$4"),0),FALSE)),"",VLOOKUP($K60,OFFSET(INDIRECT(""&amp;$S$29&amp;"!$A$4"),0,0,200,100),MATCH(N$30,INDIRECT(""&amp;$S$29&amp;"!$A$4"):INDIRECT(""&amp;$S$29&amp;"!$AA$4"),0),FALSE))</f>
        <v>153410.26242099999</v>
      </c>
      <c r="O60" s="90">
        <f ca="1">IF(ISERROR(VLOOKUP($K60,OFFSET(INDIRECT(""&amp;$S$29&amp;"!$A$4"),0,0,200,100),MATCH(O$30,INDIRECT(""&amp;$S$29&amp;"!$A$4"):INDIRECT(""&amp;$S$29&amp;"!$AA$4"),0),FALSE)),"",VLOOKUP($K60,OFFSET(INDIRECT(""&amp;$S$29&amp;"!$A$4"),0,0,200,100),MATCH(O$30,INDIRECT(""&amp;$S$29&amp;"!$A$4"):INDIRECT(""&amp;$S$29&amp;"!$AA$4"),0),FALSE))</f>
        <v>152340.27114</v>
      </c>
      <c r="P60" s="90">
        <f ca="1">IF(ISERROR(VLOOKUP($K60,OFFSET(INDIRECT(""&amp;$S$29&amp;"!$A$4"),0,0,200,100),MATCH(P$30,INDIRECT(""&amp;$S$29&amp;"!$A$4"):INDIRECT(""&amp;$S$29&amp;"!$AA$4"),0),FALSE)),"",VLOOKUP($K60,OFFSET(INDIRECT(""&amp;$S$29&amp;"!$A$4"),0,0,200,100),MATCH(P$30,INDIRECT(""&amp;$S$29&amp;"!$A$4"):INDIRECT(""&amp;$S$29&amp;"!$AA$4"),0),FALSE))</f>
        <v>153385.20321499999</v>
      </c>
      <c r="Q60" s="90">
        <f ca="1">IF(ISERROR(VLOOKUP($K60,OFFSET(INDIRECT(""&amp;$S$29&amp;"!$A$4"),0,0,200,100),MATCH(Q$30,INDIRECT(""&amp;$S$29&amp;"!$A$4"):INDIRECT(""&amp;$S$29&amp;"!$AA$4"),0),FALSE)),"",VLOOKUP($K60,OFFSET(INDIRECT(""&amp;$S$29&amp;"!$A$4"),0,0,200,100),MATCH(Q$30,INDIRECT(""&amp;$S$29&amp;"!$A$4"):INDIRECT(""&amp;$S$29&amp;"!$AA$4"),0),FALSE))</f>
        <v>95499.083492999998</v>
      </c>
      <c r="R60" s="90">
        <f ca="1">IF(ISERROR(VLOOKUP($K60,OFFSET(INDIRECT(""&amp;$S$29&amp;"!$A$4"),0,0,200,100),MATCH(R$30,INDIRECT(""&amp;$S$29&amp;"!$A$4"):INDIRECT(""&amp;$S$29&amp;"!$AA$4"),0),FALSE)),"",VLOOKUP($K60,OFFSET(INDIRECT(""&amp;$S$29&amp;"!$A$4"),0,0,200,100),MATCH(R$30,INDIRECT(""&amp;$S$29&amp;"!$A$4"):INDIRECT(""&amp;$S$29&amp;"!$AA$4"),0),FALSE))</f>
        <v>104419.94456800001</v>
      </c>
      <c r="S60" s="90">
        <f ca="1">IF(ISERROR(VLOOKUP($K60,OFFSET(INDIRECT(""&amp;$S$29&amp;"!$A$4"),0,0,200,100),MATCH(S$30,INDIRECT(""&amp;$S$29&amp;"!$A$4"):INDIRECT(""&amp;$S$29&amp;"!$AA$4"),0),FALSE)),"",VLOOKUP($K60,OFFSET(INDIRECT(""&amp;$S$29&amp;"!$A$4"),0,0,200,100),MATCH(S$30,INDIRECT(""&amp;$S$29&amp;"!$A$4"):INDIRECT(""&amp;$S$29&amp;"!$AA$4"),0),FALSE))</f>
        <v>103983.67254</v>
      </c>
      <c r="T60" s="90">
        <f ca="1">IF(ISERROR(VLOOKUP($K60,OFFSET(INDIRECT(""&amp;$S$29&amp;"!$A$4"),0,0,200,100),MATCH(T$30,INDIRECT(""&amp;$S$29&amp;"!$A$4"):INDIRECT(""&amp;$S$29&amp;"!$AA$4"),0),FALSE)),"",VLOOKUP($K60,OFFSET(INDIRECT(""&amp;$S$29&amp;"!$A$4"),0,0,200,100),MATCH(T$30,INDIRECT(""&amp;$S$29&amp;"!$A$4"):INDIRECT(""&amp;$S$29&amp;"!$AA$4"),0),FALSE))</f>
        <v>42221.361418</v>
      </c>
      <c r="U60" s="90">
        <f ca="1">IF(ISERROR(VLOOKUP($K60,OFFSET(INDIRECT(""&amp;$S$29&amp;"!$A$4"),0,0,200,100),MATCH(U$30,INDIRECT(""&amp;$S$29&amp;"!$A$4"):INDIRECT(""&amp;$S$29&amp;"!$AA$4"),0),FALSE)),"",VLOOKUP($K60,OFFSET(INDIRECT(""&amp;$S$29&amp;"!$A$4"),0,0,200,100),MATCH(U$30,INDIRECT(""&amp;$S$29&amp;"!$A$4"):INDIRECT(""&amp;$S$29&amp;"!$AA$4"),0),FALSE))</f>
        <v>42213.361418</v>
      </c>
      <c r="V60" s="90">
        <f ca="1">IF(ISERROR(VLOOKUP($K60,OFFSET(INDIRECT(""&amp;$S$29&amp;"!$A$4"),0,0,200,100),MATCH(V$30,INDIRECT(""&amp;$S$29&amp;"!$A$4"):INDIRECT(""&amp;$S$29&amp;"!$AA$4"),0),FALSE)),"",VLOOKUP($K60,OFFSET(INDIRECT(""&amp;$S$29&amp;"!$A$4"),0,0,200,100),MATCH(V$30,INDIRECT(""&amp;$S$29&amp;"!$A$4"):INDIRECT(""&amp;$S$29&amp;"!$AA$4"),0),FALSE))</f>
        <v>41969.538113000002</v>
      </c>
      <c r="W60" s="90">
        <f ca="1">IF(ISERROR(VLOOKUP($K60,OFFSET(INDIRECT(""&amp;$S$29&amp;"!$A$4"),0,0,200,100),MATCH(W$30,INDIRECT(""&amp;$S$29&amp;"!$A$4"):INDIRECT(""&amp;$S$29&amp;"!$AA$4"),0),FALSE)),"",VLOOKUP($K60,OFFSET(INDIRECT(""&amp;$S$29&amp;"!$A$4"),0,0,200,100),MATCH(W$30,INDIRECT(""&amp;$S$29&amp;"!$A$4"):INDIRECT(""&amp;$S$29&amp;"!$AA$4"),0),FALSE))</f>
        <v>41969.538113000002</v>
      </c>
      <c r="X60" s="90">
        <f ca="1">IF(ISERROR(VLOOKUP($K60,OFFSET(INDIRECT(""&amp;$S$29&amp;"!$A$4"),0,0,200,100),MATCH(X$30,INDIRECT(""&amp;$S$29&amp;"!$A$4"):INDIRECT(""&amp;$S$29&amp;"!$AA$4"),0),FALSE)),"",VLOOKUP($K60,OFFSET(INDIRECT(""&amp;$S$29&amp;"!$A$4"),0,0,200,100),MATCH(X$30,INDIRECT(""&amp;$S$29&amp;"!$A$4"):INDIRECT(""&amp;$S$29&amp;"!$AA$4"),0),FALSE))</f>
        <v>33312.545158000001</v>
      </c>
      <c r="Y60" s="90">
        <f ca="1">IF(ISERROR(VLOOKUP($K60,OFFSET(INDIRECT(""&amp;$S$29&amp;"!$A$4"),0,0,200,100),MATCH(Y$30,INDIRECT(""&amp;$S$29&amp;"!$A$4"):INDIRECT(""&amp;$S$29&amp;"!$AA$4"),0),FALSE)),"",VLOOKUP($K60,OFFSET(INDIRECT(""&amp;$S$29&amp;"!$A$4"),0,0,200,100),MATCH(Y$30,INDIRECT(""&amp;$S$29&amp;"!$A$4"):INDIRECT(""&amp;$S$29&amp;"!$AA$4"),0),FALSE))</f>
        <v>33312.545158000001</v>
      </c>
      <c r="Z60" s="90">
        <f ca="1">IF(ISERROR(VLOOKUP($K60,OFFSET(INDIRECT(""&amp;$S$29&amp;"!$A$4"),0,0,200,100),MATCH(Z$30,INDIRECT(""&amp;$S$29&amp;"!$A$4"):INDIRECT(""&amp;$S$29&amp;"!$AA$4"),0),FALSE)),"",VLOOKUP($K60,OFFSET(INDIRECT(""&amp;$S$29&amp;"!$A$4"),0,0,200,100),MATCH(Z$30,INDIRECT(""&amp;$S$29&amp;"!$A$4"):INDIRECT(""&amp;$S$29&amp;"!$AA$4"),0),FALSE))</f>
        <v>33312.545158000001</v>
      </c>
      <c r="AA60" s="90">
        <f t="shared" ca="1" si="61"/>
        <v>33312.545158000001</v>
      </c>
      <c r="AB60" s="110"/>
      <c r="AC60" s="87">
        <f t="shared" ca="1" si="48"/>
        <v>0.36150886581032282</v>
      </c>
      <c r="AD60" s="87">
        <f t="shared" ca="1" si="49"/>
        <v>0.40400823390259388</v>
      </c>
      <c r="AE60" s="87">
        <f t="shared" ca="1" si="50"/>
        <v>0.1071794762843214</v>
      </c>
      <c r="AF60" s="87">
        <f t="shared" ca="1" si="51"/>
        <v>0.11461062031806786</v>
      </c>
      <c r="AG60" s="87">
        <f t="shared" ca="1" si="62"/>
        <v>0.11119272493201926</v>
      </c>
      <c r="AH60" s="87">
        <f t="shared" ca="1" si="62"/>
        <v>0.11119272493201926</v>
      </c>
      <c r="AI60" s="145"/>
      <c r="AJ60" s="87">
        <f t="shared" ca="1" si="53"/>
        <v>0.38882698472365457</v>
      </c>
      <c r="AK60" s="87">
        <f t="shared" ca="1" si="54"/>
        <v>0.39442836912241253</v>
      </c>
      <c r="AL60" s="87">
        <f t="shared" ca="1" si="55"/>
        <v>0.23081894377752304</v>
      </c>
      <c r="AM60" s="87">
        <f t="shared" ca="1" si="56"/>
        <v>0.26276569092588864</v>
      </c>
      <c r="AN60" s="87">
        <f t="shared" ca="1" si="57"/>
        <v>0.25801481453232905</v>
      </c>
      <c r="AO60" s="87">
        <f t="shared" ca="1" si="63"/>
        <v>0.11131392648848004</v>
      </c>
      <c r="AP60" s="87">
        <f t="shared" ca="1" si="63"/>
        <v>0.11452423016433827</v>
      </c>
      <c r="AQ60" s="87">
        <f t="shared" ca="1" si="63"/>
        <v>0.11625475935167957</v>
      </c>
      <c r="AR60" s="87">
        <f t="shared" ca="1" si="63"/>
        <v>0.11441105247132129</v>
      </c>
      <c r="AS60" s="87">
        <f t="shared" ca="1" si="63"/>
        <v>9.0345610990613889E-2</v>
      </c>
      <c r="AT60" s="87">
        <f t="shared" ca="1" si="59"/>
        <v>9.8491894490907145E-2</v>
      </c>
      <c r="AU60" s="87">
        <f t="shared" ca="1" si="59"/>
        <v>9.8916318227785419E-2</v>
      </c>
      <c r="AV60" s="87">
        <f t="shared" ca="1" si="60"/>
        <v>9.8491894490907145E-2</v>
      </c>
    </row>
    <row r="61" spans="1:48" s="108" customFormat="1" ht="15.95" customHeight="1">
      <c r="A61" s="85" t="s">
        <v>258</v>
      </c>
      <c r="B61" s="116" t="s">
        <v>152</v>
      </c>
      <c r="C61" s="76">
        <f ca="1">IF(ISERROR(VLOOKUP($B61,OFFSET(INDIRECT(""&amp;$B$29&amp;"!$A$4"),0,0,200,100),MATCH(C$30,INDIRECT(""&amp;$B$29&amp;"!$A$4"):INDIRECT(""&amp;$B$29&amp;"!$o$4"),0),FALSE)),"",VLOOKUP($B61,OFFSET(INDIRECT(""&amp;$B$29&amp;"!$A$4"),0,0,200,100),MATCH(C$30,INDIRECT(""&amp;$B$29&amp;"!$A$4"):INDIRECT(""&amp;$B$29&amp;"!$o$4"),0),FALSE))</f>
        <v>0</v>
      </c>
      <c r="D61" s="76">
        <f ca="1">IF(ISERROR(VLOOKUP($B61,OFFSET(INDIRECT(""&amp;$B$29&amp;"!$A$4"),0,0,200,100),MATCH(D$30,INDIRECT(""&amp;$B$29&amp;"!$A$4"):INDIRECT(""&amp;$B$29&amp;"!$o$4"),0),FALSE)),"",VLOOKUP($B61,OFFSET(INDIRECT(""&amp;$B$29&amp;"!$A$4"),0,0,200,100),MATCH(D$30,INDIRECT(""&amp;$B$29&amp;"!$A$4"):INDIRECT(""&amp;$B$29&amp;"!$o$4"),0),FALSE))</f>
        <v>0</v>
      </c>
      <c r="E61" s="76">
        <f ca="1">IF(ISERROR(VLOOKUP($B61,OFFSET(INDIRECT(""&amp;$B$29&amp;"!$A$4"),0,0,200,100),MATCH(E$30,INDIRECT(""&amp;$B$29&amp;"!$A$4"):INDIRECT(""&amp;$B$29&amp;"!$o$4"),0),FALSE)),"",VLOOKUP($B61,OFFSET(INDIRECT(""&amp;$B$29&amp;"!$A$4"),0,0,200,100),MATCH(E$30,INDIRECT(""&amp;$B$29&amp;"!$A$4"):INDIRECT(""&amp;$B$29&amp;"!$o$4"),0),FALSE))</f>
        <v>0</v>
      </c>
      <c r="F61" s="76">
        <f ca="1">IF(ISERROR(VLOOKUP($B61,OFFSET(INDIRECT(""&amp;$B$29&amp;"!$A$4"),0,0,200,100),MATCH(F$30,INDIRECT(""&amp;$B$29&amp;"!$A$4"):INDIRECT(""&amp;$B$29&amp;"!$o$4"),0),FALSE)),"",VLOOKUP($B61,OFFSET(INDIRECT(""&amp;$B$29&amp;"!$A$4"),0,0,200,100),MATCH(F$30,INDIRECT(""&amp;$B$29&amp;"!$A$4"):INDIRECT(""&amp;$B$29&amp;"!$o$4"),0),FALSE))</f>
        <v>0</v>
      </c>
      <c r="G61" s="76">
        <f ca="1">IF(ISERROR(VLOOKUP($B61,OFFSET(INDIRECT(""&amp;$B$29&amp;"!$A$4"),0,0,200,100),MATCH(G$30,INDIRECT(""&amp;$B$29&amp;"!$A$4"):INDIRECT(""&amp;$B$29&amp;"!$o$4"),0),FALSE)),"",VLOOKUP($B61,OFFSET(INDIRECT(""&amp;$B$29&amp;"!$A$4"),0,0,200,100),MATCH(G$30,INDIRECT(""&amp;$B$29&amp;"!$A$4"):INDIRECT(""&amp;$B$29&amp;"!$o$4"),0),FALSE))</f>
        <v>0</v>
      </c>
      <c r="H61" s="76">
        <f ca="1">IF(ISERROR(VLOOKUP($B61,OFFSET(INDIRECT(""&amp;$B$29&amp;"!$A$4"),0,0,200,100),MATCH(H$30,INDIRECT(""&amp;$B$29&amp;"!$A$4"):INDIRECT(""&amp;$B$29&amp;"!$o$4"),0),FALSE)),"",VLOOKUP($B61,OFFSET(INDIRECT(""&amp;$B$29&amp;"!$A$4"),0,0,200,100),MATCH(H$30,INDIRECT(""&amp;$B$29&amp;"!$A$4"):INDIRECT(""&amp;$B$29&amp;"!$o$4"),0),FALSE))</f>
        <v>0</v>
      </c>
      <c r="I61" s="76">
        <f ca="1">IF(ISERROR(VLOOKUP($B61,OFFSET(INDIRECT(""&amp;$B$29&amp;"!$A$4"),0,0,200,100),MATCH(I$30,INDIRECT(""&amp;$B$29&amp;"!$A$4"):INDIRECT(""&amp;$B$29&amp;"!$o$4"),0),FALSE)),"",VLOOKUP($B61,OFFSET(INDIRECT(""&amp;$B$29&amp;"!$A$4"),0,0,200,100),MATCH(I$30,INDIRECT(""&amp;$B$29&amp;"!$A$4"):INDIRECT(""&amp;$B$29&amp;"!$o$4"),0),FALSE))</f>
        <v>0</v>
      </c>
      <c r="J61" s="76">
        <f ca="1">IF(ISERROR(VLOOKUP($B61,OFFSET(INDIRECT(""&amp;$B$29&amp;"!$A$4"),0,0,200,100),MATCH(J$30,INDIRECT(""&amp;$B$29&amp;"!$A$4"):INDIRECT(""&amp;$B$29&amp;"!$o$4"),0),FALSE)),"",VLOOKUP($B61,OFFSET(INDIRECT(""&amp;$B$29&amp;"!$A$4"),0,0,200,100),MATCH(J$30,INDIRECT(""&amp;$B$29&amp;"!$A$4"):INDIRECT(""&amp;$B$29&amp;"!$o$4"),0),FALSE))</f>
        <v>0</v>
      </c>
      <c r="K61" s="109" t="s">
        <v>152</v>
      </c>
      <c r="L61" s="76">
        <f ca="1">IF(ISERROR(VLOOKUP($K61,OFFSET(INDIRECT(""&amp;$S$29&amp;"!$A$4"),0,0,200,100),MATCH(L$30,INDIRECT(""&amp;$S$29&amp;"!$A$4"):INDIRECT(""&amp;$S$29&amp;"!$AA$4"),0),FALSE)),"",VLOOKUP($K61,OFFSET(INDIRECT(""&amp;$S$29&amp;"!$A$4"),0,0,200,100),MATCH(L$30,INDIRECT(""&amp;$S$29&amp;"!$A$4"):INDIRECT(""&amp;$S$29&amp;"!$AA$4"),0),FALSE))</f>
        <v>0</v>
      </c>
      <c r="M61" s="76">
        <f ca="1">IF(ISERROR(VLOOKUP($K61,OFFSET(INDIRECT(""&amp;$S$29&amp;"!$A$4"),0,0,200,100),MATCH(M$30,INDIRECT(""&amp;$S$29&amp;"!$A$4"):INDIRECT(""&amp;$S$29&amp;"!$AA$4"),0),FALSE)),"",VLOOKUP($K61,OFFSET(INDIRECT(""&amp;$S$29&amp;"!$A$4"),0,0,200,100),MATCH(M$30,INDIRECT(""&amp;$S$29&amp;"!$A$4"):INDIRECT(""&amp;$S$29&amp;"!$AA$4"),0),FALSE))</f>
        <v>0</v>
      </c>
      <c r="N61" s="76">
        <f ca="1">IF(ISERROR(VLOOKUP($K61,OFFSET(INDIRECT(""&amp;$S$29&amp;"!$A$4"),0,0,200,100),MATCH(N$30,INDIRECT(""&amp;$S$29&amp;"!$A$4"):INDIRECT(""&amp;$S$29&amp;"!$AA$4"),0),FALSE)),"",VLOOKUP($K61,OFFSET(INDIRECT(""&amp;$S$29&amp;"!$A$4"),0,0,200,100),MATCH(N$30,INDIRECT(""&amp;$S$29&amp;"!$A$4"):INDIRECT(""&amp;$S$29&amp;"!$AA$4"),0),FALSE))</f>
        <v>0</v>
      </c>
      <c r="O61" s="76">
        <f ca="1">IF(ISERROR(VLOOKUP($K61,OFFSET(INDIRECT(""&amp;$S$29&amp;"!$A$4"),0,0,200,100),MATCH(O$30,INDIRECT(""&amp;$S$29&amp;"!$A$4"):INDIRECT(""&amp;$S$29&amp;"!$AA$4"),0),FALSE)),"",VLOOKUP($K61,OFFSET(INDIRECT(""&amp;$S$29&amp;"!$A$4"),0,0,200,100),MATCH(O$30,INDIRECT(""&amp;$S$29&amp;"!$A$4"):INDIRECT(""&amp;$S$29&amp;"!$AA$4"),0),FALSE))</f>
        <v>0</v>
      </c>
      <c r="P61" s="76">
        <f ca="1">IF(ISERROR(VLOOKUP($K61,OFFSET(INDIRECT(""&amp;$S$29&amp;"!$A$4"),0,0,200,100),MATCH(P$30,INDIRECT(""&amp;$S$29&amp;"!$A$4"):INDIRECT(""&amp;$S$29&amp;"!$AA$4"),0),FALSE)),"",VLOOKUP($K61,OFFSET(INDIRECT(""&amp;$S$29&amp;"!$A$4"),0,0,200,100),MATCH(P$30,INDIRECT(""&amp;$S$29&amp;"!$A$4"):INDIRECT(""&amp;$S$29&amp;"!$AA$4"),0),FALSE))</f>
        <v>0</v>
      </c>
      <c r="Q61" s="76">
        <f ca="1">IF(ISERROR(VLOOKUP($K61,OFFSET(INDIRECT(""&amp;$S$29&amp;"!$A$4"),0,0,200,100),MATCH(Q$30,INDIRECT(""&amp;$S$29&amp;"!$A$4"):INDIRECT(""&amp;$S$29&amp;"!$AA$4"),0),FALSE)),"",VLOOKUP($K61,OFFSET(INDIRECT(""&amp;$S$29&amp;"!$A$4"),0,0,200,100),MATCH(Q$30,INDIRECT(""&amp;$S$29&amp;"!$A$4"):INDIRECT(""&amp;$S$29&amp;"!$AA$4"),0),FALSE))</f>
        <v>0</v>
      </c>
      <c r="R61" s="76">
        <f ca="1">IF(ISERROR(VLOOKUP($K61,OFFSET(INDIRECT(""&amp;$S$29&amp;"!$A$4"),0,0,200,100),MATCH(R$30,INDIRECT(""&amp;$S$29&amp;"!$A$4"):INDIRECT(""&amp;$S$29&amp;"!$AA$4"),0),FALSE)),"",VLOOKUP($K61,OFFSET(INDIRECT(""&amp;$S$29&amp;"!$A$4"),0,0,200,100),MATCH(R$30,INDIRECT(""&amp;$S$29&amp;"!$A$4"):INDIRECT(""&amp;$S$29&amp;"!$AA$4"),0),FALSE))</f>
        <v>0</v>
      </c>
      <c r="S61" s="76">
        <f ca="1">IF(ISERROR(VLOOKUP($K61,OFFSET(INDIRECT(""&amp;$S$29&amp;"!$A$4"),0,0,200,100),MATCH(S$30,INDIRECT(""&amp;$S$29&amp;"!$A$4"):INDIRECT(""&amp;$S$29&amp;"!$AA$4"),0),FALSE)),"",VLOOKUP($K61,OFFSET(INDIRECT(""&amp;$S$29&amp;"!$A$4"),0,0,200,100),MATCH(S$30,INDIRECT(""&amp;$S$29&amp;"!$A$4"):INDIRECT(""&amp;$S$29&amp;"!$AA$4"),0),FALSE))</f>
        <v>0</v>
      </c>
      <c r="T61" s="76">
        <f ca="1">IF(ISERROR(VLOOKUP($K61,OFFSET(INDIRECT(""&amp;$S$29&amp;"!$A$4"),0,0,200,100),MATCH(T$30,INDIRECT(""&amp;$S$29&amp;"!$A$4"):INDIRECT(""&amp;$S$29&amp;"!$AA$4"),0),FALSE)),"",VLOOKUP($K61,OFFSET(INDIRECT(""&amp;$S$29&amp;"!$A$4"),0,0,200,100),MATCH(T$30,INDIRECT(""&amp;$S$29&amp;"!$A$4"):INDIRECT(""&amp;$S$29&amp;"!$AA$4"),0),FALSE))</f>
        <v>0</v>
      </c>
      <c r="U61" s="76">
        <f ca="1">IF(ISERROR(VLOOKUP($K61,OFFSET(INDIRECT(""&amp;$S$29&amp;"!$A$4"),0,0,200,100),MATCH(U$30,INDIRECT(""&amp;$S$29&amp;"!$A$4"):INDIRECT(""&amp;$S$29&amp;"!$AA$4"),0),FALSE)),"",VLOOKUP($K61,OFFSET(INDIRECT(""&amp;$S$29&amp;"!$A$4"),0,0,200,100),MATCH(U$30,INDIRECT(""&amp;$S$29&amp;"!$A$4"):INDIRECT(""&amp;$S$29&amp;"!$AA$4"),0),FALSE))</f>
        <v>0</v>
      </c>
      <c r="V61" s="76">
        <f ca="1">IF(ISERROR(VLOOKUP($K61,OFFSET(INDIRECT(""&amp;$S$29&amp;"!$A$4"),0,0,200,100),MATCH(V$30,INDIRECT(""&amp;$S$29&amp;"!$A$4"):INDIRECT(""&amp;$S$29&amp;"!$AA$4"),0),FALSE)),"",VLOOKUP($K61,OFFSET(INDIRECT(""&amp;$S$29&amp;"!$A$4"),0,0,200,100),MATCH(V$30,INDIRECT(""&amp;$S$29&amp;"!$A$4"):INDIRECT(""&amp;$S$29&amp;"!$AA$4"),0),FALSE))</f>
        <v>0</v>
      </c>
      <c r="W61" s="76">
        <f ca="1">IF(ISERROR(VLOOKUP($K61,OFFSET(INDIRECT(""&amp;$S$29&amp;"!$A$4"),0,0,200,100),MATCH(W$30,INDIRECT(""&amp;$S$29&amp;"!$A$4"):INDIRECT(""&amp;$S$29&amp;"!$AA$4"),0),FALSE)),"",VLOOKUP($K61,OFFSET(INDIRECT(""&amp;$S$29&amp;"!$A$4"),0,0,200,100),MATCH(W$30,INDIRECT(""&amp;$S$29&amp;"!$A$4"):INDIRECT(""&amp;$S$29&amp;"!$AA$4"),0),FALSE))</f>
        <v>0</v>
      </c>
      <c r="X61" s="76">
        <f ca="1">IF(ISERROR(VLOOKUP($K61,OFFSET(INDIRECT(""&amp;$S$29&amp;"!$A$4"),0,0,200,100),MATCH(X$30,INDIRECT(""&amp;$S$29&amp;"!$A$4"):INDIRECT(""&amp;$S$29&amp;"!$AA$4"),0),FALSE)),"",VLOOKUP($K61,OFFSET(INDIRECT(""&amp;$S$29&amp;"!$A$4"),0,0,200,100),MATCH(X$30,INDIRECT(""&amp;$S$29&amp;"!$A$4"):INDIRECT(""&amp;$S$29&amp;"!$AA$4"),0),FALSE))</f>
        <v>0</v>
      </c>
      <c r="Y61" s="76">
        <f ca="1">IF(ISERROR(VLOOKUP($K61,OFFSET(INDIRECT(""&amp;$S$29&amp;"!$A$4"),0,0,200,100),MATCH(Y$30,INDIRECT(""&amp;$S$29&amp;"!$A$4"):INDIRECT(""&amp;$S$29&amp;"!$AA$4"),0),FALSE)),"",VLOOKUP($K61,OFFSET(INDIRECT(""&amp;$S$29&amp;"!$A$4"),0,0,200,100),MATCH(Y$30,INDIRECT(""&amp;$S$29&amp;"!$A$4"):INDIRECT(""&amp;$S$29&amp;"!$AA$4"),0),FALSE))</f>
        <v>0</v>
      </c>
      <c r="Z61" s="76">
        <f ca="1">IF(ISERROR(VLOOKUP($K61,OFFSET(INDIRECT(""&amp;$S$29&amp;"!$A$4"),0,0,200,100),MATCH(Z$30,INDIRECT(""&amp;$S$29&amp;"!$A$4"):INDIRECT(""&amp;$S$29&amp;"!$AA$4"),0),FALSE)),"",VLOOKUP($K61,OFFSET(INDIRECT(""&amp;$S$29&amp;"!$A$4"),0,0,200,100),MATCH(Z$30,INDIRECT(""&amp;$S$29&amp;"!$A$4"):INDIRECT(""&amp;$S$29&amp;"!$AA$4"),0),FALSE))</f>
        <v>0</v>
      </c>
      <c r="AA61" s="76">
        <f t="shared" ca="1" si="61"/>
        <v>0</v>
      </c>
      <c r="AB61" s="110"/>
      <c r="AC61" s="87">
        <f t="shared" ca="1" si="48"/>
        <v>0</v>
      </c>
      <c r="AD61" s="87">
        <f t="shared" ca="1" si="49"/>
        <v>0</v>
      </c>
      <c r="AE61" s="87">
        <f t="shared" ca="1" si="50"/>
        <v>0</v>
      </c>
      <c r="AF61" s="87">
        <f t="shared" ca="1" si="51"/>
        <v>0</v>
      </c>
      <c r="AG61" s="87">
        <f t="shared" ca="1" si="62"/>
        <v>0</v>
      </c>
      <c r="AH61" s="87">
        <f t="shared" ca="1" si="62"/>
        <v>0</v>
      </c>
      <c r="AI61" s="144"/>
      <c r="AJ61" s="87">
        <f t="shared" ca="1" si="53"/>
        <v>0</v>
      </c>
      <c r="AK61" s="87">
        <f t="shared" ca="1" si="54"/>
        <v>0</v>
      </c>
      <c r="AL61" s="87">
        <f t="shared" ca="1" si="55"/>
        <v>0</v>
      </c>
      <c r="AM61" s="87">
        <f t="shared" ca="1" si="56"/>
        <v>0</v>
      </c>
      <c r="AN61" s="87">
        <f t="shared" ca="1" si="57"/>
        <v>0</v>
      </c>
      <c r="AO61" s="87">
        <f t="shared" ca="1" si="63"/>
        <v>0</v>
      </c>
      <c r="AP61" s="87">
        <f t="shared" ca="1" si="63"/>
        <v>0</v>
      </c>
      <c r="AQ61" s="87">
        <f t="shared" ca="1" si="63"/>
        <v>0</v>
      </c>
      <c r="AR61" s="87">
        <f t="shared" ca="1" si="63"/>
        <v>0</v>
      </c>
      <c r="AS61" s="87">
        <f t="shared" ca="1" si="63"/>
        <v>0</v>
      </c>
      <c r="AT61" s="87">
        <f t="shared" ca="1" si="59"/>
        <v>0</v>
      </c>
      <c r="AU61" s="87">
        <f t="shared" ca="1" si="59"/>
        <v>0</v>
      </c>
      <c r="AV61" s="87">
        <f t="shared" ca="1" si="60"/>
        <v>0</v>
      </c>
    </row>
    <row r="62" spans="1:48" s="112" customFormat="1" ht="15.95" customHeight="1">
      <c r="A62" s="130" t="s">
        <v>253</v>
      </c>
      <c r="B62" s="111" t="s">
        <v>153</v>
      </c>
      <c r="C62" s="90">
        <f ca="1">IF(ISERROR(VLOOKUP($B62,OFFSET(INDIRECT(""&amp;$B$29&amp;"!$A$4"),0,0,200,100),MATCH(C$30,INDIRECT(""&amp;$B$29&amp;"!$A$4"):INDIRECT(""&amp;$B$29&amp;"!$o$4"),0),FALSE)),"",VLOOKUP($B62,OFFSET(INDIRECT(""&amp;$B$29&amp;"!$A$4"),0,0,200,100),MATCH(C$30,INDIRECT(""&amp;$B$29&amp;"!$A$4"):INDIRECT(""&amp;$B$29&amp;"!$o$4"),0),FALSE))</f>
        <v>0</v>
      </c>
      <c r="D62" s="90">
        <f ca="1">IF(ISERROR(VLOOKUP($B62,OFFSET(INDIRECT(""&amp;$B$29&amp;"!$A$4"),0,0,200,100),MATCH(D$30,INDIRECT(""&amp;$B$29&amp;"!$A$4"):INDIRECT(""&amp;$B$29&amp;"!$o$4"),0),FALSE)),"",VLOOKUP($B62,OFFSET(INDIRECT(""&amp;$B$29&amp;"!$A$4"),0,0,200,100),MATCH(D$30,INDIRECT(""&amp;$B$29&amp;"!$A$4"):INDIRECT(""&amp;$B$29&amp;"!$o$4"),0),FALSE))</f>
        <v>0</v>
      </c>
      <c r="E62" s="90">
        <f ca="1">IF(ISERROR(VLOOKUP($B62,OFFSET(INDIRECT(""&amp;$B$29&amp;"!$A$4"),0,0,200,100),MATCH(E$30,INDIRECT(""&amp;$B$29&amp;"!$A$4"):INDIRECT(""&amp;$B$29&amp;"!$o$4"),0),FALSE)),"",VLOOKUP($B62,OFFSET(INDIRECT(""&amp;$B$29&amp;"!$A$4"),0,0,200,100),MATCH(E$30,INDIRECT(""&amp;$B$29&amp;"!$A$4"):INDIRECT(""&amp;$B$29&amp;"!$o$4"),0),FALSE))</f>
        <v>0</v>
      </c>
      <c r="F62" s="90">
        <f ca="1">IF(ISERROR(VLOOKUP($B62,OFFSET(INDIRECT(""&amp;$B$29&amp;"!$A$4"),0,0,200,100),MATCH(F$30,INDIRECT(""&amp;$B$29&amp;"!$A$4"):INDIRECT(""&amp;$B$29&amp;"!$o$4"),0),FALSE)),"",VLOOKUP($B62,OFFSET(INDIRECT(""&amp;$B$29&amp;"!$A$4"),0,0,200,100),MATCH(F$30,INDIRECT(""&amp;$B$29&amp;"!$A$4"):INDIRECT(""&amp;$B$29&amp;"!$o$4"),0),FALSE))</f>
        <v>0</v>
      </c>
      <c r="G62" s="90">
        <f ca="1">IF(ISERROR(VLOOKUP($B62,OFFSET(INDIRECT(""&amp;$B$29&amp;"!$A$4"),0,0,200,100),MATCH(G$30,INDIRECT(""&amp;$B$29&amp;"!$A$4"):INDIRECT(""&amp;$B$29&amp;"!$o$4"),0),FALSE)),"",VLOOKUP($B62,OFFSET(INDIRECT(""&amp;$B$29&amp;"!$A$4"),0,0,200,100),MATCH(G$30,INDIRECT(""&amp;$B$29&amp;"!$A$4"):INDIRECT(""&amp;$B$29&amp;"!$o$4"),0),FALSE))</f>
        <v>0</v>
      </c>
      <c r="H62" s="90">
        <f ca="1">IF(ISERROR(VLOOKUP($B62,OFFSET(INDIRECT(""&amp;$B$29&amp;"!$A$4"),0,0,200,100),MATCH(H$30,INDIRECT(""&amp;$B$29&amp;"!$A$4"):INDIRECT(""&amp;$B$29&amp;"!$o$4"),0),FALSE)),"",VLOOKUP($B62,OFFSET(INDIRECT(""&amp;$B$29&amp;"!$A$4"),0,0,200,100),MATCH(H$30,INDIRECT(""&amp;$B$29&amp;"!$A$4"):INDIRECT(""&amp;$B$29&amp;"!$o$4"),0),FALSE))</f>
        <v>0</v>
      </c>
      <c r="I62" s="90">
        <f ca="1">IF(ISERROR(VLOOKUP($B62,OFFSET(INDIRECT(""&amp;$B$29&amp;"!$A$4"),0,0,200,100),MATCH(I$30,INDIRECT(""&amp;$B$29&amp;"!$A$4"):INDIRECT(""&amp;$B$29&amp;"!$o$4"),0),FALSE)),"",VLOOKUP($B62,OFFSET(INDIRECT(""&amp;$B$29&amp;"!$A$4"),0,0,200,100),MATCH(I$30,INDIRECT(""&amp;$B$29&amp;"!$A$4"):INDIRECT(""&amp;$B$29&amp;"!$o$4"),0),FALSE))</f>
        <v>0</v>
      </c>
      <c r="J62" s="90">
        <f ca="1">IF(ISERROR(VLOOKUP($B62,OFFSET(INDIRECT(""&amp;$B$29&amp;"!$A$4"),0,0,200,100),MATCH(J$30,INDIRECT(""&amp;$B$29&amp;"!$A$4"):INDIRECT(""&amp;$B$29&amp;"!$o$4"),0),FALSE)),"",VLOOKUP($B62,OFFSET(INDIRECT(""&amp;$B$29&amp;"!$A$4"),0,0,200,100),MATCH(J$30,INDIRECT(""&amp;$B$29&amp;"!$A$4"):INDIRECT(""&amp;$B$29&amp;"!$o$4"),0),FALSE))</f>
        <v>0</v>
      </c>
      <c r="K62" s="114" t="s">
        <v>153</v>
      </c>
      <c r="L62" s="90">
        <f ca="1">IF(ISERROR(VLOOKUP($K62,OFFSET(INDIRECT(""&amp;$S$29&amp;"!$A$4"),0,0,200,100),MATCH(L$30,INDIRECT(""&amp;$S$29&amp;"!$A$4"):INDIRECT(""&amp;$S$29&amp;"!$AA$4"),0),FALSE)),"",VLOOKUP($K62,OFFSET(INDIRECT(""&amp;$S$29&amp;"!$A$4"),0,0,200,100),MATCH(L$30,INDIRECT(""&amp;$S$29&amp;"!$A$4"):INDIRECT(""&amp;$S$29&amp;"!$AA$4"),0),FALSE))</f>
        <v>0</v>
      </c>
      <c r="M62" s="90">
        <f ca="1">IF(ISERROR(VLOOKUP($K62,OFFSET(INDIRECT(""&amp;$S$29&amp;"!$A$4"),0,0,200,100),MATCH(M$30,INDIRECT(""&amp;$S$29&amp;"!$A$4"):INDIRECT(""&amp;$S$29&amp;"!$AA$4"),0),FALSE)),"",VLOOKUP($K62,OFFSET(INDIRECT(""&amp;$S$29&amp;"!$A$4"),0,0,200,100),MATCH(M$30,INDIRECT(""&amp;$S$29&amp;"!$A$4"):INDIRECT(""&amp;$S$29&amp;"!$AA$4"),0),FALSE))</f>
        <v>0</v>
      </c>
      <c r="N62" s="90">
        <f ca="1">IF(ISERROR(VLOOKUP($K62,OFFSET(INDIRECT(""&amp;$S$29&amp;"!$A$4"),0,0,200,100),MATCH(N$30,INDIRECT(""&amp;$S$29&amp;"!$A$4"):INDIRECT(""&amp;$S$29&amp;"!$AA$4"),0),FALSE)),"",VLOOKUP($K62,OFFSET(INDIRECT(""&amp;$S$29&amp;"!$A$4"),0,0,200,100),MATCH(N$30,INDIRECT(""&amp;$S$29&amp;"!$A$4"):INDIRECT(""&amp;$S$29&amp;"!$AA$4"),0),FALSE))</f>
        <v>0</v>
      </c>
      <c r="O62" s="90">
        <f ca="1">IF(ISERROR(VLOOKUP($K62,OFFSET(INDIRECT(""&amp;$S$29&amp;"!$A$4"),0,0,200,100),MATCH(O$30,INDIRECT(""&amp;$S$29&amp;"!$A$4"):INDIRECT(""&amp;$S$29&amp;"!$AA$4"),0),FALSE)),"",VLOOKUP($K62,OFFSET(INDIRECT(""&amp;$S$29&amp;"!$A$4"),0,0,200,100),MATCH(O$30,INDIRECT(""&amp;$S$29&amp;"!$A$4"):INDIRECT(""&amp;$S$29&amp;"!$AA$4"),0),FALSE))</f>
        <v>0</v>
      </c>
      <c r="P62" s="90">
        <f ca="1">IF(ISERROR(VLOOKUP($K62,OFFSET(INDIRECT(""&amp;$S$29&amp;"!$A$4"),0,0,200,100),MATCH(P$30,INDIRECT(""&amp;$S$29&amp;"!$A$4"):INDIRECT(""&amp;$S$29&amp;"!$AA$4"),0),FALSE)),"",VLOOKUP($K62,OFFSET(INDIRECT(""&amp;$S$29&amp;"!$A$4"),0,0,200,100),MATCH(P$30,INDIRECT(""&amp;$S$29&amp;"!$A$4"):INDIRECT(""&amp;$S$29&amp;"!$AA$4"),0),FALSE))</f>
        <v>0</v>
      </c>
      <c r="Q62" s="90">
        <f ca="1">IF(ISERROR(VLOOKUP($K62,OFFSET(INDIRECT(""&amp;$S$29&amp;"!$A$4"),0,0,200,100),MATCH(Q$30,INDIRECT(""&amp;$S$29&amp;"!$A$4"):INDIRECT(""&amp;$S$29&amp;"!$AA$4"),0),FALSE)),"",VLOOKUP($K62,OFFSET(INDIRECT(""&amp;$S$29&amp;"!$A$4"),0,0,200,100),MATCH(Q$30,INDIRECT(""&amp;$S$29&amp;"!$A$4"):INDIRECT(""&amp;$S$29&amp;"!$AA$4"),0),FALSE))</f>
        <v>0</v>
      </c>
      <c r="R62" s="90">
        <f ca="1">IF(ISERROR(VLOOKUP($K62,OFFSET(INDIRECT(""&amp;$S$29&amp;"!$A$4"),0,0,200,100),MATCH(R$30,INDIRECT(""&amp;$S$29&amp;"!$A$4"):INDIRECT(""&amp;$S$29&amp;"!$AA$4"),0),FALSE)),"",VLOOKUP($K62,OFFSET(INDIRECT(""&amp;$S$29&amp;"!$A$4"),0,0,200,100),MATCH(R$30,INDIRECT(""&amp;$S$29&amp;"!$A$4"):INDIRECT(""&amp;$S$29&amp;"!$AA$4"),0),FALSE))</f>
        <v>0</v>
      </c>
      <c r="S62" s="90">
        <f ca="1">IF(ISERROR(VLOOKUP($K62,OFFSET(INDIRECT(""&amp;$S$29&amp;"!$A$4"),0,0,200,100),MATCH(S$30,INDIRECT(""&amp;$S$29&amp;"!$A$4"):INDIRECT(""&amp;$S$29&amp;"!$AA$4"),0),FALSE)),"",VLOOKUP($K62,OFFSET(INDIRECT(""&amp;$S$29&amp;"!$A$4"),0,0,200,100),MATCH(S$30,INDIRECT(""&amp;$S$29&amp;"!$A$4"):INDIRECT(""&amp;$S$29&amp;"!$AA$4"),0),FALSE))</f>
        <v>0</v>
      </c>
      <c r="T62" s="90">
        <f ca="1">IF(ISERROR(VLOOKUP($K62,OFFSET(INDIRECT(""&amp;$S$29&amp;"!$A$4"),0,0,200,100),MATCH(T$30,INDIRECT(""&amp;$S$29&amp;"!$A$4"):INDIRECT(""&amp;$S$29&amp;"!$AA$4"),0),FALSE)),"",VLOOKUP($K62,OFFSET(INDIRECT(""&amp;$S$29&amp;"!$A$4"),0,0,200,100),MATCH(T$30,INDIRECT(""&amp;$S$29&amp;"!$A$4"):INDIRECT(""&amp;$S$29&amp;"!$AA$4"),0),FALSE))</f>
        <v>0</v>
      </c>
      <c r="U62" s="90">
        <f ca="1">IF(ISERROR(VLOOKUP($K62,OFFSET(INDIRECT(""&amp;$S$29&amp;"!$A$4"),0,0,200,100),MATCH(U$30,INDIRECT(""&amp;$S$29&amp;"!$A$4"):INDIRECT(""&amp;$S$29&amp;"!$AA$4"),0),FALSE)),"",VLOOKUP($K62,OFFSET(INDIRECT(""&amp;$S$29&amp;"!$A$4"),0,0,200,100),MATCH(U$30,INDIRECT(""&amp;$S$29&amp;"!$A$4"):INDIRECT(""&amp;$S$29&amp;"!$AA$4"),0),FALSE))</f>
        <v>0</v>
      </c>
      <c r="V62" s="90">
        <f ca="1">IF(ISERROR(VLOOKUP($K62,OFFSET(INDIRECT(""&amp;$S$29&amp;"!$A$4"),0,0,200,100),MATCH(V$30,INDIRECT(""&amp;$S$29&amp;"!$A$4"):INDIRECT(""&amp;$S$29&amp;"!$AA$4"),0),FALSE)),"",VLOOKUP($K62,OFFSET(INDIRECT(""&amp;$S$29&amp;"!$A$4"),0,0,200,100),MATCH(V$30,INDIRECT(""&amp;$S$29&amp;"!$A$4"):INDIRECT(""&amp;$S$29&amp;"!$AA$4"),0),FALSE))</f>
        <v>0</v>
      </c>
      <c r="W62" s="90">
        <f ca="1">IF(ISERROR(VLOOKUP($K62,OFFSET(INDIRECT(""&amp;$S$29&amp;"!$A$4"),0,0,200,100),MATCH(W$30,INDIRECT(""&amp;$S$29&amp;"!$A$4"):INDIRECT(""&amp;$S$29&amp;"!$AA$4"),0),FALSE)),"",VLOOKUP($K62,OFFSET(INDIRECT(""&amp;$S$29&amp;"!$A$4"),0,0,200,100),MATCH(W$30,INDIRECT(""&amp;$S$29&amp;"!$A$4"):INDIRECT(""&amp;$S$29&amp;"!$AA$4"),0),FALSE))</f>
        <v>0</v>
      </c>
      <c r="X62" s="90">
        <f ca="1">IF(ISERROR(VLOOKUP($K62,OFFSET(INDIRECT(""&amp;$S$29&amp;"!$A$4"),0,0,200,100),MATCH(X$30,INDIRECT(""&amp;$S$29&amp;"!$A$4"):INDIRECT(""&amp;$S$29&amp;"!$AA$4"),0),FALSE)),"",VLOOKUP($K62,OFFSET(INDIRECT(""&amp;$S$29&amp;"!$A$4"),0,0,200,100),MATCH(X$30,INDIRECT(""&amp;$S$29&amp;"!$A$4"):INDIRECT(""&amp;$S$29&amp;"!$AA$4"),0),FALSE))</f>
        <v>0</v>
      </c>
      <c r="Y62" s="90">
        <f ca="1">IF(ISERROR(VLOOKUP($K62,OFFSET(INDIRECT(""&amp;$S$29&amp;"!$A$4"),0,0,200,100),MATCH(Y$30,INDIRECT(""&amp;$S$29&amp;"!$A$4"):INDIRECT(""&amp;$S$29&amp;"!$AA$4"),0),FALSE)),"",VLOOKUP($K62,OFFSET(INDIRECT(""&amp;$S$29&amp;"!$A$4"),0,0,200,100),MATCH(Y$30,INDIRECT(""&amp;$S$29&amp;"!$A$4"):INDIRECT(""&amp;$S$29&amp;"!$AA$4"),0),FALSE))</f>
        <v>0</v>
      </c>
      <c r="Z62" s="90">
        <f ca="1">IF(ISERROR(VLOOKUP($K62,OFFSET(INDIRECT(""&amp;$S$29&amp;"!$A$4"),0,0,200,100),MATCH(Z$30,INDIRECT(""&amp;$S$29&amp;"!$A$4"):INDIRECT(""&amp;$S$29&amp;"!$AA$4"),0),FALSE)),"",VLOOKUP($K62,OFFSET(INDIRECT(""&amp;$S$29&amp;"!$A$4"),0,0,200,100),MATCH(Z$30,INDIRECT(""&amp;$S$29&amp;"!$A$4"):INDIRECT(""&amp;$S$29&amp;"!$AA$4"),0),FALSE))</f>
        <v>0</v>
      </c>
      <c r="AA62" s="90">
        <f t="shared" ca="1" si="61"/>
        <v>0</v>
      </c>
      <c r="AB62" s="115"/>
      <c r="AC62" s="87">
        <f t="shared" ca="1" si="48"/>
        <v>0</v>
      </c>
      <c r="AD62" s="87">
        <f t="shared" ca="1" si="49"/>
        <v>0</v>
      </c>
      <c r="AE62" s="87">
        <f t="shared" ca="1" si="50"/>
        <v>0</v>
      </c>
      <c r="AF62" s="87">
        <f t="shared" ca="1" si="51"/>
        <v>0</v>
      </c>
      <c r="AG62" s="87">
        <f t="shared" ca="1" si="62"/>
        <v>0</v>
      </c>
      <c r="AH62" s="87">
        <f t="shared" ca="1" si="62"/>
        <v>0</v>
      </c>
      <c r="AI62" s="145"/>
      <c r="AJ62" s="87">
        <f t="shared" ca="1" si="53"/>
        <v>0</v>
      </c>
      <c r="AK62" s="87">
        <f t="shared" ca="1" si="54"/>
        <v>0</v>
      </c>
      <c r="AL62" s="87">
        <f t="shared" ca="1" si="55"/>
        <v>0</v>
      </c>
      <c r="AM62" s="87">
        <f t="shared" ca="1" si="56"/>
        <v>0</v>
      </c>
      <c r="AN62" s="87">
        <f t="shared" ca="1" si="57"/>
        <v>0</v>
      </c>
      <c r="AO62" s="87">
        <f t="shared" ca="1" si="63"/>
        <v>0</v>
      </c>
      <c r="AP62" s="87">
        <f t="shared" ca="1" si="63"/>
        <v>0</v>
      </c>
      <c r="AQ62" s="87">
        <f t="shared" ca="1" si="63"/>
        <v>0</v>
      </c>
      <c r="AR62" s="87">
        <f t="shared" ca="1" si="63"/>
        <v>0</v>
      </c>
      <c r="AS62" s="87">
        <f t="shared" ca="1" si="63"/>
        <v>0</v>
      </c>
      <c r="AT62" s="87">
        <f t="shared" ca="1" si="59"/>
        <v>0</v>
      </c>
      <c r="AU62" s="87">
        <f t="shared" ca="1" si="59"/>
        <v>0</v>
      </c>
      <c r="AV62" s="87">
        <f t="shared" ca="1" si="60"/>
        <v>0</v>
      </c>
    </row>
    <row r="63" spans="1:48" s="120" customFormat="1" ht="15.95" customHeight="1">
      <c r="A63" s="130" t="s">
        <v>254</v>
      </c>
      <c r="B63" s="117" t="s">
        <v>154</v>
      </c>
      <c r="C63" s="90">
        <f ca="1">IF(ISERROR(VLOOKUP($B63,OFFSET(INDIRECT(""&amp;$B$29&amp;"!$A$4"),0,0,200,100),MATCH(C$30,INDIRECT(""&amp;$B$29&amp;"!$A$4"):INDIRECT(""&amp;$B$29&amp;"!$o$4"),0),FALSE)),"",VLOOKUP($B63,OFFSET(INDIRECT(""&amp;$B$29&amp;"!$A$4"),0,0,200,100),MATCH(C$30,INDIRECT(""&amp;$B$29&amp;"!$A$4"):INDIRECT(""&amp;$B$29&amp;"!$o$4"),0),FALSE))</f>
        <v>0</v>
      </c>
      <c r="D63" s="90">
        <f ca="1">IF(ISERROR(VLOOKUP($B63,OFFSET(INDIRECT(""&amp;$B$29&amp;"!$A$4"),0,0,200,100),MATCH(D$30,INDIRECT(""&amp;$B$29&amp;"!$A$4"):INDIRECT(""&amp;$B$29&amp;"!$o$4"),0),FALSE)),"",VLOOKUP($B63,OFFSET(INDIRECT(""&amp;$B$29&amp;"!$A$4"),0,0,200,100),MATCH(D$30,INDIRECT(""&amp;$B$29&amp;"!$A$4"):INDIRECT(""&amp;$B$29&amp;"!$o$4"),0),FALSE))</f>
        <v>0</v>
      </c>
      <c r="E63" s="90">
        <f ca="1">IF(ISERROR(VLOOKUP($B63,OFFSET(INDIRECT(""&amp;$B$29&amp;"!$A$4"),0,0,200,100),MATCH(E$30,INDIRECT(""&amp;$B$29&amp;"!$A$4"):INDIRECT(""&amp;$B$29&amp;"!$o$4"),0),FALSE)),"",VLOOKUP($B63,OFFSET(INDIRECT(""&amp;$B$29&amp;"!$A$4"),0,0,200,100),MATCH(E$30,INDIRECT(""&amp;$B$29&amp;"!$A$4"):INDIRECT(""&amp;$B$29&amp;"!$o$4"),0),FALSE))</f>
        <v>0</v>
      </c>
      <c r="F63" s="90">
        <f ca="1">IF(ISERROR(VLOOKUP($B63,OFFSET(INDIRECT(""&amp;$B$29&amp;"!$A$4"),0,0,200,100),MATCH(F$30,INDIRECT(""&amp;$B$29&amp;"!$A$4"):INDIRECT(""&amp;$B$29&amp;"!$o$4"),0),FALSE)),"",VLOOKUP($B63,OFFSET(INDIRECT(""&amp;$B$29&amp;"!$A$4"),0,0,200,100),MATCH(F$30,INDIRECT(""&amp;$B$29&amp;"!$A$4"):INDIRECT(""&amp;$B$29&amp;"!$o$4"),0),FALSE))</f>
        <v>0</v>
      </c>
      <c r="G63" s="90">
        <f ca="1">IF(ISERROR(VLOOKUP($B63,OFFSET(INDIRECT(""&amp;$B$29&amp;"!$A$4"),0,0,200,100),MATCH(G$30,INDIRECT(""&amp;$B$29&amp;"!$A$4"):INDIRECT(""&amp;$B$29&amp;"!$o$4"),0),FALSE)),"",VLOOKUP($B63,OFFSET(INDIRECT(""&amp;$B$29&amp;"!$A$4"),0,0,200,100),MATCH(G$30,INDIRECT(""&amp;$B$29&amp;"!$A$4"):INDIRECT(""&amp;$B$29&amp;"!$o$4"),0),FALSE))</f>
        <v>0</v>
      </c>
      <c r="H63" s="90">
        <f ca="1">IF(ISERROR(VLOOKUP($B63,OFFSET(INDIRECT(""&amp;$B$29&amp;"!$A$4"),0,0,200,100),MATCH(H$30,INDIRECT(""&amp;$B$29&amp;"!$A$4"):INDIRECT(""&amp;$B$29&amp;"!$o$4"),0),FALSE)),"",VLOOKUP($B63,OFFSET(INDIRECT(""&amp;$B$29&amp;"!$A$4"),0,0,200,100),MATCH(H$30,INDIRECT(""&amp;$B$29&amp;"!$A$4"):INDIRECT(""&amp;$B$29&amp;"!$o$4"),0),FALSE))</f>
        <v>0</v>
      </c>
      <c r="I63" s="90">
        <f ca="1">IF(ISERROR(VLOOKUP($B63,OFFSET(INDIRECT(""&amp;$B$29&amp;"!$A$4"),0,0,200,100),MATCH(I$30,INDIRECT(""&amp;$B$29&amp;"!$A$4"):INDIRECT(""&amp;$B$29&amp;"!$o$4"),0),FALSE)),"",VLOOKUP($B63,OFFSET(INDIRECT(""&amp;$B$29&amp;"!$A$4"),0,0,200,100),MATCH(I$30,INDIRECT(""&amp;$B$29&amp;"!$A$4"):INDIRECT(""&amp;$B$29&amp;"!$o$4"),0),FALSE))</f>
        <v>0</v>
      </c>
      <c r="J63" s="90">
        <f ca="1">IF(ISERROR(VLOOKUP($B63,OFFSET(INDIRECT(""&amp;$B$29&amp;"!$A$4"),0,0,200,100),MATCH(J$30,INDIRECT(""&amp;$B$29&amp;"!$A$4"):INDIRECT(""&amp;$B$29&amp;"!$o$4"),0),FALSE)),"",VLOOKUP($B63,OFFSET(INDIRECT(""&amp;$B$29&amp;"!$A$4"),0,0,200,100),MATCH(J$30,INDIRECT(""&amp;$B$29&amp;"!$A$4"):INDIRECT(""&amp;$B$29&amp;"!$o$4"),0),FALSE))</f>
        <v>0</v>
      </c>
      <c r="K63" s="118" t="s">
        <v>154</v>
      </c>
      <c r="L63" s="90">
        <f ca="1">IF(ISERROR(VLOOKUP($K63,OFFSET(INDIRECT(""&amp;$S$29&amp;"!$A$4"),0,0,200,100),MATCH(L$30,INDIRECT(""&amp;$S$29&amp;"!$A$4"):INDIRECT(""&amp;$S$29&amp;"!$AA$4"),0),FALSE)),"",VLOOKUP($K63,OFFSET(INDIRECT(""&amp;$S$29&amp;"!$A$4"),0,0,200,100),MATCH(L$30,INDIRECT(""&amp;$S$29&amp;"!$A$4"):INDIRECT(""&amp;$S$29&amp;"!$AA$4"),0),FALSE))</f>
        <v>0</v>
      </c>
      <c r="M63" s="90">
        <f ca="1">IF(ISERROR(VLOOKUP($K63,OFFSET(INDIRECT(""&amp;$S$29&amp;"!$A$4"),0,0,200,100),MATCH(M$30,INDIRECT(""&amp;$S$29&amp;"!$A$4"):INDIRECT(""&amp;$S$29&amp;"!$AA$4"),0),FALSE)),"",VLOOKUP($K63,OFFSET(INDIRECT(""&amp;$S$29&amp;"!$A$4"),0,0,200,100),MATCH(M$30,INDIRECT(""&amp;$S$29&amp;"!$A$4"):INDIRECT(""&amp;$S$29&amp;"!$AA$4"),0),FALSE))</f>
        <v>0</v>
      </c>
      <c r="N63" s="90">
        <f ca="1">IF(ISERROR(VLOOKUP($K63,OFFSET(INDIRECT(""&amp;$S$29&amp;"!$A$4"),0,0,200,100),MATCH(N$30,INDIRECT(""&amp;$S$29&amp;"!$A$4"):INDIRECT(""&amp;$S$29&amp;"!$AA$4"),0),FALSE)),"",VLOOKUP($K63,OFFSET(INDIRECT(""&amp;$S$29&amp;"!$A$4"),0,0,200,100),MATCH(N$30,INDIRECT(""&amp;$S$29&amp;"!$A$4"):INDIRECT(""&amp;$S$29&amp;"!$AA$4"),0),FALSE))</f>
        <v>0</v>
      </c>
      <c r="O63" s="90">
        <f ca="1">IF(ISERROR(VLOOKUP($K63,OFFSET(INDIRECT(""&amp;$S$29&amp;"!$A$4"),0,0,200,100),MATCH(O$30,INDIRECT(""&amp;$S$29&amp;"!$A$4"):INDIRECT(""&amp;$S$29&amp;"!$AA$4"),0),FALSE)),"",VLOOKUP($K63,OFFSET(INDIRECT(""&amp;$S$29&amp;"!$A$4"),0,0,200,100),MATCH(O$30,INDIRECT(""&amp;$S$29&amp;"!$A$4"):INDIRECT(""&amp;$S$29&amp;"!$AA$4"),0),FALSE))</f>
        <v>0</v>
      </c>
      <c r="P63" s="90">
        <f ca="1">IF(ISERROR(VLOOKUP($K63,OFFSET(INDIRECT(""&amp;$S$29&amp;"!$A$4"),0,0,200,100),MATCH(P$30,INDIRECT(""&amp;$S$29&amp;"!$A$4"):INDIRECT(""&amp;$S$29&amp;"!$AA$4"),0),FALSE)),"",VLOOKUP($K63,OFFSET(INDIRECT(""&amp;$S$29&amp;"!$A$4"),0,0,200,100),MATCH(P$30,INDIRECT(""&amp;$S$29&amp;"!$A$4"):INDIRECT(""&amp;$S$29&amp;"!$AA$4"),0),FALSE))</f>
        <v>0</v>
      </c>
      <c r="Q63" s="90">
        <f ca="1">IF(ISERROR(VLOOKUP($K63,OFFSET(INDIRECT(""&amp;$S$29&amp;"!$A$4"),0,0,200,100),MATCH(Q$30,INDIRECT(""&amp;$S$29&amp;"!$A$4"):INDIRECT(""&amp;$S$29&amp;"!$AA$4"),0),FALSE)),"",VLOOKUP($K63,OFFSET(INDIRECT(""&amp;$S$29&amp;"!$A$4"),0,0,200,100),MATCH(Q$30,INDIRECT(""&amp;$S$29&amp;"!$A$4"):INDIRECT(""&amp;$S$29&amp;"!$AA$4"),0),FALSE))</f>
        <v>0</v>
      </c>
      <c r="R63" s="90">
        <f ca="1">IF(ISERROR(VLOOKUP($K63,OFFSET(INDIRECT(""&amp;$S$29&amp;"!$A$4"),0,0,200,100),MATCH(R$30,INDIRECT(""&amp;$S$29&amp;"!$A$4"):INDIRECT(""&amp;$S$29&amp;"!$AA$4"),0),FALSE)),"",VLOOKUP($K63,OFFSET(INDIRECT(""&amp;$S$29&amp;"!$A$4"),0,0,200,100),MATCH(R$30,INDIRECT(""&amp;$S$29&amp;"!$A$4"):INDIRECT(""&amp;$S$29&amp;"!$AA$4"),0),FALSE))</f>
        <v>0</v>
      </c>
      <c r="S63" s="90">
        <f ca="1">IF(ISERROR(VLOOKUP($K63,OFFSET(INDIRECT(""&amp;$S$29&amp;"!$A$4"),0,0,200,100),MATCH(S$30,INDIRECT(""&amp;$S$29&amp;"!$A$4"):INDIRECT(""&amp;$S$29&amp;"!$AA$4"),0),FALSE)),"",VLOOKUP($K63,OFFSET(INDIRECT(""&amp;$S$29&amp;"!$A$4"),0,0,200,100),MATCH(S$30,INDIRECT(""&amp;$S$29&amp;"!$A$4"):INDIRECT(""&amp;$S$29&amp;"!$AA$4"),0),FALSE))</f>
        <v>0</v>
      </c>
      <c r="T63" s="90">
        <f ca="1">IF(ISERROR(VLOOKUP($K63,OFFSET(INDIRECT(""&amp;$S$29&amp;"!$A$4"),0,0,200,100),MATCH(T$30,INDIRECT(""&amp;$S$29&amp;"!$A$4"):INDIRECT(""&amp;$S$29&amp;"!$AA$4"),0),FALSE)),"",VLOOKUP($K63,OFFSET(INDIRECT(""&amp;$S$29&amp;"!$A$4"),0,0,200,100),MATCH(T$30,INDIRECT(""&amp;$S$29&amp;"!$A$4"):INDIRECT(""&amp;$S$29&amp;"!$AA$4"),0),FALSE))</f>
        <v>0</v>
      </c>
      <c r="U63" s="90">
        <f ca="1">IF(ISERROR(VLOOKUP($K63,OFFSET(INDIRECT(""&amp;$S$29&amp;"!$A$4"),0,0,200,100),MATCH(U$30,INDIRECT(""&amp;$S$29&amp;"!$A$4"):INDIRECT(""&amp;$S$29&amp;"!$AA$4"),0),FALSE)),"",VLOOKUP($K63,OFFSET(INDIRECT(""&amp;$S$29&amp;"!$A$4"),0,0,200,100),MATCH(U$30,INDIRECT(""&amp;$S$29&amp;"!$A$4"):INDIRECT(""&amp;$S$29&amp;"!$AA$4"),0),FALSE))</f>
        <v>0</v>
      </c>
      <c r="V63" s="90">
        <f ca="1">IF(ISERROR(VLOOKUP($K63,OFFSET(INDIRECT(""&amp;$S$29&amp;"!$A$4"),0,0,200,100),MATCH(V$30,INDIRECT(""&amp;$S$29&amp;"!$A$4"):INDIRECT(""&amp;$S$29&amp;"!$AA$4"),0),FALSE)),"",VLOOKUP($K63,OFFSET(INDIRECT(""&amp;$S$29&amp;"!$A$4"),0,0,200,100),MATCH(V$30,INDIRECT(""&amp;$S$29&amp;"!$A$4"):INDIRECT(""&amp;$S$29&amp;"!$AA$4"),0),FALSE))</f>
        <v>0</v>
      </c>
      <c r="W63" s="90">
        <f ca="1">IF(ISERROR(VLOOKUP($K63,OFFSET(INDIRECT(""&amp;$S$29&amp;"!$A$4"),0,0,200,100),MATCH(W$30,INDIRECT(""&amp;$S$29&amp;"!$A$4"):INDIRECT(""&amp;$S$29&amp;"!$AA$4"),0),FALSE)),"",VLOOKUP($K63,OFFSET(INDIRECT(""&amp;$S$29&amp;"!$A$4"),0,0,200,100),MATCH(W$30,INDIRECT(""&amp;$S$29&amp;"!$A$4"):INDIRECT(""&amp;$S$29&amp;"!$AA$4"),0),FALSE))</f>
        <v>0</v>
      </c>
      <c r="X63" s="90">
        <f ca="1">IF(ISERROR(VLOOKUP($K63,OFFSET(INDIRECT(""&amp;$S$29&amp;"!$A$4"),0,0,200,100),MATCH(X$30,INDIRECT(""&amp;$S$29&amp;"!$A$4"):INDIRECT(""&amp;$S$29&amp;"!$AA$4"),0),FALSE)),"",VLOOKUP($K63,OFFSET(INDIRECT(""&amp;$S$29&amp;"!$A$4"),0,0,200,100),MATCH(X$30,INDIRECT(""&amp;$S$29&amp;"!$A$4"):INDIRECT(""&amp;$S$29&amp;"!$AA$4"),0),FALSE))</f>
        <v>0</v>
      </c>
      <c r="Y63" s="90">
        <f ca="1">IF(ISERROR(VLOOKUP($K63,OFFSET(INDIRECT(""&amp;$S$29&amp;"!$A$4"),0,0,200,100),MATCH(Y$30,INDIRECT(""&amp;$S$29&amp;"!$A$4"):INDIRECT(""&amp;$S$29&amp;"!$AA$4"),0),FALSE)),"",VLOOKUP($K63,OFFSET(INDIRECT(""&amp;$S$29&amp;"!$A$4"),0,0,200,100),MATCH(Y$30,INDIRECT(""&amp;$S$29&amp;"!$A$4"):INDIRECT(""&amp;$S$29&amp;"!$AA$4"),0),FALSE))</f>
        <v>0</v>
      </c>
      <c r="Z63" s="90">
        <f ca="1">IF(ISERROR(VLOOKUP($K63,OFFSET(INDIRECT(""&amp;$S$29&amp;"!$A$4"),0,0,200,100),MATCH(Z$30,INDIRECT(""&amp;$S$29&amp;"!$A$4"):INDIRECT(""&amp;$S$29&amp;"!$AA$4"),0),FALSE)),"",VLOOKUP($K63,OFFSET(INDIRECT(""&amp;$S$29&amp;"!$A$4"),0,0,200,100),MATCH(Z$30,INDIRECT(""&amp;$S$29&amp;"!$A$4"):INDIRECT(""&amp;$S$29&amp;"!$AA$4"),0),FALSE))</f>
        <v>0</v>
      </c>
      <c r="AA63" s="90">
        <f t="shared" ca="1" si="61"/>
        <v>0</v>
      </c>
      <c r="AB63" s="119"/>
      <c r="AC63" s="87">
        <f t="shared" ca="1" si="48"/>
        <v>0</v>
      </c>
      <c r="AD63" s="87">
        <f t="shared" ca="1" si="49"/>
        <v>0</v>
      </c>
      <c r="AE63" s="87">
        <f t="shared" ca="1" si="50"/>
        <v>0</v>
      </c>
      <c r="AF63" s="87">
        <f t="shared" ca="1" si="51"/>
        <v>0</v>
      </c>
      <c r="AG63" s="87">
        <f t="shared" ref="AG63:AH70" ca="1" si="64">IF(I$31="","",I63/I$31)</f>
        <v>0</v>
      </c>
      <c r="AH63" s="87">
        <f t="shared" ca="1" si="64"/>
        <v>0</v>
      </c>
      <c r="AI63" s="154"/>
      <c r="AJ63" s="87">
        <f t="shared" ca="1" si="53"/>
        <v>0</v>
      </c>
      <c r="AK63" s="87">
        <f t="shared" ca="1" si="54"/>
        <v>0</v>
      </c>
      <c r="AL63" s="87">
        <f t="shared" ca="1" si="55"/>
        <v>0</v>
      </c>
      <c r="AM63" s="87">
        <f t="shared" ca="1" si="56"/>
        <v>0</v>
      </c>
      <c r="AN63" s="87">
        <f t="shared" ca="1" si="57"/>
        <v>0</v>
      </c>
      <c r="AO63" s="87">
        <f t="shared" ref="AO63:AS70" ca="1" si="65">IF(T$31="","",T63/T$31)</f>
        <v>0</v>
      </c>
      <c r="AP63" s="87">
        <f t="shared" ca="1" si="65"/>
        <v>0</v>
      </c>
      <c r="AQ63" s="87">
        <f t="shared" ca="1" si="65"/>
        <v>0</v>
      </c>
      <c r="AR63" s="87">
        <f t="shared" ca="1" si="65"/>
        <v>0</v>
      </c>
      <c r="AS63" s="87">
        <f t="shared" ca="1" si="65"/>
        <v>0</v>
      </c>
      <c r="AT63" s="87">
        <f t="shared" ca="1" si="59"/>
        <v>0</v>
      </c>
      <c r="AU63" s="87">
        <f t="shared" ca="1" si="59"/>
        <v>0</v>
      </c>
      <c r="AV63" s="87">
        <f t="shared" ca="1" si="60"/>
        <v>0</v>
      </c>
    </row>
    <row r="64" spans="1:48" s="108" customFormat="1" ht="15.95" customHeight="1">
      <c r="A64" s="85" t="s">
        <v>259</v>
      </c>
      <c r="B64" s="116" t="s">
        <v>155</v>
      </c>
      <c r="C64" s="76">
        <f ca="1">IF(ISERROR(VLOOKUP($B64,OFFSET(INDIRECT(""&amp;$B$29&amp;"!$A$4"),0,0,200,100),MATCH(C$30,INDIRECT(""&amp;$B$29&amp;"!$A$4"):INDIRECT(""&amp;$B$29&amp;"!$o$4"),0),FALSE)),"",VLOOKUP($B64,OFFSET(INDIRECT(""&amp;$B$29&amp;"!$A$4"),0,0,200,100),MATCH(C$30,INDIRECT(""&amp;$B$29&amp;"!$A$4"):INDIRECT(""&amp;$B$29&amp;"!$o$4"),0),FALSE))</f>
        <v>46215.834982</v>
      </c>
      <c r="D64" s="76">
        <f ca="1">IF(ISERROR(VLOOKUP($B64,OFFSET(INDIRECT(""&amp;$B$29&amp;"!$A$4"),0,0,200,100),MATCH(D$30,INDIRECT(""&amp;$B$29&amp;"!$A$4"):INDIRECT(""&amp;$B$29&amp;"!$o$4"),0),FALSE)),"",VLOOKUP($B64,OFFSET(INDIRECT(""&amp;$B$29&amp;"!$A$4"),0,0,200,100),MATCH(D$30,INDIRECT(""&amp;$B$29&amp;"!$A$4"):INDIRECT(""&amp;$B$29&amp;"!$o$4"),0),FALSE))</f>
        <v>53226.671219999997</v>
      </c>
      <c r="E64" s="76">
        <f ca="1">IF(ISERROR(VLOOKUP($B64,OFFSET(INDIRECT(""&amp;$B$29&amp;"!$A$4"),0,0,200,100),MATCH(E$30,INDIRECT(""&amp;$B$29&amp;"!$A$4"):INDIRECT(""&amp;$B$29&amp;"!$o$4"),0),FALSE)),"",VLOOKUP($B64,OFFSET(INDIRECT(""&amp;$B$29&amp;"!$A$4"),0,0,200,100),MATCH(E$30,INDIRECT(""&amp;$B$29&amp;"!$A$4"):INDIRECT(""&amp;$B$29&amp;"!$o$4"),0),FALSE))</f>
        <v>55867.190352999998</v>
      </c>
      <c r="F64" s="76">
        <f ca="1">IF(ISERROR(VLOOKUP($B64,OFFSET(INDIRECT(""&amp;$B$29&amp;"!$A$4"),0,0,200,100),MATCH(F$30,INDIRECT(""&amp;$B$29&amp;"!$A$4"):INDIRECT(""&amp;$B$29&amp;"!$o$4"),0),FALSE)),"",VLOOKUP($B64,OFFSET(INDIRECT(""&amp;$B$29&amp;"!$A$4"),0,0,200,100),MATCH(F$30,INDIRECT(""&amp;$B$29&amp;"!$A$4"):INDIRECT(""&amp;$B$29&amp;"!$o$4"),0),FALSE))</f>
        <v>61063.923433000004</v>
      </c>
      <c r="G64" s="76">
        <f ca="1">IF(ISERROR(VLOOKUP($B64,OFFSET(INDIRECT(""&amp;$B$29&amp;"!$A$4"),0,0,200,100),MATCH(G$30,INDIRECT(""&amp;$B$29&amp;"!$A$4"):INDIRECT(""&amp;$B$29&amp;"!$o$4"),0),FALSE)),"",VLOOKUP($B64,OFFSET(INDIRECT(""&amp;$B$29&amp;"!$A$4"),0,0,200,100),MATCH(G$30,INDIRECT(""&amp;$B$29&amp;"!$A$4"):INDIRECT(""&amp;$B$29&amp;"!$o$4"),0),FALSE))</f>
        <v>54957.524367999999</v>
      </c>
      <c r="H64" s="76">
        <f ca="1">IF(ISERROR(VLOOKUP($B64,OFFSET(INDIRECT(""&amp;$B$29&amp;"!$A$4"),0,0,200,100),MATCH(H$30,INDIRECT(""&amp;$B$29&amp;"!$A$4"):INDIRECT(""&amp;$B$29&amp;"!$o$4"),0),FALSE)),"",VLOOKUP($B64,OFFSET(INDIRECT(""&amp;$B$29&amp;"!$A$4"),0,0,200,100),MATCH(H$30,INDIRECT(""&amp;$B$29&amp;"!$A$4"):INDIRECT(""&amp;$B$29&amp;"!$o$4"),0),FALSE))</f>
        <v>50330.949782999996</v>
      </c>
      <c r="I64" s="76">
        <f ca="1">IF(ISERROR(VLOOKUP($B64,OFFSET(INDIRECT(""&amp;$B$29&amp;"!$A$4"),0,0,200,100),MATCH(I$30,INDIRECT(""&amp;$B$29&amp;"!$A$4"):INDIRECT(""&amp;$B$29&amp;"!$o$4"),0),FALSE)),"",VLOOKUP($B64,OFFSET(INDIRECT(""&amp;$B$29&amp;"!$A$4"),0,0,200,100),MATCH(I$30,INDIRECT(""&amp;$B$29&amp;"!$A$4"):INDIRECT(""&amp;$B$29&amp;"!$o$4"),0),FALSE))</f>
        <v>45832.197380999998</v>
      </c>
      <c r="J64" s="76">
        <f ca="1">IF(ISERROR(VLOOKUP($B64,OFFSET(INDIRECT(""&amp;$B$29&amp;"!$A$4"),0,0,200,100),MATCH(J$30,INDIRECT(""&amp;$B$29&amp;"!$A$4"):INDIRECT(""&amp;$B$29&amp;"!$o$4"),0),FALSE)),"",VLOOKUP($B64,OFFSET(INDIRECT(""&amp;$B$29&amp;"!$A$4"),0,0,200,100),MATCH(J$30,INDIRECT(""&amp;$B$29&amp;"!$A$4"):INDIRECT(""&amp;$B$29&amp;"!$o$4"),0),FALSE))</f>
        <v>45832.197380999998</v>
      </c>
      <c r="K64" s="109" t="s">
        <v>155</v>
      </c>
      <c r="L64" s="76">
        <f ca="1">IF(ISERROR(VLOOKUP($K64,OFFSET(INDIRECT(""&amp;$S$29&amp;"!$A$4"),0,0,200,100),MATCH(L$30,INDIRECT(""&amp;$S$29&amp;"!$A$4"):INDIRECT(""&amp;$S$29&amp;"!$AA$4"),0),FALSE)),"",VLOOKUP($K64,OFFSET(INDIRECT(""&amp;$S$29&amp;"!$A$4"),0,0,200,100),MATCH(L$30,INDIRECT(""&amp;$S$29&amp;"!$A$4"):INDIRECT(""&amp;$S$29&amp;"!$AA$4"),0),FALSE))</f>
        <v>55804.740353000001</v>
      </c>
      <c r="M64" s="76">
        <f ca="1">IF(ISERROR(VLOOKUP($K64,OFFSET(INDIRECT(""&amp;$S$29&amp;"!$A$4"),0,0,200,100),MATCH(M$30,INDIRECT(""&amp;$S$29&amp;"!$A$4"):INDIRECT(""&amp;$S$29&amp;"!$AA$4"),0),FALSE)),"",VLOOKUP($K64,OFFSET(INDIRECT(""&amp;$S$29&amp;"!$A$4"),0,0,200,100),MATCH(M$30,INDIRECT(""&amp;$S$29&amp;"!$A$4"):INDIRECT(""&amp;$S$29&amp;"!$AA$4"),0),FALSE))</f>
        <v>58475.120813000001</v>
      </c>
      <c r="N64" s="76">
        <f ca="1">IF(ISERROR(VLOOKUP($K64,OFFSET(INDIRECT(""&amp;$S$29&amp;"!$A$4"),0,0,200,100),MATCH(N$30,INDIRECT(""&amp;$S$29&amp;"!$A$4"):INDIRECT(""&amp;$S$29&amp;"!$AA$4"),0),FALSE)),"",VLOOKUP($K64,OFFSET(INDIRECT(""&amp;$S$29&amp;"!$A$4"),0,0,200,100),MATCH(N$30,INDIRECT(""&amp;$S$29&amp;"!$A$4"):INDIRECT(""&amp;$S$29&amp;"!$AA$4"),0),FALSE))</f>
        <v>59075.120813000001</v>
      </c>
      <c r="O64" s="76">
        <f ca="1">IF(ISERROR(VLOOKUP($K64,OFFSET(INDIRECT(""&amp;$S$29&amp;"!$A$4"),0,0,200,100),MATCH(O$30,INDIRECT(""&amp;$S$29&amp;"!$A$4"):INDIRECT(""&amp;$S$29&amp;"!$AA$4"),0),FALSE)),"",VLOOKUP($K64,OFFSET(INDIRECT(""&amp;$S$29&amp;"!$A$4"),0,0,200,100),MATCH(O$30,INDIRECT(""&amp;$S$29&amp;"!$A$4"):INDIRECT(""&amp;$S$29&amp;"!$AA$4"),0),FALSE))</f>
        <v>60808.423433000004</v>
      </c>
      <c r="P64" s="76">
        <f ca="1">IF(ISERROR(VLOOKUP($K64,OFFSET(INDIRECT(""&amp;$S$29&amp;"!$A$4"),0,0,200,100),MATCH(P$30,INDIRECT(""&amp;$S$29&amp;"!$A$4"):INDIRECT(""&amp;$S$29&amp;"!$AA$4"),0),FALSE)),"",VLOOKUP($K64,OFFSET(INDIRECT(""&amp;$S$29&amp;"!$A$4"),0,0,200,100),MATCH(P$30,INDIRECT(""&amp;$S$29&amp;"!$A$4"):INDIRECT(""&amp;$S$29&amp;"!$AA$4"),0),FALSE))</f>
        <v>60954.727433</v>
      </c>
      <c r="Q64" s="76">
        <f ca="1">IF(ISERROR(VLOOKUP($K64,OFFSET(INDIRECT(""&amp;$S$29&amp;"!$A$4"),0,0,200,100),MATCH(Q$30,INDIRECT(""&amp;$S$29&amp;"!$A$4"):INDIRECT(""&amp;$S$29&amp;"!$AA$4"),0),FALSE)),"",VLOOKUP($K64,OFFSET(INDIRECT(""&amp;$S$29&amp;"!$A$4"),0,0,200,100),MATCH(Q$30,INDIRECT(""&amp;$S$29&amp;"!$A$4"):INDIRECT(""&amp;$S$29&amp;"!$AA$4"),0),FALSE))</f>
        <v>58473.655433</v>
      </c>
      <c r="R64" s="76">
        <f ca="1">IF(ISERROR(VLOOKUP($K64,OFFSET(INDIRECT(""&amp;$S$29&amp;"!$A$4"),0,0,200,100),MATCH(R$30,INDIRECT(""&amp;$S$29&amp;"!$A$4"):INDIRECT(""&amp;$S$29&amp;"!$AA$4"),0),FALSE)),"",VLOOKUP($K64,OFFSET(INDIRECT(""&amp;$S$29&amp;"!$A$4"),0,0,200,100),MATCH(R$30,INDIRECT(""&amp;$S$29&amp;"!$A$4"):INDIRECT(""&amp;$S$29&amp;"!$AA$4"),0),FALSE))</f>
        <v>59682.655433</v>
      </c>
      <c r="S64" s="76">
        <f ca="1">IF(ISERROR(VLOOKUP($K64,OFFSET(INDIRECT(""&amp;$S$29&amp;"!$A$4"),0,0,200,100),MATCH(S$30,INDIRECT(""&amp;$S$29&amp;"!$A$4"):INDIRECT(""&amp;$S$29&amp;"!$AA$4"),0),FALSE)),"",VLOOKUP($K64,OFFSET(INDIRECT(""&amp;$S$29&amp;"!$A$4"),0,0,200,100),MATCH(S$30,INDIRECT(""&amp;$S$29&amp;"!$A$4"):INDIRECT(""&amp;$S$29&amp;"!$AA$4"),0),FALSE))</f>
        <v>54957.524367999999</v>
      </c>
      <c r="T64" s="76">
        <f ca="1">IF(ISERROR(VLOOKUP($K64,OFFSET(INDIRECT(""&amp;$S$29&amp;"!$A$4"),0,0,200,100),MATCH(T$30,INDIRECT(""&amp;$S$29&amp;"!$A$4"):INDIRECT(""&amp;$S$29&amp;"!$AA$4"),0),FALSE)),"",VLOOKUP($K64,OFFSET(INDIRECT(""&amp;$S$29&amp;"!$A$4"),0,0,200,100),MATCH(T$30,INDIRECT(""&amp;$S$29&amp;"!$A$4"):INDIRECT(""&amp;$S$29&amp;"!$AA$4"),0),FALSE))</f>
        <v>54957.524367999999</v>
      </c>
      <c r="U64" s="76">
        <f ca="1">IF(ISERROR(VLOOKUP($K64,OFFSET(INDIRECT(""&amp;$S$29&amp;"!$A$4"),0,0,200,100),MATCH(U$30,INDIRECT(""&amp;$S$29&amp;"!$A$4"):INDIRECT(""&amp;$S$29&amp;"!$AA$4"),0),FALSE)),"",VLOOKUP($K64,OFFSET(INDIRECT(""&amp;$S$29&amp;"!$A$4"),0,0,200,100),MATCH(U$30,INDIRECT(""&amp;$S$29&amp;"!$A$4"):INDIRECT(""&amp;$S$29&amp;"!$AA$4"),0),FALSE))</f>
        <v>54957.524367999999</v>
      </c>
      <c r="V64" s="76">
        <f ca="1">IF(ISERROR(VLOOKUP($K64,OFFSET(INDIRECT(""&amp;$S$29&amp;"!$A$4"),0,0,200,100),MATCH(V$30,INDIRECT(""&amp;$S$29&amp;"!$A$4"):INDIRECT(""&amp;$S$29&amp;"!$AA$4"),0),FALSE)),"",VLOOKUP($K64,OFFSET(INDIRECT(""&amp;$S$29&amp;"!$A$4"),0,0,200,100),MATCH(V$30,INDIRECT(""&amp;$S$29&amp;"!$A$4"):INDIRECT(""&amp;$S$29&amp;"!$AA$4"),0),FALSE))</f>
        <v>54884.754654999997</v>
      </c>
      <c r="W64" s="76">
        <f ca="1">IF(ISERROR(VLOOKUP($K64,OFFSET(INDIRECT(""&amp;$S$29&amp;"!$A$4"),0,0,200,100),MATCH(W$30,INDIRECT(""&amp;$S$29&amp;"!$A$4"):INDIRECT(""&amp;$S$29&amp;"!$AA$4"),0),FALSE)),"",VLOOKUP($K64,OFFSET(INDIRECT(""&amp;$S$29&amp;"!$A$4"),0,0,200,100),MATCH(W$30,INDIRECT(""&amp;$S$29&amp;"!$A$4"):INDIRECT(""&amp;$S$29&amp;"!$AA$4"),0),FALSE))</f>
        <v>50330.949782999996</v>
      </c>
      <c r="X64" s="76">
        <f ca="1">IF(ISERROR(VLOOKUP($K64,OFFSET(INDIRECT(""&amp;$S$29&amp;"!$A$4"),0,0,200,100),MATCH(X$30,INDIRECT(""&amp;$S$29&amp;"!$A$4"):INDIRECT(""&amp;$S$29&amp;"!$AA$4"),0),FALSE)),"",VLOOKUP($K64,OFFSET(INDIRECT(""&amp;$S$29&amp;"!$A$4"),0,0,200,100),MATCH(X$30,INDIRECT(""&amp;$S$29&amp;"!$A$4"):INDIRECT(""&amp;$S$29&amp;"!$AA$4"),0),FALSE))</f>
        <v>50102.215339000002</v>
      </c>
      <c r="Y64" s="76">
        <f ca="1">IF(ISERROR(VLOOKUP($K64,OFFSET(INDIRECT(""&amp;$S$29&amp;"!$A$4"),0,0,200,100),MATCH(Y$30,INDIRECT(""&amp;$S$29&amp;"!$A$4"):INDIRECT(""&amp;$S$29&amp;"!$AA$4"),0),FALSE)),"",VLOOKUP($K64,OFFSET(INDIRECT(""&amp;$S$29&amp;"!$A$4"),0,0,200,100),MATCH(Y$30,INDIRECT(""&amp;$S$29&amp;"!$A$4"):INDIRECT(""&amp;$S$29&amp;"!$AA$4"),0),FALSE))</f>
        <v>48330.332639</v>
      </c>
      <c r="Z64" s="76">
        <f ca="1">IF(ISERROR(VLOOKUP($K64,OFFSET(INDIRECT(""&amp;$S$29&amp;"!$A$4"),0,0,200,100),MATCH(Z$30,INDIRECT(""&amp;$S$29&amp;"!$A$4"):INDIRECT(""&amp;$S$29&amp;"!$AA$4"),0),FALSE)),"",VLOOKUP($K64,OFFSET(INDIRECT(""&amp;$S$29&amp;"!$A$4"),0,0,200,100),MATCH(Z$30,INDIRECT(""&amp;$S$29&amp;"!$A$4"):INDIRECT(""&amp;$S$29&amp;"!$AA$4"),0),FALSE))</f>
        <v>47698.710549000003</v>
      </c>
      <c r="AA64" s="76">
        <f t="shared" ca="1" si="61"/>
        <v>48330.332639</v>
      </c>
      <c r="AB64" s="110"/>
      <c r="AC64" s="87">
        <f t="shared" ca="1" si="48"/>
        <v>0.16015398479120277</v>
      </c>
      <c r="AD64" s="87">
        <f t="shared" ca="1" si="49"/>
        <v>0.16194226041948967</v>
      </c>
      <c r="AE64" s="87">
        <f t="shared" ca="1" si="50"/>
        <v>0.14400204013978921</v>
      </c>
      <c r="AF64" s="87">
        <f t="shared" ca="1" si="51"/>
        <v>0.13744400427510017</v>
      </c>
      <c r="AG64" s="87">
        <f t="shared" ca="1" si="64"/>
        <v>0.13448005066906166</v>
      </c>
      <c r="AH64" s="87">
        <f t="shared" ca="1" si="64"/>
        <v>0.13448005066906166</v>
      </c>
      <c r="AI64" s="144"/>
      <c r="AJ64" s="87">
        <f t="shared" ca="1" si="53"/>
        <v>0.15520489593670161</v>
      </c>
      <c r="AK64" s="87">
        <f t="shared" ca="1" si="54"/>
        <v>0.15674441359248534</v>
      </c>
      <c r="AL64" s="87">
        <f t="shared" ca="1" si="55"/>
        <v>0.14132939178254195</v>
      </c>
      <c r="AM64" s="87">
        <f t="shared" ca="1" si="56"/>
        <v>0.15018734453484839</v>
      </c>
      <c r="AN64" s="87">
        <f t="shared" ca="1" si="57"/>
        <v>0.13636617279035637</v>
      </c>
      <c r="AO64" s="87">
        <f t="shared" ca="1" si="65"/>
        <v>0.14489200779016914</v>
      </c>
      <c r="AP64" s="87">
        <f t="shared" ca="1" si="65"/>
        <v>0.14909895726283667</v>
      </c>
      <c r="AQ64" s="87">
        <f t="shared" ca="1" si="65"/>
        <v>0.15202964415080408</v>
      </c>
      <c r="AR64" s="87">
        <f t="shared" ca="1" si="65"/>
        <v>0.13720467737934405</v>
      </c>
      <c r="AS64" s="87">
        <f t="shared" ca="1" si="65"/>
        <v>0.13588019874543331</v>
      </c>
      <c r="AT64" s="87">
        <f t="shared" ca="1" si="59"/>
        <v>0.14289349554090391</v>
      </c>
      <c r="AU64" s="87">
        <f t="shared" ca="1" si="59"/>
        <v>0.14163375417104207</v>
      </c>
      <c r="AV64" s="87">
        <f t="shared" ca="1" si="60"/>
        <v>0.14289349554090391</v>
      </c>
    </row>
    <row r="65" spans="1:48" s="112" customFormat="1" ht="15.95" customHeight="1" outlineLevel="1">
      <c r="A65" s="113" t="s">
        <v>260</v>
      </c>
      <c r="B65" s="111" t="s">
        <v>156</v>
      </c>
      <c r="C65" s="76">
        <f ca="1">IF(ISERROR(VLOOKUP($B65,OFFSET(INDIRECT(""&amp;$B$29&amp;"!$A$4"),0,0,200,100),MATCH(C$30,INDIRECT(""&amp;$B$29&amp;"!$A$4"):INDIRECT(""&amp;$B$29&amp;"!$o$4"),0),FALSE)),"",VLOOKUP($B65,OFFSET(INDIRECT(""&amp;$B$29&amp;"!$A$4"),0,0,200,100),MATCH(C$30,INDIRECT(""&amp;$B$29&amp;"!$A$4"):INDIRECT(""&amp;$B$29&amp;"!$o$4"),0),FALSE))</f>
        <v>0</v>
      </c>
      <c r="D65" s="76">
        <f ca="1">IF(ISERROR(VLOOKUP($B65,OFFSET(INDIRECT(""&amp;$B$29&amp;"!$A$4"),0,0,200,100),MATCH(D$30,INDIRECT(""&amp;$B$29&amp;"!$A$4"):INDIRECT(""&amp;$B$29&amp;"!$o$4"),0),FALSE)),"",VLOOKUP($B65,OFFSET(INDIRECT(""&amp;$B$29&amp;"!$A$4"),0,0,200,100),MATCH(D$30,INDIRECT(""&amp;$B$29&amp;"!$A$4"):INDIRECT(""&amp;$B$29&amp;"!$o$4"),0),FALSE))</f>
        <v>0</v>
      </c>
      <c r="E65" s="76">
        <f ca="1">IF(ISERROR(VLOOKUP($B65,OFFSET(INDIRECT(""&amp;$B$29&amp;"!$A$4"),0,0,200,100),MATCH(E$30,INDIRECT(""&amp;$B$29&amp;"!$A$4"):INDIRECT(""&amp;$B$29&amp;"!$o$4"),0),FALSE)),"",VLOOKUP($B65,OFFSET(INDIRECT(""&amp;$B$29&amp;"!$A$4"),0,0,200,100),MATCH(E$30,INDIRECT(""&amp;$B$29&amp;"!$A$4"):INDIRECT(""&amp;$B$29&amp;"!$o$4"),0),FALSE))</f>
        <v>0</v>
      </c>
      <c r="F65" s="76">
        <f ca="1">IF(ISERROR(VLOOKUP($B65,OFFSET(INDIRECT(""&amp;$B$29&amp;"!$A$4"),0,0,200,100),MATCH(F$30,INDIRECT(""&amp;$B$29&amp;"!$A$4"):INDIRECT(""&amp;$B$29&amp;"!$o$4"),0),FALSE)),"",VLOOKUP($B65,OFFSET(INDIRECT(""&amp;$B$29&amp;"!$A$4"),0,0,200,100),MATCH(F$30,INDIRECT(""&amp;$B$29&amp;"!$A$4"):INDIRECT(""&amp;$B$29&amp;"!$o$4"),0),FALSE))</f>
        <v>0</v>
      </c>
      <c r="G65" s="76">
        <f ca="1">IF(ISERROR(VLOOKUP($B65,OFFSET(INDIRECT(""&amp;$B$29&amp;"!$A$4"),0,0,200,100),MATCH(G$30,INDIRECT(""&amp;$B$29&amp;"!$A$4"):INDIRECT(""&amp;$B$29&amp;"!$o$4"),0),FALSE)),"",VLOOKUP($B65,OFFSET(INDIRECT(""&amp;$B$29&amp;"!$A$4"),0,0,200,100),MATCH(G$30,INDIRECT(""&amp;$B$29&amp;"!$A$4"):INDIRECT(""&amp;$B$29&amp;"!$o$4"),0),FALSE))</f>
        <v>0</v>
      </c>
      <c r="H65" s="76">
        <f ca="1">IF(ISERROR(VLOOKUP($B65,OFFSET(INDIRECT(""&amp;$B$29&amp;"!$A$4"),0,0,200,100),MATCH(H$30,INDIRECT(""&amp;$B$29&amp;"!$A$4"):INDIRECT(""&amp;$B$29&amp;"!$o$4"),0),FALSE)),"",VLOOKUP($B65,OFFSET(INDIRECT(""&amp;$B$29&amp;"!$A$4"),0,0,200,100),MATCH(H$30,INDIRECT(""&amp;$B$29&amp;"!$A$4"):INDIRECT(""&amp;$B$29&amp;"!$o$4"),0),FALSE))</f>
        <v>0</v>
      </c>
      <c r="I65" s="76">
        <f ca="1">IF(ISERROR(VLOOKUP($B65,OFFSET(INDIRECT(""&amp;$B$29&amp;"!$A$4"),0,0,200,100),MATCH(I$30,INDIRECT(""&amp;$B$29&amp;"!$A$4"):INDIRECT(""&amp;$B$29&amp;"!$o$4"),0),FALSE)),"",VLOOKUP($B65,OFFSET(INDIRECT(""&amp;$B$29&amp;"!$A$4"),0,0,200,100),MATCH(I$30,INDIRECT(""&amp;$B$29&amp;"!$A$4"):INDIRECT(""&amp;$B$29&amp;"!$o$4"),0),FALSE))</f>
        <v>0</v>
      </c>
      <c r="J65" s="76">
        <f ca="1">IF(ISERROR(VLOOKUP($B65,OFFSET(INDIRECT(""&amp;$B$29&amp;"!$A$4"),0,0,200,100),MATCH(J$30,INDIRECT(""&amp;$B$29&amp;"!$A$4"):INDIRECT(""&amp;$B$29&amp;"!$o$4"),0),FALSE)),"",VLOOKUP($B65,OFFSET(INDIRECT(""&amp;$B$29&amp;"!$A$4"),0,0,200,100),MATCH(J$30,INDIRECT(""&amp;$B$29&amp;"!$A$4"):INDIRECT(""&amp;$B$29&amp;"!$o$4"),0),FALSE))</f>
        <v>0</v>
      </c>
      <c r="K65" s="114" t="s">
        <v>156</v>
      </c>
      <c r="L65" s="76">
        <f ca="1">IF(ISERROR(VLOOKUP($K65,OFFSET(INDIRECT(""&amp;$S$29&amp;"!$A$4"),0,0,200,100),MATCH(L$30,INDIRECT(""&amp;$S$29&amp;"!$A$4"):INDIRECT(""&amp;$S$29&amp;"!$AA$4"),0),FALSE)),"",VLOOKUP($K65,OFFSET(INDIRECT(""&amp;$S$29&amp;"!$A$4"),0,0,200,100),MATCH(L$30,INDIRECT(""&amp;$S$29&amp;"!$A$4"):INDIRECT(""&amp;$S$29&amp;"!$AA$4"),0),FALSE))</f>
        <v>0</v>
      </c>
      <c r="M65" s="76">
        <f ca="1">IF(ISERROR(VLOOKUP($K65,OFFSET(INDIRECT(""&amp;$S$29&amp;"!$A$4"),0,0,200,100),MATCH(M$30,INDIRECT(""&amp;$S$29&amp;"!$A$4"):INDIRECT(""&amp;$S$29&amp;"!$AA$4"),0),FALSE)),"",VLOOKUP($K65,OFFSET(INDIRECT(""&amp;$S$29&amp;"!$A$4"),0,0,200,100),MATCH(M$30,INDIRECT(""&amp;$S$29&amp;"!$A$4"):INDIRECT(""&amp;$S$29&amp;"!$AA$4"),0),FALSE))</f>
        <v>0</v>
      </c>
      <c r="N65" s="76">
        <f ca="1">IF(ISERROR(VLOOKUP($K65,OFFSET(INDIRECT(""&amp;$S$29&amp;"!$A$4"),0,0,200,100),MATCH(N$30,INDIRECT(""&amp;$S$29&amp;"!$A$4"):INDIRECT(""&amp;$S$29&amp;"!$AA$4"),0),FALSE)),"",VLOOKUP($K65,OFFSET(INDIRECT(""&amp;$S$29&amp;"!$A$4"),0,0,200,100),MATCH(N$30,INDIRECT(""&amp;$S$29&amp;"!$A$4"):INDIRECT(""&amp;$S$29&amp;"!$AA$4"),0),FALSE))</f>
        <v>0</v>
      </c>
      <c r="O65" s="76">
        <f ca="1">IF(ISERROR(VLOOKUP($K65,OFFSET(INDIRECT(""&amp;$S$29&amp;"!$A$4"),0,0,200,100),MATCH(O$30,INDIRECT(""&amp;$S$29&amp;"!$A$4"):INDIRECT(""&amp;$S$29&amp;"!$AA$4"),0),FALSE)),"",VLOOKUP($K65,OFFSET(INDIRECT(""&amp;$S$29&amp;"!$A$4"),0,0,200,100),MATCH(O$30,INDIRECT(""&amp;$S$29&amp;"!$A$4"):INDIRECT(""&amp;$S$29&amp;"!$AA$4"),0),FALSE))</f>
        <v>0</v>
      </c>
      <c r="P65" s="76">
        <f ca="1">IF(ISERROR(VLOOKUP($K65,OFFSET(INDIRECT(""&amp;$S$29&amp;"!$A$4"),0,0,200,100),MATCH(P$30,INDIRECT(""&amp;$S$29&amp;"!$A$4"):INDIRECT(""&amp;$S$29&amp;"!$AA$4"),0),FALSE)),"",VLOOKUP($K65,OFFSET(INDIRECT(""&amp;$S$29&amp;"!$A$4"),0,0,200,100),MATCH(P$30,INDIRECT(""&amp;$S$29&amp;"!$A$4"):INDIRECT(""&amp;$S$29&amp;"!$AA$4"),0),FALSE))</f>
        <v>0</v>
      </c>
      <c r="Q65" s="76">
        <f ca="1">IF(ISERROR(VLOOKUP($K65,OFFSET(INDIRECT(""&amp;$S$29&amp;"!$A$4"),0,0,200,100),MATCH(Q$30,INDIRECT(""&amp;$S$29&amp;"!$A$4"):INDIRECT(""&amp;$S$29&amp;"!$AA$4"),0),FALSE)),"",VLOOKUP($K65,OFFSET(INDIRECT(""&amp;$S$29&amp;"!$A$4"),0,0,200,100),MATCH(Q$30,INDIRECT(""&amp;$S$29&amp;"!$A$4"):INDIRECT(""&amp;$S$29&amp;"!$AA$4"),0),FALSE))</f>
        <v>0</v>
      </c>
      <c r="R65" s="76">
        <f ca="1">IF(ISERROR(VLOOKUP($K65,OFFSET(INDIRECT(""&amp;$S$29&amp;"!$A$4"),0,0,200,100),MATCH(R$30,INDIRECT(""&amp;$S$29&amp;"!$A$4"):INDIRECT(""&amp;$S$29&amp;"!$AA$4"),0),FALSE)),"",VLOOKUP($K65,OFFSET(INDIRECT(""&amp;$S$29&amp;"!$A$4"),0,0,200,100),MATCH(R$30,INDIRECT(""&amp;$S$29&amp;"!$A$4"):INDIRECT(""&amp;$S$29&amp;"!$AA$4"),0),FALSE))</f>
        <v>0</v>
      </c>
      <c r="S65" s="76">
        <f ca="1">IF(ISERROR(VLOOKUP($K65,OFFSET(INDIRECT(""&amp;$S$29&amp;"!$A$4"),0,0,200,100),MATCH(S$30,INDIRECT(""&amp;$S$29&amp;"!$A$4"):INDIRECT(""&amp;$S$29&amp;"!$AA$4"),0),FALSE)),"",VLOOKUP($K65,OFFSET(INDIRECT(""&amp;$S$29&amp;"!$A$4"),0,0,200,100),MATCH(S$30,INDIRECT(""&amp;$S$29&amp;"!$A$4"):INDIRECT(""&amp;$S$29&amp;"!$AA$4"),0),FALSE))</f>
        <v>0</v>
      </c>
      <c r="T65" s="76">
        <f ca="1">IF(ISERROR(VLOOKUP($K65,OFFSET(INDIRECT(""&amp;$S$29&amp;"!$A$4"),0,0,200,100),MATCH(T$30,INDIRECT(""&amp;$S$29&amp;"!$A$4"):INDIRECT(""&amp;$S$29&amp;"!$AA$4"),0),FALSE)),"",VLOOKUP($K65,OFFSET(INDIRECT(""&amp;$S$29&amp;"!$A$4"),0,0,200,100),MATCH(T$30,INDIRECT(""&amp;$S$29&amp;"!$A$4"):INDIRECT(""&amp;$S$29&amp;"!$AA$4"),0),FALSE))</f>
        <v>0</v>
      </c>
      <c r="U65" s="76">
        <f ca="1">IF(ISERROR(VLOOKUP($K65,OFFSET(INDIRECT(""&amp;$S$29&amp;"!$A$4"),0,0,200,100),MATCH(U$30,INDIRECT(""&amp;$S$29&amp;"!$A$4"):INDIRECT(""&amp;$S$29&amp;"!$AA$4"),0),FALSE)),"",VLOOKUP($K65,OFFSET(INDIRECT(""&amp;$S$29&amp;"!$A$4"),0,0,200,100),MATCH(U$30,INDIRECT(""&amp;$S$29&amp;"!$A$4"):INDIRECT(""&amp;$S$29&amp;"!$AA$4"),0),FALSE))</f>
        <v>0</v>
      </c>
      <c r="V65" s="76">
        <f ca="1">IF(ISERROR(VLOOKUP($K65,OFFSET(INDIRECT(""&amp;$S$29&amp;"!$A$4"),0,0,200,100),MATCH(V$30,INDIRECT(""&amp;$S$29&amp;"!$A$4"):INDIRECT(""&amp;$S$29&amp;"!$AA$4"),0),FALSE)),"",VLOOKUP($K65,OFFSET(INDIRECT(""&amp;$S$29&amp;"!$A$4"),0,0,200,100),MATCH(V$30,INDIRECT(""&amp;$S$29&amp;"!$A$4"):INDIRECT(""&amp;$S$29&amp;"!$AA$4"),0),FALSE))</f>
        <v>0</v>
      </c>
      <c r="W65" s="76">
        <f ca="1">IF(ISERROR(VLOOKUP($K65,OFFSET(INDIRECT(""&amp;$S$29&amp;"!$A$4"),0,0,200,100),MATCH(W$30,INDIRECT(""&amp;$S$29&amp;"!$A$4"):INDIRECT(""&amp;$S$29&amp;"!$AA$4"),0),FALSE)),"",VLOOKUP($K65,OFFSET(INDIRECT(""&amp;$S$29&amp;"!$A$4"),0,0,200,100),MATCH(W$30,INDIRECT(""&amp;$S$29&amp;"!$A$4"):INDIRECT(""&amp;$S$29&amp;"!$AA$4"),0),FALSE))</f>
        <v>0</v>
      </c>
      <c r="X65" s="76">
        <f ca="1">IF(ISERROR(VLOOKUP($K65,OFFSET(INDIRECT(""&amp;$S$29&amp;"!$A$4"),0,0,200,100),MATCH(X$30,INDIRECT(""&amp;$S$29&amp;"!$A$4"):INDIRECT(""&amp;$S$29&amp;"!$AA$4"),0),FALSE)),"",VLOOKUP($K65,OFFSET(INDIRECT(""&amp;$S$29&amp;"!$A$4"),0,0,200,100),MATCH(X$30,INDIRECT(""&amp;$S$29&amp;"!$A$4"):INDIRECT(""&amp;$S$29&amp;"!$AA$4"),0),FALSE))</f>
        <v>0</v>
      </c>
      <c r="Y65" s="76">
        <f ca="1">IF(ISERROR(VLOOKUP($K65,OFFSET(INDIRECT(""&amp;$S$29&amp;"!$A$4"),0,0,200,100),MATCH(Y$30,INDIRECT(""&amp;$S$29&amp;"!$A$4"):INDIRECT(""&amp;$S$29&amp;"!$AA$4"),0),FALSE)),"",VLOOKUP($K65,OFFSET(INDIRECT(""&amp;$S$29&amp;"!$A$4"),0,0,200,100),MATCH(Y$30,INDIRECT(""&amp;$S$29&amp;"!$A$4"):INDIRECT(""&amp;$S$29&amp;"!$AA$4"),0),FALSE))</f>
        <v>0</v>
      </c>
      <c r="Z65" s="76">
        <f ca="1">IF(ISERROR(VLOOKUP($K65,OFFSET(INDIRECT(""&amp;$S$29&amp;"!$A$4"),0,0,200,100),MATCH(Z$30,INDIRECT(""&amp;$S$29&amp;"!$A$4"):INDIRECT(""&amp;$S$29&amp;"!$AA$4"),0),FALSE)),"",VLOOKUP($K65,OFFSET(INDIRECT(""&amp;$S$29&amp;"!$A$4"),0,0,200,100),MATCH(Z$30,INDIRECT(""&amp;$S$29&amp;"!$A$4"):INDIRECT(""&amp;$S$29&amp;"!$AA$4"),0),FALSE))</f>
        <v>0</v>
      </c>
      <c r="AA65" s="76">
        <f t="shared" ca="1" si="61"/>
        <v>0</v>
      </c>
      <c r="AB65" s="115"/>
      <c r="AC65" s="87">
        <f t="shared" ca="1" si="48"/>
        <v>0</v>
      </c>
      <c r="AD65" s="87">
        <f t="shared" ca="1" si="49"/>
        <v>0</v>
      </c>
      <c r="AE65" s="87">
        <f t="shared" ca="1" si="50"/>
        <v>0</v>
      </c>
      <c r="AF65" s="87">
        <f t="shared" ca="1" si="51"/>
        <v>0</v>
      </c>
      <c r="AG65" s="87">
        <f t="shared" ca="1" si="64"/>
        <v>0</v>
      </c>
      <c r="AH65" s="87">
        <f t="shared" ca="1" si="64"/>
        <v>0</v>
      </c>
      <c r="AI65" s="145"/>
      <c r="AJ65" s="87">
        <f t="shared" ca="1" si="53"/>
        <v>0</v>
      </c>
      <c r="AK65" s="87">
        <f t="shared" ca="1" si="54"/>
        <v>0</v>
      </c>
      <c r="AL65" s="87">
        <f t="shared" ca="1" si="55"/>
        <v>0</v>
      </c>
      <c r="AM65" s="87">
        <f t="shared" ca="1" si="56"/>
        <v>0</v>
      </c>
      <c r="AN65" s="87">
        <f t="shared" ca="1" si="57"/>
        <v>0</v>
      </c>
      <c r="AO65" s="87">
        <f t="shared" ca="1" si="65"/>
        <v>0</v>
      </c>
      <c r="AP65" s="87">
        <f t="shared" ca="1" si="65"/>
        <v>0</v>
      </c>
      <c r="AQ65" s="87">
        <f t="shared" ca="1" si="65"/>
        <v>0</v>
      </c>
      <c r="AR65" s="87">
        <f t="shared" ca="1" si="65"/>
        <v>0</v>
      </c>
      <c r="AS65" s="87">
        <f t="shared" ca="1" si="65"/>
        <v>0</v>
      </c>
      <c r="AT65" s="87">
        <f t="shared" ca="1" si="59"/>
        <v>0</v>
      </c>
      <c r="AU65" s="87">
        <f t="shared" ca="1" si="59"/>
        <v>0</v>
      </c>
      <c r="AV65" s="87">
        <f t="shared" ca="1" si="60"/>
        <v>0</v>
      </c>
    </row>
    <row r="66" spans="1:48" s="108" customFormat="1" ht="15.95" customHeight="1" outlineLevel="1">
      <c r="A66" s="113" t="s">
        <v>261</v>
      </c>
      <c r="B66" s="111" t="s">
        <v>157</v>
      </c>
      <c r="C66" s="76">
        <f ca="1">IF(ISERROR(VLOOKUP($B66,OFFSET(INDIRECT(""&amp;$B$29&amp;"!$A$4"),0,0,200,100),MATCH(C$30,INDIRECT(""&amp;$B$29&amp;"!$A$4"):INDIRECT(""&amp;$B$29&amp;"!$o$4"),0),FALSE)),"",VLOOKUP($B66,OFFSET(INDIRECT(""&amp;$B$29&amp;"!$A$4"),0,0,200,100),MATCH(C$30,INDIRECT(""&amp;$B$29&amp;"!$A$4"):INDIRECT(""&amp;$B$29&amp;"!$o$4"),0),FALSE))</f>
        <v>1300</v>
      </c>
      <c r="D66" s="76">
        <f ca="1">IF(ISERROR(VLOOKUP($B66,OFFSET(INDIRECT(""&amp;$B$29&amp;"!$A$4"),0,0,200,100),MATCH(D$30,INDIRECT(""&amp;$B$29&amp;"!$A$4"):INDIRECT(""&amp;$B$29&amp;"!$o$4"),0),FALSE)),"",VLOOKUP($B66,OFFSET(INDIRECT(""&amp;$B$29&amp;"!$A$4"),0,0,200,100),MATCH(D$30,INDIRECT(""&amp;$B$29&amp;"!$A$4"):INDIRECT(""&amp;$B$29&amp;"!$o$4"),0),FALSE))</f>
        <v>244.63046800000001</v>
      </c>
      <c r="E66" s="76">
        <f ca="1">IF(ISERROR(VLOOKUP($B66,OFFSET(INDIRECT(""&amp;$B$29&amp;"!$A$4"),0,0,200,100),MATCH(E$30,INDIRECT(""&amp;$B$29&amp;"!$A$4"):INDIRECT(""&amp;$B$29&amp;"!$o$4"),0),FALSE)),"",VLOOKUP($B66,OFFSET(INDIRECT(""&amp;$B$29&amp;"!$A$4"),0,0,200,100),MATCH(E$30,INDIRECT(""&amp;$B$29&amp;"!$A$4"):INDIRECT(""&amp;$B$29&amp;"!$o$4"),0),FALSE))</f>
        <v>244.63046800000001</v>
      </c>
      <c r="F66" s="76">
        <f ca="1">IF(ISERROR(VLOOKUP($B66,OFFSET(INDIRECT(""&amp;$B$29&amp;"!$A$4"),0,0,200,100),MATCH(F$30,INDIRECT(""&amp;$B$29&amp;"!$A$4"):INDIRECT(""&amp;$B$29&amp;"!$o$4"),0),FALSE)),"",VLOOKUP($B66,OFFSET(INDIRECT(""&amp;$B$29&amp;"!$A$4"),0,0,200,100),MATCH(F$30,INDIRECT(""&amp;$B$29&amp;"!$A$4"):INDIRECT(""&amp;$B$29&amp;"!$o$4"),0),FALSE))</f>
        <v>244.63046800000001</v>
      </c>
      <c r="G66" s="76">
        <f ca="1">IF(ISERROR(VLOOKUP($B66,OFFSET(INDIRECT(""&amp;$B$29&amp;"!$A$4"),0,0,200,100),MATCH(G$30,INDIRECT(""&amp;$B$29&amp;"!$A$4"):INDIRECT(""&amp;$B$29&amp;"!$o$4"),0),FALSE)),"",VLOOKUP($B66,OFFSET(INDIRECT(""&amp;$B$29&amp;"!$A$4"),0,0,200,100),MATCH(G$30,INDIRECT(""&amp;$B$29&amp;"!$A$4"):INDIRECT(""&amp;$B$29&amp;"!$o$4"),0),FALSE))</f>
        <v>8704.4704679999995</v>
      </c>
      <c r="H66" s="76">
        <f ca="1">IF(ISERROR(VLOOKUP($B66,OFFSET(INDIRECT(""&amp;$B$29&amp;"!$A$4"),0,0,200,100),MATCH(H$30,INDIRECT(""&amp;$B$29&amp;"!$A$4"):INDIRECT(""&amp;$B$29&amp;"!$o$4"),0),FALSE)),"",VLOOKUP($B66,OFFSET(INDIRECT(""&amp;$B$29&amp;"!$A$4"),0,0,200,100),MATCH(H$30,INDIRECT(""&amp;$B$29&amp;"!$A$4"):INDIRECT(""&amp;$B$29&amp;"!$o$4"),0),FALSE))</f>
        <v>8704.4704679999995</v>
      </c>
      <c r="I66" s="76">
        <f ca="1">IF(ISERROR(VLOOKUP($B66,OFFSET(INDIRECT(""&amp;$B$29&amp;"!$A$4"),0,0,200,100),MATCH(I$30,INDIRECT(""&amp;$B$29&amp;"!$A$4"):INDIRECT(""&amp;$B$29&amp;"!$o$4"),0),FALSE)),"",VLOOKUP($B66,OFFSET(INDIRECT(""&amp;$B$29&amp;"!$A$4"),0,0,200,100),MATCH(I$30,INDIRECT(""&amp;$B$29&amp;"!$A$4"):INDIRECT(""&amp;$B$29&amp;"!$o$4"),0),FALSE))</f>
        <v>8459.84</v>
      </c>
      <c r="J66" s="76">
        <f ca="1">IF(ISERROR(VLOOKUP($B66,OFFSET(INDIRECT(""&amp;$B$29&amp;"!$A$4"),0,0,200,100),MATCH(J$30,INDIRECT(""&amp;$B$29&amp;"!$A$4"):INDIRECT(""&amp;$B$29&amp;"!$o$4"),0),FALSE)),"",VLOOKUP($B66,OFFSET(INDIRECT(""&amp;$B$29&amp;"!$A$4"),0,0,200,100),MATCH(J$30,INDIRECT(""&amp;$B$29&amp;"!$A$4"):INDIRECT(""&amp;$B$29&amp;"!$o$4"),0),FALSE))</f>
        <v>8459.84</v>
      </c>
      <c r="K66" s="109" t="s">
        <v>157</v>
      </c>
      <c r="L66" s="76">
        <f ca="1">IF(ISERROR(VLOOKUP($K66,OFFSET(INDIRECT(""&amp;$S$29&amp;"!$A$4"),0,0,200,100),MATCH(L$30,INDIRECT(""&amp;$S$29&amp;"!$A$4"):INDIRECT(""&amp;$S$29&amp;"!$AA$4"),0),FALSE)),"",VLOOKUP($K66,OFFSET(INDIRECT(""&amp;$S$29&amp;"!$A$4"),0,0,200,100),MATCH(L$30,INDIRECT(""&amp;$S$29&amp;"!$A$4"):INDIRECT(""&amp;$S$29&amp;"!$AA$4"),0),FALSE))</f>
        <v>244.63046800000001</v>
      </c>
      <c r="M66" s="76">
        <f ca="1">IF(ISERROR(VLOOKUP($K66,OFFSET(INDIRECT(""&amp;$S$29&amp;"!$A$4"),0,0,200,100),MATCH(M$30,INDIRECT(""&amp;$S$29&amp;"!$A$4"):INDIRECT(""&amp;$S$29&amp;"!$AA$4"),0),FALSE)),"",VLOOKUP($K66,OFFSET(INDIRECT(""&amp;$S$29&amp;"!$A$4"),0,0,200,100),MATCH(M$30,INDIRECT(""&amp;$S$29&amp;"!$A$4"):INDIRECT(""&amp;$S$29&amp;"!$AA$4"),0),FALSE))</f>
        <v>244.63046800000001</v>
      </c>
      <c r="N66" s="76">
        <f ca="1">IF(ISERROR(VLOOKUP($K66,OFFSET(INDIRECT(""&amp;$S$29&amp;"!$A$4"),0,0,200,100),MATCH(N$30,INDIRECT(""&amp;$S$29&amp;"!$A$4"):INDIRECT(""&amp;$S$29&amp;"!$AA$4"),0),FALSE)),"",VLOOKUP($K66,OFFSET(INDIRECT(""&amp;$S$29&amp;"!$A$4"),0,0,200,100),MATCH(N$30,INDIRECT(""&amp;$S$29&amp;"!$A$4"):INDIRECT(""&amp;$S$29&amp;"!$AA$4"),0),FALSE))</f>
        <v>244.63046800000001</v>
      </c>
      <c r="O66" s="76">
        <f ca="1">IF(ISERROR(VLOOKUP($K66,OFFSET(INDIRECT(""&amp;$S$29&amp;"!$A$4"),0,0,200,100),MATCH(O$30,INDIRECT(""&amp;$S$29&amp;"!$A$4"):INDIRECT(""&amp;$S$29&amp;"!$AA$4"),0),FALSE)),"",VLOOKUP($K66,OFFSET(INDIRECT(""&amp;$S$29&amp;"!$A$4"),0,0,200,100),MATCH(O$30,INDIRECT(""&amp;$S$29&amp;"!$A$4"):INDIRECT(""&amp;$S$29&amp;"!$AA$4"),0),FALSE))</f>
        <v>244.63046800000001</v>
      </c>
      <c r="P66" s="76">
        <f ca="1">IF(ISERROR(VLOOKUP($K66,OFFSET(INDIRECT(""&amp;$S$29&amp;"!$A$4"),0,0,200,100),MATCH(P$30,INDIRECT(""&amp;$S$29&amp;"!$A$4"):INDIRECT(""&amp;$S$29&amp;"!$AA$4"),0),FALSE)),"",VLOOKUP($K66,OFFSET(INDIRECT(""&amp;$S$29&amp;"!$A$4"),0,0,200,100),MATCH(P$30,INDIRECT(""&amp;$S$29&amp;"!$A$4"):INDIRECT(""&amp;$S$29&amp;"!$AA$4"),0),FALSE))</f>
        <v>244.63046800000001</v>
      </c>
      <c r="Q66" s="76">
        <f ca="1">IF(ISERROR(VLOOKUP($K66,OFFSET(INDIRECT(""&amp;$S$29&amp;"!$A$4"),0,0,200,100),MATCH(Q$30,INDIRECT(""&amp;$S$29&amp;"!$A$4"):INDIRECT(""&amp;$S$29&amp;"!$AA$4"),0),FALSE)),"",VLOOKUP($K66,OFFSET(INDIRECT(""&amp;$S$29&amp;"!$A$4"),0,0,200,100),MATCH(Q$30,INDIRECT(""&amp;$S$29&amp;"!$A$4"):INDIRECT(""&amp;$S$29&amp;"!$AA$4"),0),FALSE))</f>
        <v>244.63046800000001</v>
      </c>
      <c r="R66" s="76">
        <f ca="1">IF(ISERROR(VLOOKUP($K66,OFFSET(INDIRECT(""&amp;$S$29&amp;"!$A$4"),0,0,200,100),MATCH(R$30,INDIRECT(""&amp;$S$29&amp;"!$A$4"):INDIRECT(""&amp;$S$29&amp;"!$AA$4"),0),FALSE)),"",VLOOKUP($K66,OFFSET(INDIRECT(""&amp;$S$29&amp;"!$A$4"),0,0,200,100),MATCH(R$30,INDIRECT(""&amp;$S$29&amp;"!$A$4"):INDIRECT(""&amp;$S$29&amp;"!$AA$4"),0),FALSE))</f>
        <v>244.63046800000001</v>
      </c>
      <c r="S66" s="76">
        <f ca="1">IF(ISERROR(VLOOKUP($K66,OFFSET(INDIRECT(""&amp;$S$29&amp;"!$A$4"),0,0,200,100),MATCH(S$30,INDIRECT(""&amp;$S$29&amp;"!$A$4"):INDIRECT(""&amp;$S$29&amp;"!$AA$4"),0),FALSE)),"",VLOOKUP($K66,OFFSET(INDIRECT(""&amp;$S$29&amp;"!$A$4"),0,0,200,100),MATCH(S$30,INDIRECT(""&amp;$S$29&amp;"!$A$4"):INDIRECT(""&amp;$S$29&amp;"!$AA$4"),0),FALSE))</f>
        <v>244.63046800000001</v>
      </c>
      <c r="T66" s="76">
        <f ca="1">IF(ISERROR(VLOOKUP($K66,OFFSET(INDIRECT(""&amp;$S$29&amp;"!$A$4"),0,0,200,100),MATCH(T$30,INDIRECT(""&amp;$S$29&amp;"!$A$4"):INDIRECT(""&amp;$S$29&amp;"!$AA$4"),0),FALSE)),"",VLOOKUP($K66,OFFSET(INDIRECT(""&amp;$S$29&amp;"!$A$4"),0,0,200,100),MATCH(T$30,INDIRECT(""&amp;$S$29&amp;"!$A$4"):INDIRECT(""&amp;$S$29&amp;"!$AA$4"),0),FALSE))</f>
        <v>8704.4704679999995</v>
      </c>
      <c r="U66" s="76">
        <f ca="1">IF(ISERROR(VLOOKUP($K66,OFFSET(INDIRECT(""&amp;$S$29&amp;"!$A$4"),0,0,200,100),MATCH(U$30,INDIRECT(""&amp;$S$29&amp;"!$A$4"):INDIRECT(""&amp;$S$29&amp;"!$AA$4"),0),FALSE)),"",VLOOKUP($K66,OFFSET(INDIRECT(""&amp;$S$29&amp;"!$A$4"),0,0,200,100),MATCH(U$30,INDIRECT(""&amp;$S$29&amp;"!$A$4"):INDIRECT(""&amp;$S$29&amp;"!$AA$4"),0),FALSE))</f>
        <v>8704.4704679999995</v>
      </c>
      <c r="V66" s="76">
        <f ca="1">IF(ISERROR(VLOOKUP($K66,OFFSET(INDIRECT(""&amp;$S$29&amp;"!$A$4"),0,0,200,100),MATCH(V$30,INDIRECT(""&amp;$S$29&amp;"!$A$4"):INDIRECT(""&amp;$S$29&amp;"!$AA$4"),0),FALSE)),"",VLOOKUP($K66,OFFSET(INDIRECT(""&amp;$S$29&amp;"!$A$4"),0,0,200,100),MATCH(V$30,INDIRECT(""&amp;$S$29&amp;"!$A$4"):INDIRECT(""&amp;$S$29&amp;"!$AA$4"),0),FALSE))</f>
        <v>8704.4704679999995</v>
      </c>
      <c r="W66" s="76">
        <f ca="1">IF(ISERROR(VLOOKUP($K66,OFFSET(INDIRECT(""&amp;$S$29&amp;"!$A$4"),0,0,200,100),MATCH(W$30,INDIRECT(""&amp;$S$29&amp;"!$A$4"):INDIRECT(""&amp;$S$29&amp;"!$AA$4"),0),FALSE)),"",VLOOKUP($K66,OFFSET(INDIRECT(""&amp;$S$29&amp;"!$A$4"),0,0,200,100),MATCH(W$30,INDIRECT(""&amp;$S$29&amp;"!$A$4"):INDIRECT(""&amp;$S$29&amp;"!$AA$4"),0),FALSE))</f>
        <v>8704.4704679999995</v>
      </c>
      <c r="X66" s="76">
        <f ca="1">IF(ISERROR(VLOOKUP($K66,OFFSET(INDIRECT(""&amp;$S$29&amp;"!$A$4"),0,0,200,100),MATCH(X$30,INDIRECT(""&amp;$S$29&amp;"!$A$4"):INDIRECT(""&amp;$S$29&amp;"!$AA$4"),0),FALSE)),"",VLOOKUP($K66,OFFSET(INDIRECT(""&amp;$S$29&amp;"!$A$4"),0,0,200,100),MATCH(X$30,INDIRECT(""&amp;$S$29&amp;"!$A$4"):INDIRECT(""&amp;$S$29&amp;"!$AA$4"),0),FALSE))</f>
        <v>8554.4704679999995</v>
      </c>
      <c r="Y66" s="76">
        <f ca="1">IF(ISERROR(VLOOKUP($K66,OFFSET(INDIRECT(""&amp;$S$29&amp;"!$A$4"),0,0,200,100),MATCH(Y$30,INDIRECT(""&amp;$S$29&amp;"!$A$4"):INDIRECT(""&amp;$S$29&amp;"!$AA$4"),0),FALSE)),"",VLOOKUP($K66,OFFSET(INDIRECT(""&amp;$S$29&amp;"!$A$4"),0,0,200,100),MATCH(Y$30,INDIRECT(""&amp;$S$29&amp;"!$A$4"):INDIRECT(""&amp;$S$29&amp;"!$AA$4"),0),FALSE))</f>
        <v>8554.4704679999995</v>
      </c>
      <c r="Z66" s="76">
        <f ca="1">IF(ISERROR(VLOOKUP($K66,OFFSET(INDIRECT(""&amp;$S$29&amp;"!$A$4"),0,0,200,100),MATCH(Z$30,INDIRECT(""&amp;$S$29&amp;"!$A$4"):INDIRECT(""&amp;$S$29&amp;"!$AA$4"),0),FALSE)),"",VLOOKUP($K66,OFFSET(INDIRECT(""&amp;$S$29&amp;"!$A$4"),0,0,200,100),MATCH(Z$30,INDIRECT(""&amp;$S$29&amp;"!$A$4"):INDIRECT(""&amp;$S$29&amp;"!$AA$4"),0),FALSE))</f>
        <v>8554.4704679999995</v>
      </c>
      <c r="AA66" s="76">
        <f t="shared" ca="1" si="61"/>
        <v>8554.4704679999995</v>
      </c>
      <c r="AB66" s="110"/>
      <c r="AC66" s="87">
        <f t="shared" ca="1" si="48"/>
        <v>7.012800179136444E-4</v>
      </c>
      <c r="AD66" s="87">
        <f t="shared" ca="1" si="49"/>
        <v>6.4876294755060655E-4</v>
      </c>
      <c r="AE66" s="87">
        <f t="shared" ca="1" si="50"/>
        <v>2.2807823317063314E-2</v>
      </c>
      <c r="AF66" s="87">
        <f t="shared" ca="1" si="51"/>
        <v>2.3770210603503629E-2</v>
      </c>
      <c r="AG66" s="87">
        <f t="shared" ca="1" si="64"/>
        <v>2.4822718020580576E-2</v>
      </c>
      <c r="AH66" s="87">
        <f t="shared" ca="1" si="64"/>
        <v>2.4822718020580576E-2</v>
      </c>
      <c r="AI66" s="145"/>
      <c r="AJ66" s="87">
        <f t="shared" ca="1" si="53"/>
        <v>6.243846524111974E-4</v>
      </c>
      <c r="AK66" s="87">
        <f t="shared" ca="1" si="54"/>
        <v>6.2906456756225471E-4</v>
      </c>
      <c r="AL66" s="87">
        <f t="shared" ca="1" si="55"/>
        <v>5.9126584438582612E-4</v>
      </c>
      <c r="AM66" s="87">
        <f t="shared" ca="1" si="56"/>
        <v>6.155959401384567E-4</v>
      </c>
      <c r="AN66" s="87">
        <f t="shared" ca="1" si="57"/>
        <v>6.0700188104720755E-4</v>
      </c>
      <c r="AO66" s="87">
        <f t="shared" ca="1" si="65"/>
        <v>2.2948781215354638E-2</v>
      </c>
      <c r="AP66" s="87">
        <f t="shared" ca="1" si="65"/>
        <v>2.3615100665990683E-2</v>
      </c>
      <c r="AQ66" s="87">
        <f t="shared" ca="1" si="65"/>
        <v>2.4111204579296903E-2</v>
      </c>
      <c r="AR66" s="87">
        <f t="shared" ca="1" si="65"/>
        <v>2.372882028789685E-2</v>
      </c>
      <c r="AS66" s="87">
        <f t="shared" ca="1" si="65"/>
        <v>2.3200234550286854E-2</v>
      </c>
      <c r="AT66" s="87">
        <f t="shared" ca="1" si="59"/>
        <v>2.5292153414387186E-2</v>
      </c>
      <c r="AU66" s="87">
        <f t="shared" ca="1" si="59"/>
        <v>2.5401142994913774E-2</v>
      </c>
      <c r="AV66" s="87">
        <f t="shared" ca="1" si="60"/>
        <v>2.5292153414387186E-2</v>
      </c>
    </row>
    <row r="67" spans="1:48" s="108" customFormat="1" ht="15.95" customHeight="1" outlineLevel="1">
      <c r="A67" s="113" t="s">
        <v>262</v>
      </c>
      <c r="B67" s="111" t="s">
        <v>158</v>
      </c>
      <c r="C67" s="76">
        <f ca="1">IF(ISERROR(VLOOKUP($B67,OFFSET(INDIRECT(""&amp;$B$29&amp;"!$A$4"),0,0,200,100),MATCH(C$30,INDIRECT(""&amp;$B$29&amp;"!$A$4"):INDIRECT(""&amp;$B$29&amp;"!$o$4"),0),FALSE)),"",VLOOKUP($B67,OFFSET(INDIRECT(""&amp;$B$29&amp;"!$A$4"),0,0,200,100),MATCH(C$30,INDIRECT(""&amp;$B$29&amp;"!$A$4"):INDIRECT(""&amp;$B$29&amp;"!$o$4"),0),FALSE))</f>
        <v>44915.834982</v>
      </c>
      <c r="D67" s="76">
        <f ca="1">IF(ISERROR(VLOOKUP($B67,OFFSET(INDIRECT(""&amp;$B$29&amp;"!$A$4"),0,0,200,100),MATCH(D$30,INDIRECT(""&amp;$B$29&amp;"!$A$4"):INDIRECT(""&amp;$B$29&amp;"!$o$4"),0),FALSE)),"",VLOOKUP($B67,OFFSET(INDIRECT(""&amp;$B$29&amp;"!$A$4"),0,0,200,100),MATCH(D$30,INDIRECT(""&amp;$B$29&amp;"!$A$4"):INDIRECT(""&amp;$B$29&amp;"!$o$4"),0),FALSE))</f>
        <v>58293.454982000003</v>
      </c>
      <c r="E67" s="76">
        <f ca="1">IF(ISERROR(VLOOKUP($B67,OFFSET(INDIRECT(""&amp;$B$29&amp;"!$A$4"),0,0,200,100),MATCH(E$30,INDIRECT(""&amp;$B$29&amp;"!$A$4"):INDIRECT(""&amp;$B$29&amp;"!$o$4"),0),FALSE)),"",VLOOKUP($B67,OFFSET(INDIRECT(""&amp;$B$29&amp;"!$A$4"),0,0,200,100),MATCH(E$30,INDIRECT(""&amp;$B$29&amp;"!$A$4"):INDIRECT(""&amp;$B$29&amp;"!$o$4"),0),FALSE))</f>
        <v>58293.454982000003</v>
      </c>
      <c r="F67" s="76">
        <f ca="1">IF(ISERROR(VLOOKUP($B67,OFFSET(INDIRECT(""&amp;$B$29&amp;"!$A$4"),0,0,200,100),MATCH(F$30,INDIRECT(""&amp;$B$29&amp;"!$A$4"):INDIRECT(""&amp;$B$29&amp;"!$o$4"),0),FALSE)),"",VLOOKUP($B67,OFFSET(INDIRECT(""&amp;$B$29&amp;"!$A$4"),0,0,200,100),MATCH(F$30,INDIRECT(""&amp;$B$29&amp;"!$A$4"):INDIRECT(""&amp;$B$29&amp;"!$o$4"),0),FALSE))</f>
        <v>64410.662982000002</v>
      </c>
      <c r="G67" s="76">
        <f ca="1">IF(ISERROR(VLOOKUP($B67,OFFSET(INDIRECT(""&amp;$B$29&amp;"!$A$4"),0,0,200,100),MATCH(G$30,INDIRECT(""&amp;$B$29&amp;"!$A$4"):INDIRECT(""&amp;$B$29&amp;"!$o$4"),0),FALSE)),"",VLOOKUP($B67,OFFSET(INDIRECT(""&amp;$B$29&amp;"!$A$4"),0,0,200,100),MATCH(G$30,INDIRECT(""&amp;$B$29&amp;"!$A$4"):INDIRECT(""&amp;$B$29&amp;"!$o$4"),0),FALSE))</f>
        <v>46253.053899999999</v>
      </c>
      <c r="H67" s="76">
        <f ca="1">IF(ISERROR(VLOOKUP($B67,OFFSET(INDIRECT(""&amp;$B$29&amp;"!$A$4"),0,0,200,100),MATCH(H$30,INDIRECT(""&amp;$B$29&amp;"!$A$4"):INDIRECT(""&amp;$B$29&amp;"!$o$4"),0),FALSE)),"",VLOOKUP($B67,OFFSET(INDIRECT(""&amp;$B$29&amp;"!$A$4"),0,0,200,100),MATCH(H$30,INDIRECT(""&amp;$B$29&amp;"!$A$4"):INDIRECT(""&amp;$B$29&amp;"!$o$4"),0),FALSE))</f>
        <v>45856.399315000002</v>
      </c>
      <c r="I67" s="76">
        <f ca="1">IF(ISERROR(VLOOKUP($B67,OFFSET(INDIRECT(""&amp;$B$29&amp;"!$A$4"),0,0,200,100),MATCH(I$30,INDIRECT(""&amp;$B$29&amp;"!$A$4"):INDIRECT(""&amp;$B$29&amp;"!$o$4"),0),FALSE)),"",VLOOKUP($B67,OFFSET(INDIRECT(""&amp;$B$29&amp;"!$A$4"),0,0,200,100),MATCH(I$30,INDIRECT(""&amp;$B$29&amp;"!$A$4"):INDIRECT(""&amp;$B$29&amp;"!$o$4"),0),FALSE))</f>
        <v>45146.042780999996</v>
      </c>
      <c r="J67" s="76">
        <f ca="1">IF(ISERROR(VLOOKUP($B67,OFFSET(INDIRECT(""&amp;$B$29&amp;"!$A$4"),0,0,200,100),MATCH(J$30,INDIRECT(""&amp;$B$29&amp;"!$A$4"):INDIRECT(""&amp;$B$29&amp;"!$o$4"),0),FALSE)),"",VLOOKUP($B67,OFFSET(INDIRECT(""&amp;$B$29&amp;"!$A$4"),0,0,200,100),MATCH(J$30,INDIRECT(""&amp;$B$29&amp;"!$A$4"):INDIRECT(""&amp;$B$29&amp;"!$o$4"),0),FALSE))</f>
        <v>45146.042780999996</v>
      </c>
      <c r="K67" s="109" t="s">
        <v>158</v>
      </c>
      <c r="L67" s="76">
        <f ca="1">IF(ISERROR(VLOOKUP($K67,OFFSET(INDIRECT(""&amp;$S$29&amp;"!$A$4"),0,0,200,100),MATCH(L$30,INDIRECT(""&amp;$S$29&amp;"!$A$4"):INDIRECT(""&amp;$S$29&amp;"!$AA$4"),0),FALSE)),"",VLOOKUP($K67,OFFSET(INDIRECT(""&amp;$S$29&amp;"!$A$4"),0,0,200,100),MATCH(L$30,INDIRECT(""&amp;$S$29&amp;"!$A$4"):INDIRECT(""&amp;$S$29&amp;"!$AA$4"),0),FALSE))</f>
        <v>58231.004981999999</v>
      </c>
      <c r="M67" s="76">
        <f ca="1">IF(ISERROR(VLOOKUP($K67,OFFSET(INDIRECT(""&amp;$S$29&amp;"!$A$4"),0,0,200,100),MATCH(M$30,INDIRECT(""&amp;$S$29&amp;"!$A$4"):INDIRECT(""&amp;$S$29&amp;"!$AA$4"),0),FALSE)),"",VLOOKUP($K67,OFFSET(INDIRECT(""&amp;$S$29&amp;"!$A$4"),0,0,200,100),MATCH(M$30,INDIRECT(""&amp;$S$29&amp;"!$A$4"):INDIRECT(""&amp;$S$29&amp;"!$AA$4"),0),FALSE))</f>
        <v>61355.912982000002</v>
      </c>
      <c r="N67" s="76">
        <f ca="1">IF(ISERROR(VLOOKUP($K67,OFFSET(INDIRECT(""&amp;$S$29&amp;"!$A$4"),0,0,200,100),MATCH(N$30,INDIRECT(""&amp;$S$29&amp;"!$A$4"):INDIRECT(""&amp;$S$29&amp;"!$AA$4"),0),FALSE)),"",VLOOKUP($K67,OFFSET(INDIRECT(""&amp;$S$29&amp;"!$A$4"),0,0,200,100),MATCH(N$30,INDIRECT(""&amp;$S$29&amp;"!$A$4"):INDIRECT(""&amp;$S$29&amp;"!$AA$4"),0),FALSE))</f>
        <v>61955.912982000002</v>
      </c>
      <c r="O67" s="76">
        <f ca="1">IF(ISERROR(VLOOKUP($K67,OFFSET(INDIRECT(""&amp;$S$29&amp;"!$A$4"),0,0,200,100),MATCH(O$30,INDIRECT(""&amp;$S$29&amp;"!$A$4"):INDIRECT(""&amp;$S$29&amp;"!$AA$4"),0),FALSE)),"",VLOOKUP($K67,OFFSET(INDIRECT(""&amp;$S$29&amp;"!$A$4"),0,0,200,100),MATCH(O$30,INDIRECT(""&amp;$S$29&amp;"!$A$4"):INDIRECT(""&amp;$S$29&amp;"!$AA$4"),0),FALSE))</f>
        <v>64410.662982000002</v>
      </c>
      <c r="P67" s="76">
        <f ca="1">IF(ISERROR(VLOOKUP($K67,OFFSET(INDIRECT(""&amp;$S$29&amp;"!$A$4"),0,0,200,100),MATCH(P$30,INDIRECT(""&amp;$S$29&amp;"!$A$4"):INDIRECT(""&amp;$S$29&amp;"!$AA$4"),0),FALSE)),"",VLOOKUP($K67,OFFSET(INDIRECT(""&amp;$S$29&amp;"!$A$4"),0,0,200,100),MATCH(P$30,INDIRECT(""&amp;$S$29&amp;"!$A$4"):INDIRECT(""&amp;$S$29&amp;"!$AA$4"),0),FALSE))</f>
        <v>64301.466981999998</v>
      </c>
      <c r="Q67" s="76">
        <f ca="1">IF(ISERROR(VLOOKUP($K67,OFFSET(INDIRECT(""&amp;$S$29&amp;"!$A$4"),0,0,200,100),MATCH(Q$30,INDIRECT(""&amp;$S$29&amp;"!$A$4"):INDIRECT(""&amp;$S$29&amp;"!$AA$4"),0),FALSE)),"",VLOOKUP($K67,OFFSET(INDIRECT(""&amp;$S$29&amp;"!$A$4"),0,0,200,100),MATCH(Q$30,INDIRECT(""&amp;$S$29&amp;"!$A$4"):INDIRECT(""&amp;$S$29&amp;"!$AA$4"),0),FALSE))</f>
        <v>61820.394981999998</v>
      </c>
      <c r="R67" s="76">
        <f ca="1">IF(ISERROR(VLOOKUP($K67,OFFSET(INDIRECT(""&amp;$S$29&amp;"!$A$4"),0,0,200,100),MATCH(R$30,INDIRECT(""&amp;$S$29&amp;"!$A$4"):INDIRECT(""&amp;$S$29&amp;"!$AA$4"),0),FALSE)),"",VLOOKUP($K67,OFFSET(INDIRECT(""&amp;$S$29&amp;"!$A$4"),0,0,200,100),MATCH(R$30,INDIRECT(""&amp;$S$29&amp;"!$A$4"):INDIRECT(""&amp;$S$29&amp;"!$AA$4"),0),FALSE))</f>
        <v>63029.394981999998</v>
      </c>
      <c r="S67" s="76">
        <f ca="1">IF(ISERROR(VLOOKUP($K67,OFFSET(INDIRECT(""&amp;$S$29&amp;"!$A$4"),0,0,200,100),MATCH(S$30,INDIRECT(""&amp;$S$29&amp;"!$A$4"):INDIRECT(""&amp;$S$29&amp;"!$AA$4"),0),FALSE)),"",VLOOKUP($K67,OFFSET(INDIRECT(""&amp;$S$29&amp;"!$A$4"),0,0,200,100),MATCH(S$30,INDIRECT(""&amp;$S$29&amp;"!$A$4"):INDIRECT(""&amp;$S$29&amp;"!$AA$4"),0),FALSE))</f>
        <v>54712.893900000003</v>
      </c>
      <c r="T67" s="76">
        <f ca="1">IF(ISERROR(VLOOKUP($K67,OFFSET(INDIRECT(""&amp;$S$29&amp;"!$A$4"),0,0,200,100),MATCH(T$30,INDIRECT(""&amp;$S$29&amp;"!$A$4"):INDIRECT(""&amp;$S$29&amp;"!$AA$4"),0),FALSE)),"",VLOOKUP($K67,OFFSET(INDIRECT(""&amp;$S$29&amp;"!$A$4"),0,0,200,100),MATCH(T$30,INDIRECT(""&amp;$S$29&amp;"!$A$4"):INDIRECT(""&amp;$S$29&amp;"!$AA$4"),0),FALSE))</f>
        <v>46253.053899999999</v>
      </c>
      <c r="U67" s="76">
        <f ca="1">IF(ISERROR(VLOOKUP($K67,OFFSET(INDIRECT(""&amp;$S$29&amp;"!$A$4"),0,0,200,100),MATCH(U$30,INDIRECT(""&amp;$S$29&amp;"!$A$4"):INDIRECT(""&amp;$S$29&amp;"!$AA$4"),0),FALSE)),"",VLOOKUP($K67,OFFSET(INDIRECT(""&amp;$S$29&amp;"!$A$4"),0,0,200,100),MATCH(U$30,INDIRECT(""&amp;$S$29&amp;"!$A$4"):INDIRECT(""&amp;$S$29&amp;"!$AA$4"),0),FALSE))</f>
        <v>46253.053899999999</v>
      </c>
      <c r="V67" s="76">
        <f ca="1">IF(ISERROR(VLOOKUP($K67,OFFSET(INDIRECT(""&amp;$S$29&amp;"!$A$4"),0,0,200,100),MATCH(V$30,INDIRECT(""&amp;$S$29&amp;"!$A$4"):INDIRECT(""&amp;$S$29&amp;"!$AA$4"),0),FALSE)),"",VLOOKUP($K67,OFFSET(INDIRECT(""&amp;$S$29&amp;"!$A$4"),0,0,200,100),MATCH(V$30,INDIRECT(""&amp;$S$29&amp;"!$A$4"):INDIRECT(""&amp;$S$29&amp;"!$AA$4"),0),FALSE))</f>
        <v>46180.284186999997</v>
      </c>
      <c r="W67" s="76">
        <f ca="1">IF(ISERROR(VLOOKUP($K67,OFFSET(INDIRECT(""&amp;$S$29&amp;"!$A$4"),0,0,200,100),MATCH(W$30,INDIRECT(""&amp;$S$29&amp;"!$A$4"):INDIRECT(""&amp;$S$29&amp;"!$AA$4"),0),FALSE)),"",VLOOKUP($K67,OFFSET(INDIRECT(""&amp;$S$29&amp;"!$A$4"),0,0,200,100),MATCH(W$30,INDIRECT(""&amp;$S$29&amp;"!$A$4"):INDIRECT(""&amp;$S$29&amp;"!$AA$4"),0),FALSE))</f>
        <v>45856.399315000002</v>
      </c>
      <c r="X67" s="76">
        <f ca="1">IF(ISERROR(VLOOKUP($K67,OFFSET(INDIRECT(""&amp;$S$29&amp;"!$A$4"),0,0,200,100),MATCH(X$30,INDIRECT(""&amp;$S$29&amp;"!$A$4"):INDIRECT(""&amp;$S$29&amp;"!$AA$4"),0),FALSE)),"",VLOOKUP($K67,OFFSET(INDIRECT(""&amp;$S$29&amp;"!$A$4"),0,0,200,100),MATCH(X$30,INDIRECT(""&amp;$S$29&amp;"!$A$4"):INDIRECT(""&amp;$S$29&amp;"!$AA$4"),0),FALSE))</f>
        <v>45777.664871000001</v>
      </c>
      <c r="Y67" s="76">
        <f ca="1">IF(ISERROR(VLOOKUP($K67,OFFSET(INDIRECT(""&amp;$S$29&amp;"!$A$4"),0,0,200,100),MATCH(Y$30,INDIRECT(""&amp;$S$29&amp;"!$A$4"):INDIRECT(""&amp;$S$29&amp;"!$AA$4"),0),FALSE)),"",VLOOKUP($K67,OFFSET(INDIRECT(""&amp;$S$29&amp;"!$A$4"),0,0,200,100),MATCH(Y$30,INDIRECT(""&amp;$S$29&amp;"!$A$4"):INDIRECT(""&amp;$S$29&amp;"!$AA$4"),0),FALSE))</f>
        <v>45777.664871000001</v>
      </c>
      <c r="Z67" s="76">
        <f ca="1">IF(ISERROR(VLOOKUP($K67,OFFSET(INDIRECT(""&amp;$S$29&amp;"!$A$4"),0,0,200,100),MATCH(Z$30,INDIRECT(""&amp;$S$29&amp;"!$A$4"):INDIRECT(""&amp;$S$29&amp;"!$AA$4"),0),FALSE)),"",VLOOKUP($K67,OFFSET(INDIRECT(""&amp;$S$29&amp;"!$A$4"),0,0,200,100),MATCH(Z$30,INDIRECT(""&amp;$S$29&amp;"!$A$4"):INDIRECT(""&amp;$S$29&amp;"!$AA$4"),0),FALSE))</f>
        <v>45146.042780999996</v>
      </c>
      <c r="AA67" s="76">
        <f t="shared" ca="1" si="61"/>
        <v>45777.664871000001</v>
      </c>
      <c r="AB67" s="110"/>
      <c r="AC67" s="87">
        <f t="shared" ca="1" si="48"/>
        <v>0.16710933633183084</v>
      </c>
      <c r="AD67" s="87">
        <f t="shared" ca="1" si="49"/>
        <v>0.17081785401273508</v>
      </c>
      <c r="AE67" s="87">
        <f t="shared" ca="1" si="50"/>
        <v>0.12119421682272589</v>
      </c>
      <c r="AF67" s="87">
        <f t="shared" ca="1" si="51"/>
        <v>0.1252248799330305</v>
      </c>
      <c r="AG67" s="87">
        <f t="shared" ca="1" si="64"/>
        <v>0.13246674756234517</v>
      </c>
      <c r="AH67" s="87">
        <f t="shared" ca="1" si="64"/>
        <v>0.13246674756234517</v>
      </c>
      <c r="AI67" s="145"/>
      <c r="AJ67" s="87">
        <f t="shared" ca="1" si="53"/>
        <v>0.16439910263994936</v>
      </c>
      <c r="AK67" s="87">
        <f t="shared" ca="1" si="54"/>
        <v>0.16535051766589609</v>
      </c>
      <c r="AL67" s="87">
        <f t="shared" ca="1" si="55"/>
        <v>0.14941837923188503</v>
      </c>
      <c r="AM67" s="87">
        <f t="shared" ca="1" si="56"/>
        <v>0.15860918706292307</v>
      </c>
      <c r="AN67" s="87">
        <f t="shared" ca="1" si="57"/>
        <v>0.13575917090930917</v>
      </c>
      <c r="AO67" s="87">
        <f t="shared" ca="1" si="65"/>
        <v>0.1219432265748145</v>
      </c>
      <c r="AP67" s="87">
        <f t="shared" ca="1" si="65"/>
        <v>0.12548385659684599</v>
      </c>
      <c r="AQ67" s="87">
        <f t="shared" ca="1" si="65"/>
        <v>0.12791843957150717</v>
      </c>
      <c r="AR67" s="87">
        <f t="shared" ca="1" si="65"/>
        <v>0.1250068298118639</v>
      </c>
      <c r="AS67" s="87">
        <f t="shared" ca="1" si="65"/>
        <v>0.12415175973129879</v>
      </c>
      <c r="AT67" s="87">
        <f t="shared" ca="1" si="59"/>
        <v>0.13534627621906181</v>
      </c>
      <c r="AU67" s="87">
        <f t="shared" ca="1" si="59"/>
        <v>0.13405401218280011</v>
      </c>
      <c r="AV67" s="87">
        <f t="shared" ca="1" si="60"/>
        <v>0.13534627621906181</v>
      </c>
    </row>
    <row r="68" spans="1:48" s="101" customFormat="1" ht="15.95" customHeight="1" outlineLevel="1">
      <c r="A68" s="113" t="s">
        <v>263</v>
      </c>
      <c r="B68" s="111" t="s">
        <v>159</v>
      </c>
      <c r="C68" s="76">
        <f ca="1">IF(ISERROR(VLOOKUP($B68,OFFSET(INDIRECT(""&amp;$B$29&amp;"!$A$4"),0,0,200,100),MATCH(C$30,INDIRECT(""&amp;$B$29&amp;"!$A$4"):INDIRECT(""&amp;$B$29&amp;"!$o$4"),0),FALSE)),"",VLOOKUP($B68,OFFSET(INDIRECT(""&amp;$B$29&amp;"!$A$4"),0,0,200,100),MATCH(C$30,INDIRECT(""&amp;$B$29&amp;"!$A$4"):INDIRECT(""&amp;$B$29&amp;"!$o$4"),0),FALSE))</f>
        <v>0</v>
      </c>
      <c r="D68" s="76">
        <f ca="1">IF(ISERROR(VLOOKUP($B68,OFFSET(INDIRECT(""&amp;$B$29&amp;"!$A$4"),0,0,200,100),MATCH(D$30,INDIRECT(""&amp;$B$29&amp;"!$A$4"):INDIRECT(""&amp;$B$29&amp;"!$o$4"),0),FALSE)),"",VLOOKUP($B68,OFFSET(INDIRECT(""&amp;$B$29&amp;"!$A$4"),0,0,200,100),MATCH(D$30,INDIRECT(""&amp;$B$29&amp;"!$A$4"):INDIRECT(""&amp;$B$29&amp;"!$o$4"),0),FALSE))</f>
        <v>-5311.4142300000003</v>
      </c>
      <c r="E68" s="76">
        <f ca="1">IF(ISERROR(VLOOKUP($B68,OFFSET(INDIRECT(""&amp;$B$29&amp;"!$A$4"),0,0,200,100),MATCH(E$30,INDIRECT(""&amp;$B$29&amp;"!$A$4"):INDIRECT(""&amp;$B$29&amp;"!$o$4"),0),FALSE)),"",VLOOKUP($B68,OFFSET(INDIRECT(""&amp;$B$29&amp;"!$A$4"),0,0,200,100),MATCH(E$30,INDIRECT(""&amp;$B$29&amp;"!$A$4"):INDIRECT(""&amp;$B$29&amp;"!$o$4"),0),FALSE))</f>
        <v>-2670.8950970000001</v>
      </c>
      <c r="F68" s="76">
        <f ca="1">IF(ISERROR(VLOOKUP($B68,OFFSET(INDIRECT(""&amp;$B$29&amp;"!$A$4"),0,0,200,100),MATCH(F$30,INDIRECT(""&amp;$B$29&amp;"!$A$4"):INDIRECT(""&amp;$B$29&amp;"!$o$4"),0),FALSE)),"",VLOOKUP($B68,OFFSET(INDIRECT(""&amp;$B$29&amp;"!$A$4"),0,0,200,100),MATCH(F$30,INDIRECT(""&amp;$B$29&amp;"!$A$4"):INDIRECT(""&amp;$B$29&amp;"!$o$4"),0),FALSE))</f>
        <v>-3591.3700170000002</v>
      </c>
      <c r="G68" s="76">
        <f ca="1">IF(ISERROR(VLOOKUP($B68,OFFSET(INDIRECT(""&amp;$B$29&amp;"!$A$4"),0,0,200,100),MATCH(G$30,INDIRECT(""&amp;$B$29&amp;"!$A$4"):INDIRECT(""&amp;$B$29&amp;"!$o$4"),0),FALSE)),"",VLOOKUP($B68,OFFSET(INDIRECT(""&amp;$B$29&amp;"!$A$4"),0,0,200,100),MATCH(G$30,INDIRECT(""&amp;$B$29&amp;"!$A$4"):INDIRECT(""&amp;$B$29&amp;"!$o$4"),0),FALSE))</f>
        <v>0</v>
      </c>
      <c r="H68" s="76">
        <f ca="1">IF(ISERROR(VLOOKUP($B68,OFFSET(INDIRECT(""&amp;$B$29&amp;"!$A$4"),0,0,200,100),MATCH(H$30,INDIRECT(""&amp;$B$29&amp;"!$A$4"):INDIRECT(""&amp;$B$29&amp;"!$o$4"),0),FALSE)),"",VLOOKUP($B68,OFFSET(INDIRECT(""&amp;$B$29&amp;"!$A$4"),0,0,200,100),MATCH(H$30,INDIRECT(""&amp;$B$29&amp;"!$A$4"):INDIRECT(""&amp;$B$29&amp;"!$o$4"),0),FALSE))</f>
        <v>-4229.92</v>
      </c>
      <c r="I68" s="76">
        <f ca="1">IF(ISERROR(VLOOKUP($B68,OFFSET(INDIRECT(""&amp;$B$29&amp;"!$A$4"),0,0,200,100),MATCH(I$30,INDIRECT(""&amp;$B$29&amp;"!$A$4"):INDIRECT(""&amp;$B$29&amp;"!$o$4"),0),FALSE)),"",VLOOKUP($B68,OFFSET(INDIRECT(""&amp;$B$29&amp;"!$A$4"),0,0,200,100),MATCH(I$30,INDIRECT(""&amp;$B$29&amp;"!$A$4"):INDIRECT(""&amp;$B$29&amp;"!$o$4"),0),FALSE))</f>
        <v>-7773.6854000000003</v>
      </c>
      <c r="J68" s="76">
        <f ca="1">IF(ISERROR(VLOOKUP($B68,OFFSET(INDIRECT(""&amp;$B$29&amp;"!$A$4"),0,0,200,100),MATCH(J$30,INDIRECT(""&amp;$B$29&amp;"!$A$4"):INDIRECT(""&amp;$B$29&amp;"!$o$4"),0),FALSE)),"",VLOOKUP($B68,OFFSET(INDIRECT(""&amp;$B$29&amp;"!$A$4"),0,0,200,100),MATCH(J$30,INDIRECT(""&amp;$B$29&amp;"!$A$4"):INDIRECT(""&amp;$B$29&amp;"!$o$4"),0),FALSE))</f>
        <v>-7773.6854000000003</v>
      </c>
      <c r="K68" s="121" t="s">
        <v>159</v>
      </c>
      <c r="L68" s="76">
        <f ca="1">IF(ISERROR(VLOOKUP($K68,OFFSET(INDIRECT(""&amp;$S$29&amp;"!$A$4"),0,0,200,100),MATCH(L$30,INDIRECT(""&amp;$S$29&amp;"!$A$4"):INDIRECT(""&amp;$S$29&amp;"!$AA$4"),0),FALSE)),"",VLOOKUP($K68,OFFSET(INDIRECT(""&amp;$S$29&amp;"!$A$4"),0,0,200,100),MATCH(L$30,INDIRECT(""&amp;$S$29&amp;"!$A$4"):INDIRECT(""&amp;$S$29&amp;"!$AA$4"),0),FALSE))</f>
        <v>-2670.8950970000001</v>
      </c>
      <c r="M68" s="76">
        <f ca="1">IF(ISERROR(VLOOKUP($K68,OFFSET(INDIRECT(""&amp;$S$29&amp;"!$A$4"),0,0,200,100),MATCH(M$30,INDIRECT(""&amp;$S$29&amp;"!$A$4"):INDIRECT(""&amp;$S$29&amp;"!$AA$4"),0),FALSE)),"",VLOOKUP($K68,OFFSET(INDIRECT(""&amp;$S$29&amp;"!$A$4"),0,0,200,100),MATCH(M$30,INDIRECT(""&amp;$S$29&amp;"!$A$4"):INDIRECT(""&amp;$S$29&amp;"!$AA$4"),0),FALSE))</f>
        <v>-3125.4226370000001</v>
      </c>
      <c r="N68" s="76">
        <f ca="1">IF(ISERROR(VLOOKUP($K68,OFFSET(INDIRECT(""&amp;$S$29&amp;"!$A$4"),0,0,200,100),MATCH(N$30,INDIRECT(""&amp;$S$29&amp;"!$A$4"):INDIRECT(""&amp;$S$29&amp;"!$AA$4"),0),FALSE)),"",VLOOKUP($K68,OFFSET(INDIRECT(""&amp;$S$29&amp;"!$A$4"),0,0,200,100),MATCH(N$30,INDIRECT(""&amp;$S$29&amp;"!$A$4"):INDIRECT(""&amp;$S$29&amp;"!$AA$4"),0),FALSE))</f>
        <v>-3125.4226370000001</v>
      </c>
      <c r="O68" s="76">
        <f ca="1">IF(ISERROR(VLOOKUP($K68,OFFSET(INDIRECT(""&amp;$S$29&amp;"!$A$4"),0,0,200,100),MATCH(O$30,INDIRECT(""&amp;$S$29&amp;"!$A$4"):INDIRECT(""&amp;$S$29&amp;"!$AA$4"),0),FALSE)),"",VLOOKUP($K68,OFFSET(INDIRECT(""&amp;$S$29&amp;"!$A$4"),0,0,200,100),MATCH(O$30,INDIRECT(""&amp;$S$29&amp;"!$A$4"):INDIRECT(""&amp;$S$29&amp;"!$AA$4"),0),FALSE))</f>
        <v>-3846.8700170000002</v>
      </c>
      <c r="P68" s="76">
        <f ca="1">IF(ISERROR(VLOOKUP($K68,OFFSET(INDIRECT(""&amp;$S$29&amp;"!$A$4"),0,0,200,100),MATCH(P$30,INDIRECT(""&amp;$S$29&amp;"!$A$4"):INDIRECT(""&amp;$S$29&amp;"!$AA$4"),0),FALSE)),"",VLOOKUP($K68,OFFSET(INDIRECT(""&amp;$S$29&amp;"!$A$4"),0,0,200,100),MATCH(P$30,INDIRECT(""&amp;$S$29&amp;"!$A$4"):INDIRECT(""&amp;$S$29&amp;"!$AA$4"),0),FALSE))</f>
        <v>-3591.3700170000002</v>
      </c>
      <c r="Q68" s="76">
        <f ca="1">IF(ISERROR(VLOOKUP($K68,OFFSET(INDIRECT(""&amp;$S$29&amp;"!$A$4"),0,0,200,100),MATCH(Q$30,INDIRECT(""&amp;$S$29&amp;"!$A$4"):INDIRECT(""&amp;$S$29&amp;"!$AA$4"),0),FALSE)),"",VLOOKUP($K68,OFFSET(INDIRECT(""&amp;$S$29&amp;"!$A$4"),0,0,200,100),MATCH(Q$30,INDIRECT(""&amp;$S$29&amp;"!$A$4"):INDIRECT(""&amp;$S$29&amp;"!$AA$4"),0),FALSE))</f>
        <v>-3591.3700170000002</v>
      </c>
      <c r="R68" s="76">
        <f ca="1">IF(ISERROR(VLOOKUP($K68,OFFSET(INDIRECT(""&amp;$S$29&amp;"!$A$4"),0,0,200,100),MATCH(R$30,INDIRECT(""&amp;$S$29&amp;"!$A$4"):INDIRECT(""&amp;$S$29&amp;"!$AA$4"),0),FALSE)),"",VLOOKUP($K68,OFFSET(INDIRECT(""&amp;$S$29&amp;"!$A$4"),0,0,200,100),MATCH(R$30,INDIRECT(""&amp;$S$29&amp;"!$A$4"):INDIRECT(""&amp;$S$29&amp;"!$AA$4"),0),FALSE))</f>
        <v>-3591.3700170000002</v>
      </c>
      <c r="S68" s="76">
        <f ca="1">IF(ISERROR(VLOOKUP($K68,OFFSET(INDIRECT(""&amp;$S$29&amp;"!$A$4"),0,0,200,100),MATCH(S$30,INDIRECT(""&amp;$S$29&amp;"!$A$4"):INDIRECT(""&amp;$S$29&amp;"!$AA$4"),0),FALSE)),"",VLOOKUP($K68,OFFSET(INDIRECT(""&amp;$S$29&amp;"!$A$4"),0,0,200,100),MATCH(S$30,INDIRECT(""&amp;$S$29&amp;"!$A$4"):INDIRECT(""&amp;$S$29&amp;"!$AA$4"),0),FALSE))</f>
        <v>0</v>
      </c>
      <c r="T68" s="76">
        <f ca="1">IF(ISERROR(VLOOKUP($K68,OFFSET(INDIRECT(""&amp;$S$29&amp;"!$A$4"),0,0,200,100),MATCH(T$30,INDIRECT(""&amp;$S$29&amp;"!$A$4"):INDIRECT(""&amp;$S$29&amp;"!$AA$4"),0),FALSE)),"",VLOOKUP($K68,OFFSET(INDIRECT(""&amp;$S$29&amp;"!$A$4"),0,0,200,100),MATCH(T$30,INDIRECT(""&amp;$S$29&amp;"!$A$4"):INDIRECT(""&amp;$S$29&amp;"!$AA$4"),0),FALSE))</f>
        <v>0</v>
      </c>
      <c r="U68" s="76">
        <f ca="1">IF(ISERROR(VLOOKUP($K68,OFFSET(INDIRECT(""&amp;$S$29&amp;"!$A$4"),0,0,200,100),MATCH(U$30,INDIRECT(""&amp;$S$29&amp;"!$A$4"):INDIRECT(""&amp;$S$29&amp;"!$AA$4"),0),FALSE)),"",VLOOKUP($K68,OFFSET(INDIRECT(""&amp;$S$29&amp;"!$A$4"),0,0,200,100),MATCH(U$30,INDIRECT(""&amp;$S$29&amp;"!$A$4"):INDIRECT(""&amp;$S$29&amp;"!$AA$4"),0),FALSE))</f>
        <v>0</v>
      </c>
      <c r="V68" s="76">
        <f ca="1">IF(ISERROR(VLOOKUP($K68,OFFSET(INDIRECT(""&amp;$S$29&amp;"!$A$4"),0,0,200,100),MATCH(V$30,INDIRECT(""&amp;$S$29&amp;"!$A$4"):INDIRECT(""&amp;$S$29&amp;"!$AA$4"),0),FALSE)),"",VLOOKUP($K68,OFFSET(INDIRECT(""&amp;$S$29&amp;"!$A$4"),0,0,200,100),MATCH(V$30,INDIRECT(""&amp;$S$29&amp;"!$A$4"):INDIRECT(""&amp;$S$29&amp;"!$AA$4"),0),FALSE))</f>
        <v>0</v>
      </c>
      <c r="W68" s="76">
        <f ca="1">IF(ISERROR(VLOOKUP($K68,OFFSET(INDIRECT(""&amp;$S$29&amp;"!$A$4"),0,0,200,100),MATCH(W$30,INDIRECT(""&amp;$S$29&amp;"!$A$4"):INDIRECT(""&amp;$S$29&amp;"!$AA$4"),0),FALSE)),"",VLOOKUP($K68,OFFSET(INDIRECT(""&amp;$S$29&amp;"!$A$4"),0,0,200,100),MATCH(W$30,INDIRECT(""&amp;$S$29&amp;"!$A$4"):INDIRECT(""&amp;$S$29&amp;"!$AA$4"),0),FALSE))</f>
        <v>-4229.92</v>
      </c>
      <c r="X68" s="76">
        <f ca="1">IF(ISERROR(VLOOKUP($K68,OFFSET(INDIRECT(""&amp;$S$29&amp;"!$A$4"),0,0,200,100),MATCH(X$30,INDIRECT(""&amp;$S$29&amp;"!$A$4"):INDIRECT(""&amp;$S$29&amp;"!$AA$4"),0),FALSE)),"",VLOOKUP($K68,OFFSET(INDIRECT(""&amp;$S$29&amp;"!$A$4"),0,0,200,100),MATCH(X$30,INDIRECT(""&amp;$S$29&amp;"!$A$4"):INDIRECT(""&amp;$S$29&amp;"!$AA$4"),0),FALSE))</f>
        <v>-4229.92</v>
      </c>
      <c r="Y68" s="76">
        <f ca="1">IF(ISERROR(VLOOKUP($K68,OFFSET(INDIRECT(""&amp;$S$29&amp;"!$A$4"),0,0,200,100),MATCH(Y$30,INDIRECT(""&amp;$S$29&amp;"!$A$4"):INDIRECT(""&amp;$S$29&amp;"!$AA$4"),0),FALSE)),"",VLOOKUP($K68,OFFSET(INDIRECT(""&amp;$S$29&amp;"!$A$4"),0,0,200,100),MATCH(Y$30,INDIRECT(""&amp;$S$29&amp;"!$A$4"):INDIRECT(""&amp;$S$29&amp;"!$AA$4"),0),FALSE))</f>
        <v>-6001.8027000000002</v>
      </c>
      <c r="Z68" s="76">
        <f ca="1">IF(ISERROR(VLOOKUP($K68,OFFSET(INDIRECT(""&amp;$S$29&amp;"!$A$4"),0,0,200,100),MATCH(Z$30,INDIRECT(""&amp;$S$29&amp;"!$A$4"):INDIRECT(""&amp;$S$29&amp;"!$AA$4"),0),FALSE)),"",VLOOKUP($K68,OFFSET(INDIRECT(""&amp;$S$29&amp;"!$A$4"),0,0,200,100),MATCH(Z$30,INDIRECT(""&amp;$S$29&amp;"!$A$4"):INDIRECT(""&amp;$S$29&amp;"!$AA$4"),0),FALSE))</f>
        <v>-6001.8027000000002</v>
      </c>
      <c r="AA68" s="76">
        <f t="shared" ca="1" si="61"/>
        <v>-6001.8027000000002</v>
      </c>
      <c r="AB68" s="122"/>
      <c r="AC68" s="87">
        <f t="shared" ca="1" si="48"/>
        <v>-7.6566315585416978E-3</v>
      </c>
      <c r="AD68" s="87">
        <f t="shared" ca="1" si="49"/>
        <v>-9.524356540796022E-3</v>
      </c>
      <c r="AE68" s="87">
        <f t="shared" ca="1" si="50"/>
        <v>0</v>
      </c>
      <c r="AF68" s="87">
        <f t="shared" ca="1" si="51"/>
        <v>-1.155108626143392E-2</v>
      </c>
      <c r="AG68" s="87">
        <f t="shared" ca="1" si="64"/>
        <v>-2.2809414913864106E-2</v>
      </c>
      <c r="AH68" s="87">
        <f t="shared" ca="1" si="64"/>
        <v>-2.2809414913864106E-2</v>
      </c>
      <c r="AI68" s="145"/>
      <c r="AJ68" s="87">
        <f t="shared" ca="1" si="53"/>
        <v>-9.8185913556589448E-3</v>
      </c>
      <c r="AK68" s="87">
        <f t="shared" ca="1" si="54"/>
        <v>-9.2351686409730144E-3</v>
      </c>
      <c r="AL68" s="87">
        <f t="shared" ca="1" si="55"/>
        <v>-8.6802532937289064E-3</v>
      </c>
      <c r="AM68" s="87">
        <f t="shared" ca="1" si="56"/>
        <v>-9.0374384682131263E-3</v>
      </c>
      <c r="AN68" s="87">
        <f t="shared" ca="1" si="57"/>
        <v>0</v>
      </c>
      <c r="AO68" s="87">
        <f t="shared" ca="1" si="65"/>
        <v>0</v>
      </c>
      <c r="AP68" s="87">
        <f t="shared" ca="1" si="65"/>
        <v>0</v>
      </c>
      <c r="AQ68" s="87">
        <f t="shared" ca="1" si="65"/>
        <v>0</v>
      </c>
      <c r="AR68" s="87">
        <f t="shared" ca="1" si="65"/>
        <v>-1.1530972720416685E-2</v>
      </c>
      <c r="AS68" s="87">
        <f t="shared" ca="1" si="65"/>
        <v>-1.1471795536152334E-2</v>
      </c>
      <c r="AT68" s="87">
        <f t="shared" ca="1" si="59"/>
        <v>-1.7744934092545076E-2</v>
      </c>
      <c r="AU68" s="87">
        <f t="shared" ca="1" si="59"/>
        <v>-1.7821401006671823E-2</v>
      </c>
      <c r="AV68" s="87">
        <f t="shared" ca="1" si="60"/>
        <v>-1.7744934092545076E-2</v>
      </c>
    </row>
    <row r="69" spans="1:48" s="108" customFormat="1" ht="15.95" customHeight="1" outlineLevel="1">
      <c r="A69" s="85" t="s">
        <v>264</v>
      </c>
      <c r="B69" s="116" t="s">
        <v>161</v>
      </c>
      <c r="C69" s="76">
        <f ca="1">IF(ISERROR(VLOOKUP($B69,OFFSET(INDIRECT(""&amp;$B$29&amp;"!$A$4"),0,0,200,100),MATCH(C$30,INDIRECT(""&amp;$B$29&amp;"!$A$4"):INDIRECT(""&amp;$B$29&amp;"!$o$4"),0),FALSE)),"",VLOOKUP($B69,OFFSET(INDIRECT(""&amp;$B$29&amp;"!$A$4"),0,0,200,100),MATCH(C$30,INDIRECT(""&amp;$B$29&amp;"!$A$4"):INDIRECT(""&amp;$B$29&amp;"!$o$4"),0),FALSE))</f>
        <v>1294.662368</v>
      </c>
      <c r="D69" s="76">
        <f ca="1">IF(ISERROR(VLOOKUP($B69,OFFSET(INDIRECT(""&amp;$B$29&amp;"!$A$4"),0,0,200,100),MATCH(D$30,INDIRECT(""&amp;$B$29&amp;"!$A$4"):INDIRECT(""&amp;$B$29&amp;"!$o$4"),0),FALSE)),"",VLOOKUP($B69,OFFSET(INDIRECT(""&amp;$B$29&amp;"!$A$4"),0,0,200,100),MATCH(D$30,INDIRECT(""&amp;$B$29&amp;"!$A$4"):INDIRECT(""&amp;$B$29&amp;"!$o$4"),0),FALSE))</f>
        <v>2753.7655380000001</v>
      </c>
      <c r="E69" s="76">
        <f ca="1">IF(ISERROR(VLOOKUP($B69,OFFSET(INDIRECT(""&amp;$B$29&amp;"!$A$4"),0,0,200,100),MATCH(E$30,INDIRECT(""&amp;$B$29&amp;"!$A$4"):INDIRECT(""&amp;$B$29&amp;"!$o$4"),0),FALSE)),"",VLOOKUP($B69,OFFSET(INDIRECT(""&amp;$B$29&amp;"!$A$4"),0,0,200,100),MATCH(E$30,INDIRECT(""&amp;$B$29&amp;"!$A$4"):INDIRECT(""&amp;$B$29&amp;"!$o$4"),0),FALSE))</f>
        <v>1582.9150179999999</v>
      </c>
      <c r="F69" s="76">
        <f ca="1">IF(ISERROR(VLOOKUP($B69,OFFSET(INDIRECT(""&amp;$B$29&amp;"!$A$4"),0,0,200,100),MATCH(F$30,INDIRECT(""&amp;$B$29&amp;"!$A$4"):INDIRECT(""&amp;$B$29&amp;"!$o$4"),0),FALSE)),"",VLOOKUP($B69,OFFSET(INDIRECT(""&amp;$B$29&amp;"!$A$4"),0,0,200,100),MATCH(F$30,INDIRECT(""&amp;$B$29&amp;"!$A$4"):INDIRECT(""&amp;$B$29&amp;"!$o$4"),0),FALSE))</f>
        <v>15498.645248999999</v>
      </c>
      <c r="G69" s="76">
        <f ca="1">IF(ISERROR(VLOOKUP($B69,OFFSET(INDIRECT(""&amp;$B$29&amp;"!$A$4"),0,0,200,100),MATCH(G$30,INDIRECT(""&amp;$B$29&amp;"!$A$4"):INDIRECT(""&amp;$B$29&amp;"!$o$4"),0),FALSE)),"",VLOOKUP($B69,OFFSET(INDIRECT(""&amp;$B$29&amp;"!$A$4"),0,0,200,100),MATCH(G$30,INDIRECT(""&amp;$B$29&amp;"!$A$4"):INDIRECT(""&amp;$B$29&amp;"!$o$4"),0),FALSE))</f>
        <v>14241.705029000001</v>
      </c>
      <c r="H69" s="76">
        <f ca="1">IF(ISERROR(VLOOKUP($B69,OFFSET(INDIRECT(""&amp;$B$29&amp;"!$A$4"),0,0,200,100),MATCH(H$30,INDIRECT(""&amp;$B$29&amp;"!$A$4"):INDIRECT(""&amp;$B$29&amp;"!$o$4"),0),FALSE)),"",VLOOKUP($B69,OFFSET(INDIRECT(""&amp;$B$29&amp;"!$A$4"),0,0,200,100),MATCH(H$30,INDIRECT(""&amp;$B$29&amp;"!$A$4"):INDIRECT(""&amp;$B$29&amp;"!$o$4"),0),FALSE))</f>
        <v>24675.885965000001</v>
      </c>
      <c r="I69" s="76">
        <f ca="1">IF(ISERROR(VLOOKUP($B69,OFFSET(INDIRECT(""&amp;$B$29&amp;"!$A$4"),0,0,200,100),MATCH(I$30,INDIRECT(""&amp;$B$29&amp;"!$A$4"):INDIRECT(""&amp;$B$29&amp;"!$o$4"),0),FALSE)),"",VLOOKUP($B69,OFFSET(INDIRECT(""&amp;$B$29&amp;"!$A$4"),0,0,200,100),MATCH(I$30,INDIRECT(""&amp;$B$29&amp;"!$A$4"):INDIRECT(""&amp;$B$29&amp;"!$o$4"),0),FALSE))</f>
        <v>29216.187456</v>
      </c>
      <c r="J69" s="76">
        <f ca="1">IF(ISERROR(VLOOKUP($B69,OFFSET(INDIRECT(""&amp;$B$29&amp;"!$A$4"),0,0,200,100),MATCH(J$30,INDIRECT(""&amp;$B$29&amp;"!$A$4"):INDIRECT(""&amp;$B$29&amp;"!$o$4"),0),FALSE)),"",VLOOKUP($B69,OFFSET(INDIRECT(""&amp;$B$29&amp;"!$A$4"),0,0,200,100),MATCH(J$30,INDIRECT(""&amp;$B$29&amp;"!$A$4"):INDIRECT(""&amp;$B$29&amp;"!$o$4"),0),FALSE))</f>
        <v>29216.187456</v>
      </c>
      <c r="K69" s="109" t="s">
        <v>161</v>
      </c>
      <c r="L69" s="76">
        <f ca="1">IF(ISERROR(VLOOKUP($K69,OFFSET(INDIRECT(""&amp;$S$29&amp;"!$A$4"),0,0,200,100),MATCH(L$30,INDIRECT(""&amp;$S$29&amp;"!$A$4"):INDIRECT(""&amp;$S$29&amp;"!$AA$4"),0),FALSE)),"",VLOOKUP($K69,OFFSET(INDIRECT(""&amp;$S$29&amp;"!$A$4"),0,0,200,100),MATCH(L$30,INDIRECT(""&amp;$S$29&amp;"!$A$4"):INDIRECT(""&amp;$S$29&amp;"!$AA$4"),0),FALSE))</f>
        <v>1371.342328</v>
      </c>
      <c r="M69" s="76">
        <f ca="1">IF(ISERROR(VLOOKUP($K69,OFFSET(INDIRECT(""&amp;$S$29&amp;"!$A$4"),0,0,200,100),MATCH(M$30,INDIRECT(""&amp;$S$29&amp;"!$A$4"):INDIRECT(""&amp;$S$29&amp;"!$AA$4"),0),FALSE)),"",VLOOKUP($K69,OFFSET(INDIRECT(""&amp;$S$29&amp;"!$A$4"),0,0,200,100),MATCH(M$30,INDIRECT(""&amp;$S$29&amp;"!$A$4"):INDIRECT(""&amp;$S$29&amp;"!$AA$4"),0),FALSE))</f>
        <v>16502.534844999998</v>
      </c>
      <c r="N69" s="76">
        <f ca="1">IF(ISERROR(VLOOKUP($K69,OFFSET(INDIRECT(""&amp;$S$29&amp;"!$A$4"),0,0,200,100),MATCH(N$30,INDIRECT(""&amp;$S$29&amp;"!$A$4"):INDIRECT(""&amp;$S$29&amp;"!$AA$4"),0),FALSE)),"",VLOOKUP($K69,OFFSET(INDIRECT(""&amp;$S$29&amp;"!$A$4"),0,0,200,100),MATCH(N$30,INDIRECT(""&amp;$S$29&amp;"!$A$4"):INDIRECT(""&amp;$S$29&amp;"!$AA$4"),0),FALSE))</f>
        <v>18462.473344999999</v>
      </c>
      <c r="O69" s="76">
        <f ca="1">IF(ISERROR(VLOOKUP($K69,OFFSET(INDIRECT(""&amp;$S$29&amp;"!$A$4"),0,0,200,100),MATCH(O$30,INDIRECT(""&amp;$S$29&amp;"!$A$4"):INDIRECT(""&amp;$S$29&amp;"!$AA$4"),0),FALSE)),"",VLOOKUP($K69,OFFSET(INDIRECT(""&amp;$S$29&amp;"!$A$4"),0,0,200,100),MATCH(O$30,INDIRECT(""&amp;$S$29&amp;"!$A$4"):INDIRECT(""&amp;$S$29&amp;"!$AA$4"),0),FALSE))</f>
        <v>15498.645248999999</v>
      </c>
      <c r="P69" s="76">
        <f ca="1">IF(ISERROR(VLOOKUP($K69,OFFSET(INDIRECT(""&amp;$S$29&amp;"!$A$4"),0,0,200,100),MATCH(P$30,INDIRECT(""&amp;$S$29&amp;"!$A$4"):INDIRECT(""&amp;$S$29&amp;"!$AA$4"),0),FALSE)),"",VLOOKUP($K69,OFFSET(INDIRECT(""&amp;$S$29&amp;"!$A$4"),0,0,200,100),MATCH(P$30,INDIRECT(""&amp;$S$29&amp;"!$A$4"):INDIRECT(""&amp;$S$29&amp;"!$AA$4"),0),FALSE))</f>
        <v>18180.180788000001</v>
      </c>
      <c r="Q69" s="76">
        <f ca="1">IF(ISERROR(VLOOKUP($K69,OFFSET(INDIRECT(""&amp;$S$29&amp;"!$A$4"),0,0,200,100),MATCH(Q$30,INDIRECT(""&amp;$S$29&amp;"!$A$4"):INDIRECT(""&amp;$S$29&amp;"!$AA$4"),0),FALSE)),"",VLOOKUP($K69,OFFSET(INDIRECT(""&amp;$S$29&amp;"!$A$4"),0,0,200,100),MATCH(Q$30,INDIRECT(""&amp;$S$29&amp;"!$A$4"):INDIRECT(""&amp;$S$29&amp;"!$AA$4"),0),FALSE))</f>
        <v>16673.259171000002</v>
      </c>
      <c r="R69" s="76">
        <f ca="1">IF(ISERROR(VLOOKUP($K69,OFFSET(INDIRECT(""&amp;$S$29&amp;"!$A$4"),0,0,200,100),MATCH(R$30,INDIRECT(""&amp;$S$29&amp;"!$A$4"):INDIRECT(""&amp;$S$29&amp;"!$AA$4"),0),FALSE)),"",VLOOKUP($K69,OFFSET(INDIRECT(""&amp;$S$29&amp;"!$A$4"),0,0,200,100),MATCH(R$30,INDIRECT(""&amp;$S$29&amp;"!$A$4"):INDIRECT(""&amp;$S$29&amp;"!$AA$4"),0),FALSE))</f>
        <v>15232.605557000001</v>
      </c>
      <c r="S69" s="76">
        <f ca="1">IF(ISERROR(VLOOKUP($K69,OFFSET(INDIRECT(""&amp;$S$29&amp;"!$A$4"),0,0,200,100),MATCH(S$30,INDIRECT(""&amp;$S$29&amp;"!$A$4"):INDIRECT(""&amp;$S$29&amp;"!$AA$4"),0),FALSE)),"",VLOOKUP($K69,OFFSET(INDIRECT(""&amp;$S$29&amp;"!$A$4"),0,0,200,100),MATCH(S$30,INDIRECT(""&amp;$S$29&amp;"!$A$4"):INDIRECT(""&amp;$S$29&amp;"!$AA$4"),0),FALSE))</f>
        <v>14241.705029000001</v>
      </c>
      <c r="T69" s="76">
        <f ca="1">IF(ISERROR(VLOOKUP($K69,OFFSET(INDIRECT(""&amp;$S$29&amp;"!$A$4"),0,0,200,100),MATCH(T$30,INDIRECT(""&amp;$S$29&amp;"!$A$4"):INDIRECT(""&amp;$S$29&amp;"!$AA$4"),0),FALSE)),"",VLOOKUP($K69,OFFSET(INDIRECT(""&amp;$S$29&amp;"!$A$4"),0,0,200,100),MATCH(T$30,INDIRECT(""&amp;$S$29&amp;"!$A$4"):INDIRECT(""&amp;$S$29&amp;"!$AA$4"),0),FALSE))</f>
        <v>12815.268854</v>
      </c>
      <c r="U69" s="76">
        <f ca="1">IF(ISERROR(VLOOKUP($K69,OFFSET(INDIRECT(""&amp;$S$29&amp;"!$A$4"),0,0,200,100),MATCH(U$30,INDIRECT(""&amp;$S$29&amp;"!$A$4"):INDIRECT(""&amp;$S$29&amp;"!$AA$4"),0),FALSE)),"",VLOOKUP($K69,OFFSET(INDIRECT(""&amp;$S$29&amp;"!$A$4"),0,0,200,100),MATCH(U$30,INDIRECT(""&amp;$S$29&amp;"!$A$4"):INDIRECT(""&amp;$S$29&amp;"!$AA$4"),0),FALSE))</f>
        <v>11975.166811999999</v>
      </c>
      <c r="V69" s="76">
        <f ca="1">IF(ISERROR(VLOOKUP($K69,OFFSET(INDIRECT(""&amp;$S$29&amp;"!$A$4"),0,0,200,100),MATCH(V$30,INDIRECT(""&amp;$S$29&amp;"!$A$4"):INDIRECT(""&amp;$S$29&amp;"!$AA$4"),0),FALSE)),"",VLOOKUP($K69,OFFSET(INDIRECT(""&amp;$S$29&amp;"!$A$4"),0,0,200,100),MATCH(V$30,INDIRECT(""&amp;$S$29&amp;"!$A$4"):INDIRECT(""&amp;$S$29&amp;"!$AA$4"),0),FALSE))</f>
        <v>12284.954467</v>
      </c>
      <c r="W69" s="76">
        <f ca="1">IF(ISERROR(VLOOKUP($K69,OFFSET(INDIRECT(""&amp;$S$29&amp;"!$A$4"),0,0,200,100),MATCH(W$30,INDIRECT(""&amp;$S$29&amp;"!$A$4"):INDIRECT(""&amp;$S$29&amp;"!$AA$4"),0),FALSE)),"",VLOOKUP($K69,OFFSET(INDIRECT(""&amp;$S$29&amp;"!$A$4"),0,0,200,100),MATCH(W$30,INDIRECT(""&amp;$S$29&amp;"!$A$4"):INDIRECT(""&amp;$S$29&amp;"!$AA$4"),0),FALSE))</f>
        <v>23506.900965000001</v>
      </c>
      <c r="X69" s="76">
        <f ca="1">IF(ISERROR(VLOOKUP($K69,OFFSET(INDIRECT(""&amp;$S$29&amp;"!$A$4"),0,0,200,100),MATCH(X$30,INDIRECT(""&amp;$S$29&amp;"!$A$4"):INDIRECT(""&amp;$S$29&amp;"!$AA$4"),0),FALSE)),"",VLOOKUP($K69,OFFSET(INDIRECT(""&amp;$S$29&amp;"!$A$4"),0,0,200,100),MATCH(X$30,INDIRECT(""&amp;$S$29&amp;"!$A$4"):INDIRECT(""&amp;$S$29&amp;"!$AA$4"),0),FALSE))</f>
        <v>25185.972071</v>
      </c>
      <c r="Y69" s="76">
        <f ca="1">IF(ISERROR(VLOOKUP($K69,OFFSET(INDIRECT(""&amp;$S$29&amp;"!$A$4"),0,0,200,100),MATCH(Y$30,INDIRECT(""&amp;$S$29&amp;"!$A$4"):INDIRECT(""&amp;$S$29&amp;"!$AA$4"),0),FALSE)),"",VLOOKUP($K69,OFFSET(INDIRECT(""&amp;$S$29&amp;"!$A$4"),0,0,200,100),MATCH(Y$30,INDIRECT(""&amp;$S$29&amp;"!$A$4"):INDIRECT(""&amp;$S$29&amp;"!$AA$4"),0),FALSE))</f>
        <v>24024.980549</v>
      </c>
      <c r="Z69" s="76">
        <f ca="1">IF(ISERROR(VLOOKUP($K69,OFFSET(INDIRECT(""&amp;$S$29&amp;"!$A$4"),0,0,200,100),MATCH(Z$30,INDIRECT(""&amp;$S$29&amp;"!$A$4"):INDIRECT(""&amp;$S$29&amp;"!$AA$4"),0),FALSE)),"",VLOOKUP($K69,OFFSET(INDIRECT(""&amp;$S$29&amp;"!$A$4"),0,0,200,100),MATCH(Z$30,INDIRECT(""&amp;$S$29&amp;"!$A$4"):INDIRECT(""&amp;$S$29&amp;"!$AA$4"),0),FALSE))</f>
        <v>30923.210214999999</v>
      </c>
      <c r="AA69" s="76">
        <f t="shared" ca="1" si="61"/>
        <v>24024.980549</v>
      </c>
      <c r="AB69" s="110"/>
      <c r="AC69" s="87">
        <f t="shared" ca="1" si="48"/>
        <v>4.5377286045122419E-3</v>
      </c>
      <c r="AD69" s="87">
        <f t="shared" ca="1" si="49"/>
        <v>4.1102593871432419E-2</v>
      </c>
      <c r="AE69" s="87">
        <f t="shared" ca="1" si="50"/>
        <v>3.7316720555178991E-2</v>
      </c>
      <c r="AF69" s="87">
        <f t="shared" ca="1" si="51"/>
        <v>6.7385030298214049E-2</v>
      </c>
      <c r="AG69" s="87">
        <f t="shared" ca="1" si="64"/>
        <v>8.5725638174801333E-2</v>
      </c>
      <c r="AH69" s="87">
        <f t="shared" ca="1" si="64"/>
        <v>8.5725638174801333E-2</v>
      </c>
      <c r="AI69" s="144"/>
      <c r="AJ69" s="87">
        <f t="shared" ca="1" si="53"/>
        <v>3.9558098816380144E-2</v>
      </c>
      <c r="AK69" s="87">
        <f t="shared" ca="1" si="54"/>
        <v>4.6750135660153465E-2</v>
      </c>
      <c r="AL69" s="87">
        <f t="shared" ca="1" si="55"/>
        <v>4.0298858694923619E-2</v>
      </c>
      <c r="AM69" s="87">
        <f t="shared" ca="1" si="56"/>
        <v>3.8331816209498874E-2</v>
      </c>
      <c r="AN69" s="87">
        <f t="shared" ca="1" si="57"/>
        <v>3.5337960200127139E-2</v>
      </c>
      <c r="AO69" s="87">
        <f t="shared" ca="1" si="65"/>
        <v>3.3786638972188719E-2</v>
      </c>
      <c r="AP69" s="87">
        <f t="shared" ca="1" si="65"/>
        <v>3.2488451858966171E-2</v>
      </c>
      <c r="AQ69" s="87">
        <f t="shared" ca="1" si="65"/>
        <v>3.4029071784448542E-2</v>
      </c>
      <c r="AR69" s="87">
        <f t="shared" ca="1" si="65"/>
        <v>6.4080983510078598E-2</v>
      </c>
      <c r="AS69" s="87">
        <f t="shared" ca="1" si="65"/>
        <v>6.8305859680030626E-2</v>
      </c>
      <c r="AT69" s="87">
        <f t="shared" ca="1" si="59"/>
        <v>7.1032274422596797E-2</v>
      </c>
      <c r="AU69" s="87">
        <f t="shared" ca="1" si="59"/>
        <v>9.1821567152669883E-2</v>
      </c>
      <c r="AV69" s="87">
        <f t="shared" ca="1" si="60"/>
        <v>7.1032274422596797E-2</v>
      </c>
    </row>
    <row r="70" spans="1:48" s="101" customFormat="1" ht="15.95" customHeight="1" outlineLevel="1">
      <c r="A70" s="85" t="s">
        <v>265</v>
      </c>
      <c r="B70" s="116" t="s">
        <v>160</v>
      </c>
      <c r="C70" s="76">
        <f ca="1">IF(ISERROR(VLOOKUP($B70,OFFSET(INDIRECT(""&amp;$B$29&amp;"!$A$4"),0,0,200,100),MATCH(C$30,INDIRECT(""&amp;$B$29&amp;"!$A$4"):INDIRECT(""&amp;$B$29&amp;"!$o$4"),0),FALSE)),"",VLOOKUP($B70,OFFSET(INDIRECT(""&amp;$B$29&amp;"!$A$4"),0,0,200,100),MATCH(C$30,INDIRECT(""&amp;$B$29&amp;"!$A$4"):INDIRECT(""&amp;$B$29&amp;"!$o$4"),0),FALSE))</f>
        <v>0</v>
      </c>
      <c r="D70" s="76">
        <f ca="1">IF(ISERROR(VLOOKUP($B70,OFFSET(INDIRECT(""&amp;$B$29&amp;"!$A$4"),0,0,200,100),MATCH(D$30,INDIRECT(""&amp;$B$29&amp;"!$A$4"):INDIRECT(""&amp;$B$29&amp;"!$o$4"),0),FALSE)),"",VLOOKUP($B70,OFFSET(INDIRECT(""&amp;$B$29&amp;"!$A$4"),0,0,200,100),MATCH(D$30,INDIRECT(""&amp;$B$29&amp;"!$A$4"):INDIRECT(""&amp;$B$29&amp;"!$o$4"),0),FALSE))</f>
        <v>0</v>
      </c>
      <c r="E70" s="76">
        <f ca="1">IF(ISERROR(VLOOKUP($B70,OFFSET(INDIRECT(""&amp;$B$29&amp;"!$A$4"),0,0,200,100),MATCH(E$30,INDIRECT(""&amp;$B$29&amp;"!$A$4"):INDIRECT(""&amp;$B$29&amp;"!$o$4"),0),FALSE)),"",VLOOKUP($B70,OFFSET(INDIRECT(""&amp;$B$29&amp;"!$A$4"),0,0,200,100),MATCH(E$30,INDIRECT(""&amp;$B$29&amp;"!$A$4"):INDIRECT(""&amp;$B$29&amp;"!$o$4"),0),FALSE))</f>
        <v>0</v>
      </c>
      <c r="F70" s="76">
        <f ca="1">IF(ISERROR(VLOOKUP($B70,OFFSET(INDIRECT(""&amp;$B$29&amp;"!$A$4"),0,0,200,100),MATCH(F$30,INDIRECT(""&amp;$B$29&amp;"!$A$4"):INDIRECT(""&amp;$B$29&amp;"!$o$4"),0),FALSE)),"",VLOOKUP($B70,OFFSET(INDIRECT(""&amp;$B$29&amp;"!$A$4"),0,0,200,100),MATCH(F$30,INDIRECT(""&amp;$B$29&amp;"!$A$4"):INDIRECT(""&amp;$B$29&amp;"!$o$4"),0),FALSE))</f>
        <v>0</v>
      </c>
      <c r="G70" s="76">
        <f ca="1">IF(ISERROR(VLOOKUP($B70,OFFSET(INDIRECT(""&amp;$B$29&amp;"!$A$4"),0,0,200,100),MATCH(G$30,INDIRECT(""&amp;$B$29&amp;"!$A$4"):INDIRECT(""&amp;$B$29&amp;"!$o$4"),0),FALSE)),"",VLOOKUP($B70,OFFSET(INDIRECT(""&amp;$B$29&amp;"!$A$4"),0,0,200,100),MATCH(G$30,INDIRECT(""&amp;$B$29&amp;"!$A$4"):INDIRECT(""&amp;$B$29&amp;"!$o$4"),0),FALSE))</f>
        <v>0</v>
      </c>
      <c r="H70" s="76">
        <f ca="1">IF(ISERROR(VLOOKUP($B70,OFFSET(INDIRECT(""&amp;$B$29&amp;"!$A$4"),0,0,200,100),MATCH(H$30,INDIRECT(""&amp;$B$29&amp;"!$A$4"):INDIRECT(""&amp;$B$29&amp;"!$o$4"),0),FALSE)),"",VLOOKUP($B70,OFFSET(INDIRECT(""&amp;$B$29&amp;"!$A$4"),0,0,200,100),MATCH(H$30,INDIRECT(""&amp;$B$29&amp;"!$A$4"):INDIRECT(""&amp;$B$29&amp;"!$o$4"),0),FALSE))</f>
        <v>0</v>
      </c>
      <c r="I70" s="76">
        <f ca="1">IF(ISERROR(VLOOKUP($B70,OFFSET(INDIRECT(""&amp;$B$29&amp;"!$A$4"),0,0,200,100),MATCH(I$30,INDIRECT(""&amp;$B$29&amp;"!$A$4"):INDIRECT(""&amp;$B$29&amp;"!$o$4"),0),FALSE)),"",VLOOKUP($B70,OFFSET(INDIRECT(""&amp;$B$29&amp;"!$A$4"),0,0,200,100),MATCH(I$30,INDIRECT(""&amp;$B$29&amp;"!$A$4"):INDIRECT(""&amp;$B$29&amp;"!$o$4"),0),FALSE))</f>
        <v>0</v>
      </c>
      <c r="J70" s="76">
        <f ca="1">IF(ISERROR(VLOOKUP($B70,OFFSET(INDIRECT(""&amp;$B$29&amp;"!$A$4"),0,0,200,100),MATCH(J$30,INDIRECT(""&amp;$B$29&amp;"!$A$4"):INDIRECT(""&amp;$B$29&amp;"!$o$4"),0),FALSE)),"",VLOOKUP($B70,OFFSET(INDIRECT(""&amp;$B$29&amp;"!$A$4"),0,0,200,100),MATCH(J$30,INDIRECT(""&amp;$B$29&amp;"!$A$4"):INDIRECT(""&amp;$B$29&amp;"!$o$4"),0),FALSE))</f>
        <v>0</v>
      </c>
      <c r="K70" s="121" t="s">
        <v>160</v>
      </c>
      <c r="L70" s="76">
        <f ca="1">IF(ISERROR(VLOOKUP($K70,OFFSET(INDIRECT(""&amp;$S$29&amp;"!$A$4"),0,0,200,100),MATCH(L$30,INDIRECT(""&amp;$S$29&amp;"!$A$4"):INDIRECT(""&amp;$S$29&amp;"!$AA$4"),0),FALSE)),"",VLOOKUP($K70,OFFSET(INDIRECT(""&amp;$S$29&amp;"!$A$4"),0,0,200,100),MATCH(L$30,INDIRECT(""&amp;$S$29&amp;"!$A$4"):INDIRECT(""&amp;$S$29&amp;"!$AA$4"),0),FALSE))</f>
        <v>0</v>
      </c>
      <c r="M70" s="76">
        <f ca="1">IF(ISERROR(VLOOKUP($K70,OFFSET(INDIRECT(""&amp;$S$29&amp;"!$A$4"),0,0,200,100),MATCH(M$30,INDIRECT(""&amp;$S$29&amp;"!$A$4"):INDIRECT(""&amp;$S$29&amp;"!$AA$4"),0),FALSE)),"",VLOOKUP($K70,OFFSET(INDIRECT(""&amp;$S$29&amp;"!$A$4"),0,0,200,100),MATCH(M$30,INDIRECT(""&amp;$S$29&amp;"!$A$4"):INDIRECT(""&amp;$S$29&amp;"!$AA$4"),0),FALSE))</f>
        <v>0</v>
      </c>
      <c r="N70" s="76">
        <f ca="1">IF(ISERROR(VLOOKUP($K70,OFFSET(INDIRECT(""&amp;$S$29&amp;"!$A$4"),0,0,200,100),MATCH(N$30,INDIRECT(""&amp;$S$29&amp;"!$A$4"):INDIRECT(""&amp;$S$29&amp;"!$AA$4"),0),FALSE)),"",VLOOKUP($K70,OFFSET(INDIRECT(""&amp;$S$29&amp;"!$A$4"),0,0,200,100),MATCH(N$30,INDIRECT(""&amp;$S$29&amp;"!$A$4"):INDIRECT(""&amp;$S$29&amp;"!$AA$4"),0),FALSE))</f>
        <v>0</v>
      </c>
      <c r="O70" s="76">
        <f ca="1">IF(ISERROR(VLOOKUP($K70,OFFSET(INDIRECT(""&amp;$S$29&amp;"!$A$4"),0,0,200,100),MATCH(O$30,INDIRECT(""&amp;$S$29&amp;"!$A$4"):INDIRECT(""&amp;$S$29&amp;"!$AA$4"),0),FALSE)),"",VLOOKUP($K70,OFFSET(INDIRECT(""&amp;$S$29&amp;"!$A$4"),0,0,200,100),MATCH(O$30,INDIRECT(""&amp;$S$29&amp;"!$A$4"):INDIRECT(""&amp;$S$29&amp;"!$AA$4"),0),FALSE))</f>
        <v>0</v>
      </c>
      <c r="P70" s="76">
        <f ca="1">IF(ISERROR(VLOOKUP($K70,OFFSET(INDIRECT(""&amp;$S$29&amp;"!$A$4"),0,0,200,100),MATCH(P$30,INDIRECT(""&amp;$S$29&amp;"!$A$4"):INDIRECT(""&amp;$S$29&amp;"!$AA$4"),0),FALSE)),"",VLOOKUP($K70,OFFSET(INDIRECT(""&amp;$S$29&amp;"!$A$4"),0,0,200,100),MATCH(P$30,INDIRECT(""&amp;$S$29&amp;"!$A$4"):INDIRECT(""&amp;$S$29&amp;"!$AA$4"),0),FALSE))</f>
        <v>0</v>
      </c>
      <c r="Q70" s="76">
        <f ca="1">IF(ISERROR(VLOOKUP($K70,OFFSET(INDIRECT(""&amp;$S$29&amp;"!$A$4"),0,0,200,100),MATCH(Q$30,INDIRECT(""&amp;$S$29&amp;"!$A$4"):INDIRECT(""&amp;$S$29&amp;"!$AA$4"),0),FALSE)),"",VLOOKUP($K70,OFFSET(INDIRECT(""&amp;$S$29&amp;"!$A$4"),0,0,200,100),MATCH(Q$30,INDIRECT(""&amp;$S$29&amp;"!$A$4"):INDIRECT(""&amp;$S$29&amp;"!$AA$4"),0),FALSE))</f>
        <v>0</v>
      </c>
      <c r="R70" s="76">
        <f ca="1">IF(ISERROR(VLOOKUP($K70,OFFSET(INDIRECT(""&amp;$S$29&amp;"!$A$4"),0,0,200,100),MATCH(R$30,INDIRECT(""&amp;$S$29&amp;"!$A$4"):INDIRECT(""&amp;$S$29&amp;"!$AA$4"),0),FALSE)),"",VLOOKUP($K70,OFFSET(INDIRECT(""&amp;$S$29&amp;"!$A$4"),0,0,200,100),MATCH(R$30,INDIRECT(""&amp;$S$29&amp;"!$A$4"):INDIRECT(""&amp;$S$29&amp;"!$AA$4"),0),FALSE))</f>
        <v>0</v>
      </c>
      <c r="S70" s="76">
        <f ca="1">IF(ISERROR(VLOOKUP($K70,OFFSET(INDIRECT(""&amp;$S$29&amp;"!$A$4"),0,0,200,100),MATCH(S$30,INDIRECT(""&amp;$S$29&amp;"!$A$4"):INDIRECT(""&amp;$S$29&amp;"!$AA$4"),0),FALSE)),"",VLOOKUP($K70,OFFSET(INDIRECT(""&amp;$S$29&amp;"!$A$4"),0,0,200,100),MATCH(S$30,INDIRECT(""&amp;$S$29&amp;"!$A$4"):INDIRECT(""&amp;$S$29&amp;"!$AA$4"),0),FALSE))</f>
        <v>0</v>
      </c>
      <c r="T70" s="76">
        <f ca="1">IF(ISERROR(VLOOKUP($K70,OFFSET(INDIRECT(""&amp;$S$29&amp;"!$A$4"),0,0,200,100),MATCH(T$30,INDIRECT(""&amp;$S$29&amp;"!$A$4"):INDIRECT(""&amp;$S$29&amp;"!$AA$4"),0),FALSE)),"",VLOOKUP($K70,OFFSET(INDIRECT(""&amp;$S$29&amp;"!$A$4"),0,0,200,100),MATCH(T$30,INDIRECT(""&amp;$S$29&amp;"!$A$4"):INDIRECT(""&amp;$S$29&amp;"!$AA$4"),0),FALSE))</f>
        <v>0</v>
      </c>
      <c r="U70" s="76">
        <f ca="1">IF(ISERROR(VLOOKUP($K70,OFFSET(INDIRECT(""&amp;$S$29&amp;"!$A$4"),0,0,200,100),MATCH(U$30,INDIRECT(""&amp;$S$29&amp;"!$A$4"):INDIRECT(""&amp;$S$29&amp;"!$AA$4"),0),FALSE)),"",VLOOKUP($K70,OFFSET(INDIRECT(""&amp;$S$29&amp;"!$A$4"),0,0,200,100),MATCH(U$30,INDIRECT(""&amp;$S$29&amp;"!$A$4"):INDIRECT(""&amp;$S$29&amp;"!$AA$4"),0),FALSE))</f>
        <v>0</v>
      </c>
      <c r="V70" s="76">
        <f ca="1">IF(ISERROR(VLOOKUP($K70,OFFSET(INDIRECT(""&amp;$S$29&amp;"!$A$4"),0,0,200,100),MATCH(V$30,INDIRECT(""&amp;$S$29&amp;"!$A$4"):INDIRECT(""&amp;$S$29&amp;"!$AA$4"),0),FALSE)),"",VLOOKUP($K70,OFFSET(INDIRECT(""&amp;$S$29&amp;"!$A$4"),0,0,200,100),MATCH(V$30,INDIRECT(""&amp;$S$29&amp;"!$A$4"):INDIRECT(""&amp;$S$29&amp;"!$AA$4"),0),FALSE))</f>
        <v>0</v>
      </c>
      <c r="W70" s="76">
        <f ca="1">IF(ISERROR(VLOOKUP($K70,OFFSET(INDIRECT(""&amp;$S$29&amp;"!$A$4"),0,0,200,100),MATCH(W$30,INDIRECT(""&amp;$S$29&amp;"!$A$4"):INDIRECT(""&amp;$S$29&amp;"!$AA$4"),0),FALSE)),"",VLOOKUP($K70,OFFSET(INDIRECT(""&amp;$S$29&amp;"!$A$4"),0,0,200,100),MATCH(W$30,INDIRECT(""&amp;$S$29&amp;"!$A$4"):INDIRECT(""&amp;$S$29&amp;"!$AA$4"),0),FALSE))</f>
        <v>0</v>
      </c>
      <c r="X70" s="76">
        <f ca="1">IF(ISERROR(VLOOKUP($K70,OFFSET(INDIRECT(""&amp;$S$29&amp;"!$A$4"),0,0,200,100),MATCH(X$30,INDIRECT(""&amp;$S$29&amp;"!$A$4"):INDIRECT(""&amp;$S$29&amp;"!$AA$4"),0),FALSE)),"",VLOOKUP($K70,OFFSET(INDIRECT(""&amp;$S$29&amp;"!$A$4"),0,0,200,100),MATCH(X$30,INDIRECT(""&amp;$S$29&amp;"!$A$4"):INDIRECT(""&amp;$S$29&amp;"!$AA$4"),0),FALSE))</f>
        <v>0</v>
      </c>
      <c r="Y70" s="76">
        <f ca="1">IF(ISERROR(VLOOKUP($K70,OFFSET(INDIRECT(""&amp;$S$29&amp;"!$A$4"),0,0,200,100),MATCH(Y$30,INDIRECT(""&amp;$S$29&amp;"!$A$4"):INDIRECT(""&amp;$S$29&amp;"!$AA$4"),0),FALSE)),"",VLOOKUP($K70,OFFSET(INDIRECT(""&amp;$S$29&amp;"!$A$4"),0,0,200,100),MATCH(Y$30,INDIRECT(""&amp;$S$29&amp;"!$A$4"):INDIRECT(""&amp;$S$29&amp;"!$AA$4"),0),FALSE))</f>
        <v>0</v>
      </c>
      <c r="Z70" s="76">
        <f ca="1">IF(ISERROR(VLOOKUP($K70,OFFSET(INDIRECT(""&amp;$S$29&amp;"!$A$4"),0,0,200,100),MATCH(Z$30,INDIRECT(""&amp;$S$29&amp;"!$A$4"):INDIRECT(""&amp;$S$29&amp;"!$AA$4"),0),FALSE)),"",VLOOKUP($K70,OFFSET(INDIRECT(""&amp;$S$29&amp;"!$A$4"),0,0,200,100),MATCH(Z$30,INDIRECT(""&amp;$S$29&amp;"!$A$4"):INDIRECT(""&amp;$S$29&amp;"!$AA$4"),0),FALSE))</f>
        <v>0</v>
      </c>
      <c r="AA70" s="76">
        <f t="shared" ca="1" si="61"/>
        <v>0</v>
      </c>
      <c r="AB70" s="122"/>
      <c r="AC70" s="87">
        <f t="shared" ca="1" si="48"/>
        <v>0</v>
      </c>
      <c r="AD70" s="87">
        <f t="shared" ca="1" si="49"/>
        <v>0</v>
      </c>
      <c r="AE70" s="87">
        <f t="shared" ca="1" si="50"/>
        <v>0</v>
      </c>
      <c r="AF70" s="87">
        <f t="shared" ca="1" si="51"/>
        <v>0</v>
      </c>
      <c r="AG70" s="87">
        <f t="shared" ca="1" si="64"/>
        <v>0</v>
      </c>
      <c r="AH70" s="87">
        <f t="shared" ca="1" si="64"/>
        <v>0</v>
      </c>
      <c r="AI70" s="144"/>
      <c r="AJ70" s="87">
        <f t="shared" ca="1" si="53"/>
        <v>0</v>
      </c>
      <c r="AK70" s="87">
        <f t="shared" ca="1" si="54"/>
        <v>0</v>
      </c>
      <c r="AL70" s="87">
        <f t="shared" ca="1" si="55"/>
        <v>0</v>
      </c>
      <c r="AM70" s="87">
        <f t="shared" ca="1" si="56"/>
        <v>0</v>
      </c>
      <c r="AN70" s="87">
        <f t="shared" ca="1" si="57"/>
        <v>0</v>
      </c>
      <c r="AO70" s="87">
        <f t="shared" ca="1" si="65"/>
        <v>0</v>
      </c>
      <c r="AP70" s="87">
        <f t="shared" ca="1" si="65"/>
        <v>0</v>
      </c>
      <c r="AQ70" s="87">
        <f t="shared" ca="1" si="65"/>
        <v>0</v>
      </c>
      <c r="AR70" s="87">
        <f t="shared" ca="1" si="65"/>
        <v>0</v>
      </c>
      <c r="AS70" s="87">
        <f t="shared" ca="1" si="65"/>
        <v>0</v>
      </c>
      <c r="AT70" s="87">
        <f t="shared" ca="1" si="59"/>
        <v>0</v>
      </c>
      <c r="AU70" s="87">
        <f t="shared" ca="1" si="59"/>
        <v>0</v>
      </c>
      <c r="AV70" s="87">
        <f t="shared" ca="1" si="60"/>
        <v>0</v>
      </c>
    </row>
    <row r="71" spans="1:48" s="84" customFormat="1" ht="15.95" customHeight="1" outlineLevel="1">
      <c r="A71" s="85" t="s">
        <v>266</v>
      </c>
      <c r="B71" s="116" t="s">
        <v>77</v>
      </c>
      <c r="C71" s="76">
        <f ca="1">IF(ISERROR(VLOOKUP($B71,OFFSET(INDIRECT(""&amp;$B$29&amp;"!$A$4"),0,0,200,100),MATCH(C$30,INDIRECT(""&amp;$B$29&amp;"!$A$4"):INDIRECT(""&amp;$B$29&amp;"!$o$4"),0),FALSE)),"",VLOOKUP($B71,OFFSET(INDIRECT(""&amp;$B$29&amp;"!$A$4"),0,0,200,100),MATCH(C$30,INDIRECT(""&amp;$B$29&amp;"!$A$4"):INDIRECT(""&amp;$B$29&amp;"!$o$4"),0),FALSE))</f>
        <v>236040.24393500001</v>
      </c>
      <c r="D71" s="76">
        <f ca="1">IF(ISERROR(VLOOKUP($B71,OFFSET(INDIRECT(""&amp;$B$29&amp;"!$A$4"),0,0,200,100),MATCH(D$30,INDIRECT(""&amp;$B$29&amp;"!$A$4"):INDIRECT(""&amp;$B$29&amp;"!$o$4"),0),FALSE)),"",VLOOKUP($B71,OFFSET(INDIRECT(""&amp;$B$29&amp;"!$A$4"),0,0,200,100),MATCH(D$30,INDIRECT(""&amp;$B$29&amp;"!$A$4"):INDIRECT(""&amp;$B$29&amp;"!$o$4"),0),FALSE))</f>
        <v>298545.60721799999</v>
      </c>
      <c r="E71" s="76">
        <f ca="1">IF(ISERROR(VLOOKUP($B71,OFFSET(INDIRECT(""&amp;$B$29&amp;"!$A$4"),0,0,200,100),MATCH(E$30,INDIRECT(""&amp;$B$29&amp;"!$A$4"):INDIRECT(""&amp;$B$29&amp;"!$o$4"),0),FALSE)),"",VLOOKUP($B71,OFFSET(INDIRECT(""&amp;$B$29&amp;"!$A$4"),0,0,200,100),MATCH(E$30,INDIRECT(""&amp;$B$29&amp;"!$A$4"):INDIRECT(""&amp;$B$29&amp;"!$o$4"),0),FALSE))</f>
        <v>348834.21992800001</v>
      </c>
      <c r="F71" s="76">
        <f ca="1">IF(ISERROR(VLOOKUP($B71,OFFSET(INDIRECT(""&amp;$B$29&amp;"!$A$4"),0,0,200,100),MATCH(F$30,INDIRECT(""&amp;$B$29&amp;"!$A$4"):INDIRECT(""&amp;$B$29&amp;"!$o$4"),0),FALSE)),"",VLOOKUP($B71,OFFSET(INDIRECT(""&amp;$B$29&amp;"!$A$4"),0,0,200,100),MATCH(F$30,INDIRECT(""&amp;$B$29&amp;"!$A$4"):INDIRECT(""&amp;$B$29&amp;"!$o$4"),0),FALSE))</f>
        <v>377072.19397099997</v>
      </c>
      <c r="G71" s="76">
        <f ca="1">IF(ISERROR(VLOOKUP($B71,OFFSET(INDIRECT(""&amp;$B$29&amp;"!$A$4"),0,0,200,100),MATCH(G$30,INDIRECT(""&amp;$B$29&amp;"!$A$4"):INDIRECT(""&amp;$B$29&amp;"!$o$4"),0),FALSE)),"",VLOOKUP($B71,OFFSET(INDIRECT(""&amp;$B$29&amp;"!$A$4"),0,0,200,100),MATCH(G$30,INDIRECT(""&amp;$B$29&amp;"!$A$4"):INDIRECT(""&amp;$B$29&amp;"!$o$4"),0),FALSE))</f>
        <v>381644.06778300001</v>
      </c>
      <c r="H71" s="76">
        <f ca="1">IF(ISERROR(VLOOKUP($B71,OFFSET(INDIRECT(""&amp;$B$29&amp;"!$A$4"),0,0,200,100),MATCH(H$30,INDIRECT(""&amp;$B$29&amp;"!$A$4"):INDIRECT(""&amp;$B$29&amp;"!$o$4"),0),FALSE)),"",VLOOKUP($B71,OFFSET(INDIRECT(""&amp;$B$29&amp;"!$A$4"),0,0,200,100),MATCH(H$30,INDIRECT(""&amp;$B$29&amp;"!$A$4"):INDIRECT(""&amp;$B$29&amp;"!$o$4"),0),FALSE))</f>
        <v>366192.39994099998</v>
      </c>
      <c r="I71" s="76">
        <f ca="1">IF(ISERROR(VLOOKUP($B71,OFFSET(INDIRECT(""&amp;$B$29&amp;"!$A$4"),0,0,200,100),MATCH(I$30,INDIRECT(""&amp;$B$29&amp;"!$A$4"):INDIRECT(""&amp;$B$29&amp;"!$o$4"),0),FALSE)),"",VLOOKUP($B71,OFFSET(INDIRECT(""&amp;$B$29&amp;"!$A$4"),0,0,200,100),MATCH(I$30,INDIRECT(""&amp;$B$29&amp;"!$A$4"):INDIRECT(""&amp;$B$29&amp;"!$o$4"),0),FALSE))</f>
        <v>340810.38156200002</v>
      </c>
      <c r="J71" s="76">
        <f ca="1">IF(ISERROR(VLOOKUP($B71,OFFSET(INDIRECT(""&amp;$B$29&amp;"!$A$4"),0,0,200,100),MATCH(J$30,INDIRECT(""&amp;$B$29&amp;"!$A$4"):INDIRECT(""&amp;$B$29&amp;"!$o$4"),0),FALSE)),"",VLOOKUP($B71,OFFSET(INDIRECT(""&amp;$B$29&amp;"!$A$4"),0,0,200,100),MATCH(J$30,INDIRECT(""&amp;$B$29&amp;"!$A$4"):INDIRECT(""&amp;$B$29&amp;"!$o$4"),0),FALSE))</f>
        <v>340810.38156200002</v>
      </c>
      <c r="K71" s="123" t="s">
        <v>77</v>
      </c>
      <c r="L71" s="76">
        <f ca="1">IF(ISERROR(VLOOKUP($K71,OFFSET(INDIRECT(""&amp;$S$29&amp;"!$A$4"),0,0,200,100),MATCH(L$30,INDIRECT(""&amp;$S$29&amp;"!$A$4"):INDIRECT(""&amp;$S$29&amp;"!$AA$4"),0),FALSE)),"",VLOOKUP($K71,OFFSET(INDIRECT(""&amp;$S$29&amp;"!$A$4"),0,0,200,100),MATCH(L$30,INDIRECT(""&amp;$S$29&amp;"!$A$4"):INDIRECT(""&amp;$S$29&amp;"!$AA$4"),0),FALSE))</f>
        <v>364130.31263300002</v>
      </c>
      <c r="M71" s="76">
        <f ca="1">IF(ISERROR(VLOOKUP($K71,OFFSET(INDIRECT(""&amp;$S$29&amp;"!$A$4"),0,0,200,100),MATCH(M$30,INDIRECT(""&amp;$S$29&amp;"!$A$4"):INDIRECT(""&amp;$S$29&amp;"!$AA$4"),0),FALSE)),"",VLOOKUP($K71,OFFSET(INDIRECT(""&amp;$S$29&amp;"!$A$4"),0,0,200,100),MATCH(M$30,INDIRECT(""&amp;$S$29&amp;"!$A$4"):INDIRECT(""&amp;$S$29&amp;"!$AA$4"),0),FALSE))</f>
        <v>378289.68468200002</v>
      </c>
      <c r="N71" s="76">
        <f ca="1">IF(ISERROR(VLOOKUP($K71,OFFSET(INDIRECT(""&amp;$S$29&amp;"!$A$4"),0,0,200,100),MATCH(N$30,INDIRECT(""&amp;$S$29&amp;"!$A$4"):INDIRECT(""&amp;$S$29&amp;"!$AA$4"),0),FALSE)),"",VLOOKUP($K71,OFFSET(INDIRECT(""&amp;$S$29&amp;"!$A$4"),0,0,200,100),MATCH(N$30,INDIRECT(""&amp;$S$29&amp;"!$A$4"):INDIRECT(""&amp;$S$29&amp;"!$AA$4"),0),FALSE))</f>
        <v>384762.95500700001</v>
      </c>
      <c r="O71" s="76">
        <f ca="1">IF(ISERROR(VLOOKUP($K71,OFFSET(INDIRECT(""&amp;$S$29&amp;"!$A$4"),0,0,200,100),MATCH(O$30,INDIRECT(""&amp;$S$29&amp;"!$A$4"):INDIRECT(""&amp;$S$29&amp;"!$AA$4"),0),FALSE)),"",VLOOKUP($K71,OFFSET(INDIRECT(""&amp;$S$29&amp;"!$A$4"),0,0,200,100),MATCH(O$30,INDIRECT(""&amp;$S$29&amp;"!$A$4"):INDIRECT(""&amp;$S$29&amp;"!$AA$4"),0),FALSE))</f>
        <v>391794.49247400003</v>
      </c>
      <c r="P71" s="76">
        <f ca="1">IF(ISERROR(VLOOKUP($K71,OFFSET(INDIRECT(""&amp;$S$29&amp;"!$A$4"),0,0,200,100),MATCH(P$30,INDIRECT(""&amp;$S$29&amp;"!$A$4"):INDIRECT(""&amp;$S$29&amp;"!$AA$4"),0),FALSE)),"",VLOOKUP($K71,OFFSET(INDIRECT(""&amp;$S$29&amp;"!$A$4"),0,0,200,100),MATCH(P$30,INDIRECT(""&amp;$S$29&amp;"!$A$4"):INDIRECT(""&amp;$S$29&amp;"!$AA$4"),0),FALSE))</f>
        <v>388879.74401099997</v>
      </c>
      <c r="Q71" s="76">
        <f ca="1">IF(ISERROR(VLOOKUP($K71,OFFSET(INDIRECT(""&amp;$S$29&amp;"!$A$4"),0,0,200,100),MATCH(Q$30,INDIRECT(""&amp;$S$29&amp;"!$A$4"):INDIRECT(""&amp;$S$29&amp;"!$AA$4"),0),FALSE)),"",VLOOKUP($K71,OFFSET(INDIRECT(""&amp;$S$29&amp;"!$A$4"),0,0,200,100),MATCH(Q$30,INDIRECT(""&amp;$S$29&amp;"!$A$4"):INDIRECT(""&amp;$S$29&amp;"!$AA$4"),0),FALSE))</f>
        <v>413740.23262600001</v>
      </c>
      <c r="R71" s="76">
        <f ca="1">IF(ISERROR(VLOOKUP($K71,OFFSET(INDIRECT(""&amp;$S$29&amp;"!$A$4"),0,0,200,100),MATCH(R$30,INDIRECT(""&amp;$S$29&amp;"!$A$4"):INDIRECT(""&amp;$S$29&amp;"!$AA$4"),0),FALSE)),"",VLOOKUP($K71,OFFSET(INDIRECT(""&amp;$S$29&amp;"!$A$4"),0,0,200,100),MATCH(R$30,INDIRECT(""&amp;$S$29&amp;"!$A$4"):INDIRECT(""&amp;$S$29&amp;"!$AA$4"),0),FALSE))</f>
        <v>397388.04636199999</v>
      </c>
      <c r="S71" s="76">
        <f ca="1">IF(ISERROR(VLOOKUP($K71,OFFSET(INDIRECT(""&amp;$S$29&amp;"!$A$4"),0,0,200,100),MATCH(S$30,INDIRECT(""&amp;$S$29&amp;"!$A$4"):INDIRECT(""&amp;$S$29&amp;"!$AA$4"),0),FALSE)),"",VLOOKUP($K71,OFFSET(INDIRECT(""&amp;$S$29&amp;"!$A$4"),0,0,200,100),MATCH(S$30,INDIRECT(""&amp;$S$29&amp;"!$A$4"):INDIRECT(""&amp;$S$29&amp;"!$AA$4"),0),FALSE))</f>
        <v>403014.34911200003</v>
      </c>
      <c r="T71" s="76">
        <f ca="1">IF(ISERROR(VLOOKUP($K71,OFFSET(INDIRECT(""&amp;$S$29&amp;"!$A$4"),0,0,200,100),MATCH(T$30,INDIRECT(""&amp;$S$29&amp;"!$A$4"):INDIRECT(""&amp;$S$29&amp;"!$AA$4"),0),FALSE)),"",VLOOKUP($K71,OFFSET(INDIRECT(""&amp;$S$29&amp;"!$A$4"),0,0,200,100),MATCH(T$30,INDIRECT(""&amp;$S$29&amp;"!$A$4"):INDIRECT(""&amp;$S$29&amp;"!$AA$4"),0),FALSE))</f>
        <v>379299.90208700002</v>
      </c>
      <c r="U71" s="76">
        <f ca="1">IF(ISERROR(VLOOKUP($K71,OFFSET(INDIRECT(""&amp;$S$29&amp;"!$A$4"),0,0,200,100),MATCH(U$30,INDIRECT(""&amp;$S$29&amp;"!$A$4"):INDIRECT(""&amp;$S$29&amp;"!$AA$4"),0),FALSE)),"",VLOOKUP($K71,OFFSET(INDIRECT(""&amp;$S$29&amp;"!$A$4"),0,0,200,100),MATCH(U$30,INDIRECT(""&amp;$S$29&amp;"!$A$4"):INDIRECT(""&amp;$S$29&amp;"!$AA$4"),0),FALSE))</f>
        <v>368597.64398699999</v>
      </c>
      <c r="V71" s="76">
        <f ca="1">IF(ISERROR(VLOOKUP($K71,OFFSET(INDIRECT(""&amp;$S$29&amp;"!$A$4"),0,0,200,100),MATCH(V$30,INDIRECT(""&amp;$S$29&amp;"!$A$4"):INDIRECT(""&amp;$S$29&amp;"!$AA$4"),0),FALSE)),"",VLOOKUP($K71,OFFSET(INDIRECT(""&amp;$S$29&amp;"!$A$4"),0,0,200,100),MATCH(V$30,INDIRECT(""&amp;$S$29&amp;"!$A$4"):INDIRECT(""&amp;$S$29&amp;"!$AA$4"),0),FALSE))</f>
        <v>361013.50471200002</v>
      </c>
      <c r="W71" s="76">
        <f ca="1">IF(ISERROR(VLOOKUP($K71,OFFSET(INDIRECT(""&amp;$S$29&amp;"!$A$4"),0,0,200,100),MATCH(W$30,INDIRECT(""&amp;$S$29&amp;"!$A$4"):INDIRECT(""&amp;$S$29&amp;"!$AA$4"),0),FALSE)),"",VLOOKUP($K71,OFFSET(INDIRECT(""&amp;$S$29&amp;"!$A$4"),0,0,200,100),MATCH(W$30,INDIRECT(""&amp;$S$29&amp;"!$A$4"):INDIRECT(""&amp;$S$29&amp;"!$AA$4"),0),FALSE))</f>
        <v>366831.15141799999</v>
      </c>
      <c r="X71" s="76">
        <f ca="1">IF(ISERROR(VLOOKUP($K71,OFFSET(INDIRECT(""&amp;$S$29&amp;"!$A$4"),0,0,200,100),MATCH(X$30,INDIRECT(""&amp;$S$29&amp;"!$A$4"):INDIRECT(""&amp;$S$29&amp;"!$AA$4"),0),FALSE)),"",VLOOKUP($K71,OFFSET(INDIRECT(""&amp;$S$29&amp;"!$A$4"),0,0,200,100),MATCH(X$30,INDIRECT(""&amp;$S$29&amp;"!$A$4"):INDIRECT(""&amp;$S$29&amp;"!$AA$4"),0),FALSE))</f>
        <v>368723.44757800002</v>
      </c>
      <c r="Y71" s="76">
        <f ca="1">IF(ISERROR(VLOOKUP($K71,OFFSET(INDIRECT(""&amp;$S$29&amp;"!$A$4"),0,0,200,100),MATCH(Y$30,INDIRECT(""&amp;$S$29&amp;"!$A$4"):INDIRECT(""&amp;$S$29&amp;"!$AA$4"),0),FALSE)),"",VLOOKUP($K71,OFFSET(INDIRECT(""&amp;$S$29&amp;"!$A$4"),0,0,200,100),MATCH(Y$30,INDIRECT(""&amp;$S$29&amp;"!$A$4"):INDIRECT(""&amp;$S$29&amp;"!$AA$4"),0),FALSE))</f>
        <v>338226.26044699998</v>
      </c>
      <c r="Z71" s="76">
        <f ca="1">IF(ISERROR(VLOOKUP($K71,OFFSET(INDIRECT(""&amp;$S$29&amp;"!$A$4"),0,0,200,100),MATCH(Z$30,INDIRECT(""&amp;$S$29&amp;"!$A$4"):INDIRECT(""&amp;$S$29&amp;"!$AA$4"),0),FALSE)),"",VLOOKUP($K71,OFFSET(INDIRECT(""&amp;$S$29&amp;"!$A$4"),0,0,200,100),MATCH(Z$30,INDIRECT(""&amp;$S$29&amp;"!$A$4"):INDIRECT(""&amp;$S$29&amp;"!$AA$4"),0),FALSE))</f>
        <v>336775.02109699999</v>
      </c>
      <c r="AA71" s="76">
        <f t="shared" ca="1" si="61"/>
        <v>338226.26044699998</v>
      </c>
      <c r="AB71" s="105"/>
      <c r="AC71" s="87">
        <f t="shared" ref="AC71:AC106" ca="1" si="66">IF(E71="","",E71/E$31)</f>
        <v>1</v>
      </c>
      <c r="AD71" s="87">
        <f t="shared" ref="AD71:AD106" ca="1" si="67">IF(F71="","",F71/F$31)</f>
        <v>1</v>
      </c>
      <c r="AE71" s="87">
        <f t="shared" ref="AE71:AE106" ca="1" si="68">IF(G71="","",G71/G$31)</f>
        <v>1</v>
      </c>
      <c r="AF71" s="87">
        <f t="shared" ref="AF71:AF106" ca="1" si="69">IF(H71="","",H71/H$31)</f>
        <v>1</v>
      </c>
      <c r="AG71" s="87">
        <f t="shared" ref="AG71:AH86" ca="1" si="70">IF(I71="","",I71/I$31)</f>
        <v>1</v>
      </c>
      <c r="AH71" s="87">
        <f t="shared" ca="1" si="70"/>
        <v>1</v>
      </c>
      <c r="AI71" s="144"/>
      <c r="AJ71" s="87">
        <f t="shared" ref="AJ71:AJ106" ca="1" si="71">IF(O71="","",O71/O$31)</f>
        <v>1</v>
      </c>
      <c r="AK71" s="87">
        <f t="shared" ref="AK71:AK106" ca="1" si="72">IF(P71="","",P71/P$31)</f>
        <v>1</v>
      </c>
      <c r="AL71" s="87">
        <f t="shared" ref="AL71:AL106" ca="1" si="73">IF(Q71="","",Q71/Q$31)</f>
        <v>1</v>
      </c>
      <c r="AM71" s="87">
        <f t="shared" ref="AM71:AM106" ca="1" si="74">IF(R71="","",R71/R$31)</f>
        <v>1</v>
      </c>
      <c r="AN71" s="87">
        <f t="shared" ref="AN71:AN106" ca="1" si="75">IF(S71="","",S71/S$31)</f>
        <v>1</v>
      </c>
      <c r="AO71" s="87">
        <f t="shared" ref="AO71:AS86" ca="1" si="76">IF(T71="","",T71/T$31)</f>
        <v>1</v>
      </c>
      <c r="AP71" s="87">
        <f t="shared" ca="1" si="76"/>
        <v>1</v>
      </c>
      <c r="AQ71" s="87">
        <f t="shared" ca="1" si="76"/>
        <v>1</v>
      </c>
      <c r="AR71" s="87">
        <f t="shared" ca="1" si="76"/>
        <v>1</v>
      </c>
      <c r="AS71" s="87">
        <f t="shared" ca="1" si="76"/>
        <v>1</v>
      </c>
      <c r="AT71" s="87">
        <f t="shared" ref="AT71:AU106" ca="1" si="77">IF(Y71="","",Y71/Y$31)</f>
        <v>1</v>
      </c>
      <c r="AU71" s="87">
        <f t="shared" ca="1" si="77"/>
        <v>1</v>
      </c>
      <c r="AV71" s="87">
        <f t="shared" ref="AV71:AV106" ca="1" si="78">IF(AA71="","",AA71/AA$31)</f>
        <v>1</v>
      </c>
    </row>
    <row r="72" spans="1:48" s="108" customFormat="1" ht="15.95" customHeight="1" outlineLevel="1">
      <c r="A72" s="85" t="s">
        <v>267</v>
      </c>
      <c r="B72" s="116" t="s">
        <v>165</v>
      </c>
      <c r="C72" s="76">
        <f ca="1">IF(ISERROR(VLOOKUP($B72,OFFSET(INDIRECT(""&amp;$B$29&amp;"!$A$4"),0,0,200,100),MATCH(C$30,INDIRECT(""&amp;$B$29&amp;"!$A$4"):INDIRECT(""&amp;$B$29&amp;"!$o$4"),0),FALSE)),"",VLOOKUP($B72,OFFSET(INDIRECT(""&amp;$B$29&amp;"!$A$4"),0,0,200,100),MATCH(C$30,INDIRECT(""&amp;$B$29&amp;"!$A$4"):INDIRECT(""&amp;$B$29&amp;"!$o$4"),0),FALSE))</f>
        <v>28786.639149999999</v>
      </c>
      <c r="D72" s="76">
        <f ca="1">IF(ISERROR(VLOOKUP($B72,OFFSET(INDIRECT(""&amp;$B$29&amp;"!$A$4"),0,0,200,100),MATCH(D$30,INDIRECT(""&amp;$B$29&amp;"!$A$4"):INDIRECT(""&amp;$B$29&amp;"!$o$4"),0),FALSE)),"",VLOOKUP($B72,OFFSET(INDIRECT(""&amp;$B$29&amp;"!$A$4"),0,0,200,100),MATCH(D$30,INDIRECT(""&amp;$B$29&amp;"!$A$4"):INDIRECT(""&amp;$B$29&amp;"!$o$4"),0),FALSE))</f>
        <v>21234.586783999999</v>
      </c>
      <c r="E72" s="76">
        <f ca="1">IF(ISERROR(VLOOKUP($B72,OFFSET(INDIRECT(""&amp;$B$29&amp;"!$A$4"),0,0,200,100),MATCH(E$30,INDIRECT(""&amp;$B$29&amp;"!$A$4"):INDIRECT(""&amp;$B$29&amp;"!$o$4"),0),FALSE)),"",VLOOKUP($B72,OFFSET(INDIRECT(""&amp;$B$29&amp;"!$A$4"),0,0,200,100),MATCH(E$30,INDIRECT(""&amp;$B$29&amp;"!$A$4"):INDIRECT(""&amp;$B$29&amp;"!$o$4"),0),FALSE))</f>
        <v>28590.799383000001</v>
      </c>
      <c r="F72" s="76">
        <f ca="1">IF(ISERROR(VLOOKUP($B72,OFFSET(INDIRECT(""&amp;$B$29&amp;"!$A$4"),0,0,200,100),MATCH(F$30,INDIRECT(""&amp;$B$29&amp;"!$A$4"):INDIRECT(""&amp;$B$29&amp;"!$o$4"),0),FALSE)),"",VLOOKUP($B72,OFFSET(INDIRECT(""&amp;$B$29&amp;"!$A$4"),0,0,200,100),MATCH(F$30,INDIRECT(""&amp;$B$29&amp;"!$A$4"):INDIRECT(""&amp;$B$29&amp;"!$o$4"),0),FALSE))</f>
        <v>58424.906600000002</v>
      </c>
      <c r="G72" s="76">
        <f ca="1">IF(ISERROR(VLOOKUP($B72,OFFSET(INDIRECT(""&amp;$B$29&amp;"!$A$4"),0,0,200,100),MATCH(G$30,INDIRECT(""&amp;$B$29&amp;"!$A$4"):INDIRECT(""&amp;$B$29&amp;"!$o$4"),0),FALSE)),"",VLOOKUP($B72,OFFSET(INDIRECT(""&amp;$B$29&amp;"!$A$4"),0,0,200,100),MATCH(G$30,INDIRECT(""&amp;$B$29&amp;"!$A$4"):INDIRECT(""&amp;$B$29&amp;"!$o$4"),0),FALSE))</f>
        <v>64224.692251</v>
      </c>
      <c r="H72" s="76">
        <f ca="1">IF(ISERROR(VLOOKUP($B72,OFFSET(INDIRECT(""&amp;$B$29&amp;"!$A$4"),0,0,200,100),MATCH(H$30,INDIRECT(""&amp;$B$29&amp;"!$A$4"):INDIRECT(""&amp;$B$29&amp;"!$o$4"),0),FALSE)),"",VLOOKUP($B72,OFFSET(INDIRECT(""&amp;$B$29&amp;"!$A$4"),0,0,200,100),MATCH(H$30,INDIRECT(""&amp;$B$29&amp;"!$A$4"):INDIRECT(""&amp;$B$29&amp;"!$o$4"),0),FALSE))</f>
        <v>54043.410671999998</v>
      </c>
      <c r="I72" s="76">
        <f ca="1">IF(ISERROR(VLOOKUP($B72,OFFSET(INDIRECT(""&amp;$B$29&amp;"!$A$4"),0,0,200,100),MATCH(I$30,INDIRECT(""&amp;$B$29&amp;"!$A$4"):INDIRECT(""&amp;$B$29&amp;"!$o$4"),0),FALSE)),"",VLOOKUP($B72,OFFSET(INDIRECT(""&amp;$B$29&amp;"!$A$4"),0,0,200,100),MATCH(I$30,INDIRECT(""&amp;$B$29&amp;"!$A$4"):INDIRECT(""&amp;$B$29&amp;"!$o$4"),0),FALSE))</f>
        <v>35278.862799000002</v>
      </c>
      <c r="J72" s="76">
        <f ca="1">IF(ISERROR(VLOOKUP($B72,OFFSET(INDIRECT(""&amp;$B$29&amp;"!$A$4"),0,0,200,100),MATCH(J$30,INDIRECT(""&amp;$B$29&amp;"!$A$4"):INDIRECT(""&amp;$B$29&amp;"!$o$4"),0),FALSE)),"",VLOOKUP($B72,OFFSET(INDIRECT(""&amp;$B$29&amp;"!$A$4"),0,0,200,100),MATCH(J$30,INDIRECT(""&amp;$B$29&amp;"!$A$4"):INDIRECT(""&amp;$B$29&amp;"!$o$4"),0),FALSE))</f>
        <v>35278.862799000002</v>
      </c>
      <c r="K72" s="109" t="s">
        <v>165</v>
      </c>
      <c r="L72" s="76">
        <f ca="1">IF(ISERROR(VLOOKUP($K72,OFFSET(INDIRECT(""&amp;$S$29&amp;"!$A$4"),0,0,200,100),MATCH(L$30,INDIRECT(""&amp;$S$29&amp;"!$A$4"):INDIRECT(""&amp;$S$29&amp;"!$AA$4"),0),FALSE)),"",VLOOKUP($K72,OFFSET(INDIRECT(""&amp;$S$29&amp;"!$A$4"),0,0,200,100),MATCH(L$30,INDIRECT(""&amp;$S$29&amp;"!$A$4"):INDIRECT(""&amp;$S$29&amp;"!$AA$4"),0),FALSE))</f>
        <v>31009.518683999999</v>
      </c>
      <c r="M72" s="76">
        <f ca="1">IF(ISERROR(VLOOKUP($K72,OFFSET(INDIRECT(""&amp;$S$29&amp;"!$A$4"),0,0,200,100),MATCH(M$30,INDIRECT(""&amp;$S$29&amp;"!$A$4"):INDIRECT(""&amp;$S$29&amp;"!$AA$4"),0),FALSE)),"",VLOOKUP($K72,OFFSET(INDIRECT(""&amp;$S$29&amp;"!$A$4"),0,0,200,100),MATCH(M$30,INDIRECT(""&amp;$S$29&amp;"!$A$4"):INDIRECT(""&amp;$S$29&amp;"!$AA$4"),0),FALSE))</f>
        <v>63940.097985</v>
      </c>
      <c r="N72" s="76">
        <f ca="1">IF(ISERROR(VLOOKUP($K72,OFFSET(INDIRECT(""&amp;$S$29&amp;"!$A$4"),0,0,200,100),MATCH(N$30,INDIRECT(""&amp;$S$29&amp;"!$A$4"):INDIRECT(""&amp;$S$29&amp;"!$AA$4"),0),FALSE)),"",VLOOKUP($K72,OFFSET(INDIRECT(""&amp;$S$29&amp;"!$A$4"),0,0,200,100),MATCH(N$30,INDIRECT(""&amp;$S$29&amp;"!$A$4"):INDIRECT(""&amp;$S$29&amp;"!$AA$4"),0),FALSE))</f>
        <v>58156.426764999997</v>
      </c>
      <c r="O72" s="76">
        <f ca="1">IF(ISERROR(VLOOKUP($K72,OFFSET(INDIRECT(""&amp;$S$29&amp;"!$A$4"),0,0,200,100),MATCH(O$30,INDIRECT(""&amp;$S$29&amp;"!$A$4"):INDIRECT(""&amp;$S$29&amp;"!$AA$4"),0),FALSE)),"",VLOOKUP($K72,OFFSET(INDIRECT(""&amp;$S$29&amp;"!$A$4"),0,0,200,100),MATCH(O$30,INDIRECT(""&amp;$S$29&amp;"!$A$4"):INDIRECT(""&amp;$S$29&amp;"!$AA$4"),0),FALSE))</f>
        <v>57963.740030000001</v>
      </c>
      <c r="P72" s="76">
        <f ca="1">IF(ISERROR(VLOOKUP($K72,OFFSET(INDIRECT(""&amp;$S$29&amp;"!$A$4"),0,0,200,100),MATCH(P$30,INDIRECT(""&amp;$S$29&amp;"!$A$4"):INDIRECT(""&amp;$S$29&amp;"!$AA$4"),0),FALSE)),"",VLOOKUP($K72,OFFSET(INDIRECT(""&amp;$S$29&amp;"!$A$4"),0,0,200,100),MATCH(P$30,INDIRECT(""&amp;$S$29&amp;"!$A$4"):INDIRECT(""&amp;$S$29&amp;"!$AA$4"),0),FALSE))</f>
        <v>59193.318574999998</v>
      </c>
      <c r="Q72" s="76">
        <f ca="1">IF(ISERROR(VLOOKUP($K72,OFFSET(INDIRECT(""&amp;$S$29&amp;"!$A$4"),0,0,200,100),MATCH(Q$30,INDIRECT(""&amp;$S$29&amp;"!$A$4"):INDIRECT(""&amp;$S$29&amp;"!$AA$4"),0),FALSE)),"",VLOOKUP($K72,OFFSET(INDIRECT(""&amp;$S$29&amp;"!$A$4"),0,0,200,100),MATCH(Q$30,INDIRECT(""&amp;$S$29&amp;"!$A$4"):INDIRECT(""&amp;$S$29&amp;"!$AA$4"),0),FALSE))</f>
        <v>97117.699517000001</v>
      </c>
      <c r="R72" s="76">
        <f ca="1">IF(ISERROR(VLOOKUP($K72,OFFSET(INDIRECT(""&amp;$S$29&amp;"!$A$4"),0,0,200,100),MATCH(R$30,INDIRECT(""&amp;$S$29&amp;"!$A$4"):INDIRECT(""&amp;$S$29&amp;"!$AA$4"),0),FALSE)),"",VLOOKUP($K72,OFFSET(INDIRECT(""&amp;$S$29&amp;"!$A$4"),0,0,200,100),MATCH(R$30,INDIRECT(""&amp;$S$29&amp;"!$A$4"):INDIRECT(""&amp;$S$29&amp;"!$AA$4"),0),FALSE))</f>
        <v>73451.863628999999</v>
      </c>
      <c r="S72" s="76">
        <f ca="1">IF(ISERROR(VLOOKUP($K72,OFFSET(INDIRECT(""&amp;$S$29&amp;"!$A$4"),0,0,200,100),MATCH(S$30,INDIRECT(""&amp;$S$29&amp;"!$A$4"):INDIRECT(""&amp;$S$29&amp;"!$AA$4"),0),FALSE)),"",VLOOKUP($K72,OFFSET(INDIRECT(""&amp;$S$29&amp;"!$A$4"),0,0,200,100),MATCH(S$30,INDIRECT(""&amp;$S$29&amp;"!$A$4"):INDIRECT(""&amp;$S$29&amp;"!$AA$4"),0),FALSE))</f>
        <v>64149.934848999997</v>
      </c>
      <c r="T72" s="76">
        <f ca="1">IF(ISERROR(VLOOKUP($K72,OFFSET(INDIRECT(""&amp;$S$29&amp;"!$A$4"),0,0,200,100),MATCH(T$30,INDIRECT(""&amp;$S$29&amp;"!$A$4"):INDIRECT(""&amp;$S$29&amp;"!$AA$4"),0),FALSE)),"",VLOOKUP($K72,OFFSET(INDIRECT(""&amp;$S$29&amp;"!$A$4"),0,0,200,100),MATCH(T$30,INDIRECT(""&amp;$S$29&amp;"!$A$4"):INDIRECT(""&amp;$S$29&amp;"!$AA$4"),0),FALSE))</f>
        <v>60569.564605</v>
      </c>
      <c r="U72" s="76">
        <f ca="1">IF(ISERROR(VLOOKUP($K72,OFFSET(INDIRECT(""&amp;$S$29&amp;"!$A$4"),0,0,200,100),MATCH(U$30,INDIRECT(""&amp;$S$29&amp;"!$A$4"):INDIRECT(""&amp;$S$29&amp;"!$AA$4"),0),FALSE)),"",VLOOKUP($K72,OFFSET(INDIRECT(""&amp;$S$29&amp;"!$A$4"),0,0,200,100),MATCH(U$30,INDIRECT(""&amp;$S$29&amp;"!$A$4"):INDIRECT(""&amp;$S$29&amp;"!$AA$4"),0),FALSE))</f>
        <v>62996.984574000002</v>
      </c>
      <c r="V72" s="76">
        <f ca="1">IF(ISERROR(VLOOKUP($K72,OFFSET(INDIRECT(""&amp;$S$29&amp;"!$A$4"),0,0,200,100),MATCH(V$30,INDIRECT(""&amp;$S$29&amp;"!$A$4"):INDIRECT(""&amp;$S$29&amp;"!$AA$4"),0),FALSE)),"",VLOOKUP($K72,OFFSET(INDIRECT(""&amp;$S$29&amp;"!$A$4"),0,0,200,100),MATCH(V$30,INDIRECT(""&amp;$S$29&amp;"!$A$4"):INDIRECT(""&amp;$S$29&amp;"!$AA$4"),0),FALSE))</f>
        <v>49555.503251000002</v>
      </c>
      <c r="W72" s="76">
        <f ca="1">IF(ISERROR(VLOOKUP($K72,OFFSET(INDIRECT(""&amp;$S$29&amp;"!$A$4"),0,0,200,100),MATCH(W$30,INDIRECT(""&amp;$S$29&amp;"!$A$4"):INDIRECT(""&amp;$S$29&amp;"!$AA$4"),0),FALSE)),"",VLOOKUP($K72,OFFSET(INDIRECT(""&amp;$S$29&amp;"!$A$4"),0,0,200,100),MATCH(W$30,INDIRECT(""&amp;$S$29&amp;"!$A$4"):INDIRECT(""&amp;$S$29&amp;"!$AA$4"),0),FALSE))</f>
        <v>54262.476261999996</v>
      </c>
      <c r="X72" s="76">
        <f ca="1">IF(ISERROR(VLOOKUP($K72,OFFSET(INDIRECT(""&amp;$S$29&amp;"!$A$4"),0,0,200,100),MATCH(X$30,INDIRECT(""&amp;$S$29&amp;"!$A$4"):INDIRECT(""&amp;$S$29&amp;"!$AA$4"),0),FALSE)),"",VLOOKUP($K72,OFFSET(INDIRECT(""&amp;$S$29&amp;"!$A$4"),0,0,200,100),MATCH(X$30,INDIRECT(""&amp;$S$29&amp;"!$A$4"):INDIRECT(""&amp;$S$29&amp;"!$AA$4"),0),FALSE))</f>
        <v>54598.692522999998</v>
      </c>
      <c r="Y72" s="76">
        <f ca="1">IF(ISERROR(VLOOKUP($K72,OFFSET(INDIRECT(""&amp;$S$29&amp;"!$A$4"),0,0,200,100),MATCH(Y$30,INDIRECT(""&amp;$S$29&amp;"!$A$4"):INDIRECT(""&amp;$S$29&amp;"!$AA$4"),0),FALSE)),"",VLOOKUP($K72,OFFSET(INDIRECT(""&amp;$S$29&amp;"!$A$4"),0,0,200,100),MATCH(Y$30,INDIRECT(""&amp;$S$29&amp;"!$A$4"):INDIRECT(""&amp;$S$29&amp;"!$AA$4"),0),FALSE))</f>
        <v>40293.33885</v>
      </c>
      <c r="Z72" s="76">
        <f ca="1">IF(ISERROR(VLOOKUP($K72,OFFSET(INDIRECT(""&amp;$S$29&amp;"!$A$4"),0,0,200,100),MATCH(Z$30,INDIRECT(""&amp;$S$29&amp;"!$A$4"):INDIRECT(""&amp;$S$29&amp;"!$AA$4"),0),FALSE)),"",VLOOKUP($K72,OFFSET(INDIRECT(""&amp;$S$29&amp;"!$A$4"),0,0,200,100),MATCH(Z$30,INDIRECT(""&amp;$S$29&amp;"!$A$4"):INDIRECT(""&amp;$S$29&amp;"!$AA$4"),0),FALSE))</f>
        <v>32387.365065000002</v>
      </c>
      <c r="AA72" s="76">
        <f t="shared" ca="1" si="61"/>
        <v>40293.33885</v>
      </c>
      <c r="AB72" s="110"/>
      <c r="AC72" s="87">
        <f t="shared" ca="1" si="66"/>
        <v>8.1960993932594095E-2</v>
      </c>
      <c r="AD72" s="87">
        <f t="shared" ca="1" si="67"/>
        <v>0.15494355599313528</v>
      </c>
      <c r="AE72" s="87">
        <f t="shared" ca="1" si="68"/>
        <v>0.1682842671290195</v>
      </c>
      <c r="AF72" s="87">
        <f t="shared" ca="1" si="69"/>
        <v>0.14758201066080928</v>
      </c>
      <c r="AG72" s="87">
        <f t="shared" ca="1" si="70"/>
        <v>0.10351463660616833</v>
      </c>
      <c r="AH72" s="87">
        <f t="shared" ca="1" si="70"/>
        <v>0.10351463660616833</v>
      </c>
      <c r="AI72" s="144"/>
      <c r="AJ72" s="87">
        <f t="shared" ca="1" si="71"/>
        <v>0.14794424409589307</v>
      </c>
      <c r="AK72" s="87">
        <f t="shared" ca="1" si="72"/>
        <v>0.15221497001737802</v>
      </c>
      <c r="AL72" s="87">
        <f t="shared" ca="1" si="73"/>
        <v>0.23473109902944689</v>
      </c>
      <c r="AM72" s="87">
        <f t="shared" ca="1" si="74"/>
        <v>0.18483662078272264</v>
      </c>
      <c r="AN72" s="87">
        <f t="shared" ca="1" si="75"/>
        <v>0.15917531221989409</v>
      </c>
      <c r="AO72" s="87">
        <f t="shared" ca="1" si="76"/>
        <v>0.15968779393754537</v>
      </c>
      <c r="AP72" s="87">
        <f t="shared" ca="1" si="76"/>
        <v>0.17090989484518201</v>
      </c>
      <c r="AQ72" s="87">
        <f t="shared" ca="1" si="76"/>
        <v>0.13726772711877663</v>
      </c>
      <c r="AR72" s="87">
        <f t="shared" ca="1" si="76"/>
        <v>0.14792221449090759</v>
      </c>
      <c r="AS72" s="87">
        <f t="shared" ca="1" si="76"/>
        <v>0.14807491327616248</v>
      </c>
      <c r="AT72" s="87">
        <f t="shared" ca="1" si="77"/>
        <v>0.11913131404033592</v>
      </c>
      <c r="AU72" s="87">
        <f t="shared" ca="1" si="77"/>
        <v>9.6169142709879293E-2</v>
      </c>
      <c r="AV72" s="87">
        <f t="shared" ca="1" si="78"/>
        <v>0.11913131404033592</v>
      </c>
    </row>
    <row r="73" spans="1:48" s="112" customFormat="1" ht="15.95" customHeight="1" outlineLevel="1">
      <c r="A73" s="85" t="s">
        <v>268</v>
      </c>
      <c r="B73" s="116" t="s">
        <v>166</v>
      </c>
      <c r="C73" s="76">
        <f ca="1">IF(ISERROR(VLOOKUP($B73,OFFSET(INDIRECT(""&amp;$B$29&amp;"!$A$4"),0,0,200,100),MATCH(C$30,INDIRECT(""&amp;$B$29&amp;"!$A$4"):INDIRECT(""&amp;$B$29&amp;"!$o$4"),0),FALSE)),"",VLOOKUP($B73,OFFSET(INDIRECT(""&amp;$B$29&amp;"!$A$4"),0,0,200,100),MATCH(C$30,INDIRECT(""&amp;$B$29&amp;"!$A$4"):INDIRECT(""&amp;$B$29&amp;"!$o$4"),0),FALSE))</f>
        <v>27150.967259000001</v>
      </c>
      <c r="D73" s="76">
        <f ca="1">IF(ISERROR(VLOOKUP($B73,OFFSET(INDIRECT(""&amp;$B$29&amp;"!$A$4"),0,0,200,100),MATCH(D$30,INDIRECT(""&amp;$B$29&amp;"!$A$4"):INDIRECT(""&amp;$B$29&amp;"!$o$4"),0),FALSE)),"",VLOOKUP($B73,OFFSET(INDIRECT(""&amp;$B$29&amp;"!$A$4"),0,0,200,100),MATCH(D$30,INDIRECT(""&amp;$B$29&amp;"!$A$4"):INDIRECT(""&amp;$B$29&amp;"!$o$4"),0),FALSE))</f>
        <v>19533.340910999999</v>
      </c>
      <c r="E73" s="76">
        <f ca="1">IF(ISERROR(VLOOKUP($B73,OFFSET(INDIRECT(""&amp;$B$29&amp;"!$A$4"),0,0,200,100),MATCH(E$30,INDIRECT(""&amp;$B$29&amp;"!$A$4"):INDIRECT(""&amp;$B$29&amp;"!$o$4"),0),FALSE)),"",VLOOKUP($B73,OFFSET(INDIRECT(""&amp;$B$29&amp;"!$A$4"),0,0,200,100),MATCH(E$30,INDIRECT(""&amp;$B$29&amp;"!$A$4"):INDIRECT(""&amp;$B$29&amp;"!$o$4"),0),FALSE))</f>
        <v>26800.222768</v>
      </c>
      <c r="F73" s="76">
        <f ca="1">IF(ISERROR(VLOOKUP($B73,OFFSET(INDIRECT(""&amp;$B$29&amp;"!$A$4"),0,0,200,100),MATCH(F$30,INDIRECT(""&amp;$B$29&amp;"!$A$4"):INDIRECT(""&amp;$B$29&amp;"!$o$4"),0),FALSE)),"",VLOOKUP($B73,OFFSET(INDIRECT(""&amp;$B$29&amp;"!$A$4"),0,0,200,100),MATCH(F$30,INDIRECT(""&amp;$B$29&amp;"!$A$4"):INDIRECT(""&amp;$B$29&amp;"!$o$4"),0),FALSE))</f>
        <v>56568.216474000001</v>
      </c>
      <c r="G73" s="76">
        <f ca="1">IF(ISERROR(VLOOKUP($B73,OFFSET(INDIRECT(""&amp;$B$29&amp;"!$A$4"),0,0,200,100),MATCH(G$30,INDIRECT(""&amp;$B$29&amp;"!$A$4"):INDIRECT(""&amp;$B$29&amp;"!$o$4"),0),FALSE)),"",VLOOKUP($B73,OFFSET(INDIRECT(""&amp;$B$29&amp;"!$A$4"),0,0,200,100),MATCH(G$30,INDIRECT(""&amp;$B$29&amp;"!$A$4"):INDIRECT(""&amp;$B$29&amp;"!$o$4"),0),FALSE))</f>
        <v>62217.847475000002</v>
      </c>
      <c r="H73" s="76">
        <f ca="1">IF(ISERROR(VLOOKUP($B73,OFFSET(INDIRECT(""&amp;$B$29&amp;"!$A$4"),0,0,200,100),MATCH(H$30,INDIRECT(""&amp;$B$29&amp;"!$A$4"):INDIRECT(""&amp;$B$29&amp;"!$o$4"),0),FALSE)),"",VLOOKUP($B73,OFFSET(INDIRECT(""&amp;$B$29&amp;"!$A$4"),0,0,200,100),MATCH(H$30,INDIRECT(""&amp;$B$29&amp;"!$A$4"):INDIRECT(""&amp;$B$29&amp;"!$o$4"),0),FALSE))</f>
        <v>54043.410671999998</v>
      </c>
      <c r="I73" s="76">
        <f ca="1">IF(ISERROR(VLOOKUP($B73,OFFSET(INDIRECT(""&amp;$B$29&amp;"!$A$4"),0,0,200,100),MATCH(I$30,INDIRECT(""&amp;$B$29&amp;"!$A$4"):INDIRECT(""&amp;$B$29&amp;"!$o$4"),0),FALSE)),"",VLOOKUP($B73,OFFSET(INDIRECT(""&amp;$B$29&amp;"!$A$4"),0,0,200,100),MATCH(I$30,INDIRECT(""&amp;$B$29&amp;"!$A$4"):INDIRECT(""&amp;$B$29&amp;"!$o$4"),0),FALSE))</f>
        <v>35278.862799000002</v>
      </c>
      <c r="J73" s="76">
        <f ca="1">IF(ISERROR(VLOOKUP($B73,OFFSET(INDIRECT(""&amp;$B$29&amp;"!$A$4"),0,0,200,100),MATCH(J$30,INDIRECT(""&amp;$B$29&amp;"!$A$4"):INDIRECT(""&amp;$B$29&amp;"!$o$4"),0),FALSE)),"",VLOOKUP($B73,OFFSET(INDIRECT(""&amp;$B$29&amp;"!$A$4"),0,0,200,100),MATCH(J$30,INDIRECT(""&amp;$B$29&amp;"!$A$4"):INDIRECT(""&amp;$B$29&amp;"!$o$4"),0),FALSE))</f>
        <v>35278.862799000002</v>
      </c>
      <c r="K73" s="114" t="s">
        <v>166</v>
      </c>
      <c r="L73" s="76">
        <f ca="1">IF(ISERROR(VLOOKUP($K73,OFFSET(INDIRECT(""&amp;$S$29&amp;"!$A$4"),0,0,200,100),MATCH(L$30,INDIRECT(""&amp;$S$29&amp;"!$A$4"):INDIRECT(""&amp;$S$29&amp;"!$AA$4"),0),FALSE)),"",VLOOKUP($K73,OFFSET(INDIRECT(""&amp;$S$29&amp;"!$A$4"),0,0,200,100),MATCH(L$30,INDIRECT(""&amp;$S$29&amp;"!$A$4"):INDIRECT(""&amp;$S$29&amp;"!$AA$4"),0),FALSE))</f>
        <v>29247.628194000001</v>
      </c>
      <c r="M73" s="76">
        <f ca="1">IF(ISERROR(VLOOKUP($K73,OFFSET(INDIRECT(""&amp;$S$29&amp;"!$A$4"),0,0,200,100),MATCH(M$30,INDIRECT(""&amp;$S$29&amp;"!$A$4"):INDIRECT(""&amp;$S$29&amp;"!$AA$4"),0),FALSE)),"",VLOOKUP($K73,OFFSET(INDIRECT(""&amp;$S$29&amp;"!$A$4"),0,0,200,100),MATCH(M$30,INDIRECT(""&amp;$S$29&amp;"!$A$4"):INDIRECT(""&amp;$S$29&amp;"!$AA$4"),0),FALSE))</f>
        <v>62182.718894999998</v>
      </c>
      <c r="N73" s="76">
        <f ca="1">IF(ISERROR(VLOOKUP($K73,OFFSET(INDIRECT(""&amp;$S$29&amp;"!$A$4"),0,0,200,100),MATCH(N$30,INDIRECT(""&amp;$S$29&amp;"!$A$4"):INDIRECT(""&amp;$S$29&amp;"!$AA$4"),0),FALSE)),"",VLOOKUP($K73,OFFSET(INDIRECT(""&amp;$S$29&amp;"!$A$4"),0,0,200,100),MATCH(N$30,INDIRECT(""&amp;$S$29&amp;"!$A$4"):INDIRECT(""&amp;$S$29&amp;"!$AA$4"),0),FALSE))</f>
        <v>56403.559074999997</v>
      </c>
      <c r="O73" s="76">
        <f ca="1">IF(ISERROR(VLOOKUP($K73,OFFSET(INDIRECT(""&amp;$S$29&amp;"!$A$4"),0,0,200,100),MATCH(O$30,INDIRECT(""&amp;$S$29&amp;"!$A$4"):INDIRECT(""&amp;$S$29&amp;"!$AA$4"),0),FALSE)),"",VLOOKUP($K73,OFFSET(INDIRECT(""&amp;$S$29&amp;"!$A$4"),0,0,200,100),MATCH(O$30,INDIRECT(""&amp;$S$29&amp;"!$A$4"):INDIRECT(""&amp;$S$29&amp;"!$AA$4"),0),FALSE))</f>
        <v>56107.049904</v>
      </c>
      <c r="P73" s="76">
        <f ca="1">IF(ISERROR(VLOOKUP($K73,OFFSET(INDIRECT(""&amp;$S$29&amp;"!$A$4"),0,0,200,100),MATCH(P$30,INDIRECT(""&amp;$S$29&amp;"!$A$4"):INDIRECT(""&amp;$S$29&amp;"!$AA$4"),0),FALSE)),"",VLOOKUP($K73,OFFSET(INDIRECT(""&amp;$S$29&amp;"!$A$4"),0,0,200,100),MATCH(P$30,INDIRECT(""&amp;$S$29&amp;"!$A$4"):INDIRECT(""&amp;$S$29&amp;"!$AA$4"),0),FALSE))</f>
        <v>57353.283399</v>
      </c>
      <c r="Q73" s="76">
        <f ca="1">IF(ISERROR(VLOOKUP($K73,OFFSET(INDIRECT(""&amp;$S$29&amp;"!$A$4"),0,0,200,100),MATCH(Q$30,INDIRECT(""&amp;$S$29&amp;"!$A$4"):INDIRECT(""&amp;$S$29&amp;"!$AA$4"),0),FALSE)),"",VLOOKUP($K73,OFFSET(INDIRECT(""&amp;$S$29&amp;"!$A$4"),0,0,200,100),MATCH(Q$30,INDIRECT(""&amp;$S$29&amp;"!$A$4"):INDIRECT(""&amp;$S$29&amp;"!$AA$4"),0),FALSE))</f>
        <v>95277.664340999996</v>
      </c>
      <c r="R73" s="76">
        <f ca="1">IF(ISERROR(VLOOKUP($K73,OFFSET(INDIRECT(""&amp;$S$29&amp;"!$A$4"),0,0,200,100),MATCH(R$30,INDIRECT(""&amp;$S$29&amp;"!$A$4"):INDIRECT(""&amp;$S$29&amp;"!$AA$4"),0),FALSE)),"",VLOOKUP($K73,OFFSET(INDIRECT(""&amp;$S$29&amp;"!$A$4"),0,0,200,100),MATCH(R$30,INDIRECT(""&amp;$S$29&amp;"!$A$4"):INDIRECT(""&amp;$S$29&amp;"!$AA$4"),0),FALSE))</f>
        <v>71611.828452999995</v>
      </c>
      <c r="S73" s="76">
        <f ca="1">IF(ISERROR(VLOOKUP($K73,OFFSET(INDIRECT(""&amp;$S$29&amp;"!$A$4"),0,0,200,100),MATCH(S$30,INDIRECT(""&amp;$S$29&amp;"!$A$4"):INDIRECT(""&amp;$S$29&amp;"!$AA$4"),0),FALSE)),"",VLOOKUP($K73,OFFSET(INDIRECT(""&amp;$S$29&amp;"!$A$4"),0,0,200,100),MATCH(S$30,INDIRECT(""&amp;$S$29&amp;"!$A$4"):INDIRECT(""&amp;$S$29&amp;"!$AA$4"),0),FALSE))</f>
        <v>62143.090072999999</v>
      </c>
      <c r="T73" s="76">
        <f ca="1">IF(ISERROR(VLOOKUP($K73,OFFSET(INDIRECT(""&amp;$S$29&amp;"!$A$4"),0,0,200,100),MATCH(T$30,INDIRECT(""&amp;$S$29&amp;"!$A$4"):INDIRECT(""&amp;$S$29&amp;"!$AA$4"),0),FALSE)),"",VLOOKUP($K73,OFFSET(INDIRECT(""&amp;$S$29&amp;"!$A$4"),0,0,200,100),MATCH(T$30,INDIRECT(""&amp;$S$29&amp;"!$A$4"):INDIRECT(""&amp;$S$29&amp;"!$AA$4"),0),FALSE))</f>
        <v>58574.438628999997</v>
      </c>
      <c r="U73" s="76">
        <f ca="1">IF(ISERROR(VLOOKUP($K73,OFFSET(INDIRECT(""&amp;$S$29&amp;"!$A$4"),0,0,200,100),MATCH(U$30,INDIRECT(""&amp;$S$29&amp;"!$A$4"):INDIRECT(""&amp;$S$29&amp;"!$AA$4"),0),FALSE)),"",VLOOKUP($K73,OFFSET(INDIRECT(""&amp;$S$29&amp;"!$A$4"),0,0,200,100),MATCH(U$30,INDIRECT(""&amp;$S$29&amp;"!$A$4"):INDIRECT(""&amp;$S$29&amp;"!$AA$4"),0),FALSE))</f>
        <v>61011.658598000002</v>
      </c>
      <c r="V73" s="76">
        <f ca="1">IF(ISERROR(VLOOKUP($K73,OFFSET(INDIRECT(""&amp;$S$29&amp;"!$A$4"),0,0,200,100),MATCH(V$30,INDIRECT(""&amp;$S$29&amp;"!$A$4"):INDIRECT(""&amp;$S$29&amp;"!$AA$4"),0),FALSE)),"",VLOOKUP($K73,OFFSET(INDIRECT(""&amp;$S$29&amp;"!$A$4"),0,0,200,100),MATCH(V$30,INDIRECT(""&amp;$S$29&amp;"!$A$4"):INDIRECT(""&amp;$S$29&amp;"!$AA$4"),0),FALSE))</f>
        <v>47593.235274999999</v>
      </c>
      <c r="W73" s="76">
        <f ca="1">IF(ISERROR(VLOOKUP($K73,OFFSET(INDIRECT(""&amp;$S$29&amp;"!$A$4"),0,0,200,100),MATCH(W$30,INDIRECT(""&amp;$S$29&amp;"!$A$4"):INDIRECT(""&amp;$S$29&amp;"!$AA$4"),0),FALSE)),"",VLOOKUP($K73,OFFSET(INDIRECT(""&amp;$S$29&amp;"!$A$4"),0,0,200,100),MATCH(W$30,INDIRECT(""&amp;$S$29&amp;"!$A$4"):INDIRECT(""&amp;$S$29&amp;"!$AA$4"),0),FALSE))</f>
        <v>54262.476261999996</v>
      </c>
      <c r="X73" s="76">
        <f ca="1">IF(ISERROR(VLOOKUP($K73,OFFSET(INDIRECT(""&amp;$S$29&amp;"!$A$4"),0,0,200,100),MATCH(X$30,INDIRECT(""&amp;$S$29&amp;"!$A$4"):INDIRECT(""&amp;$S$29&amp;"!$AA$4"),0),FALSE)),"",VLOOKUP($K73,OFFSET(INDIRECT(""&amp;$S$29&amp;"!$A$4"),0,0,200,100),MATCH(X$30,INDIRECT(""&amp;$S$29&amp;"!$A$4"):INDIRECT(""&amp;$S$29&amp;"!$AA$4"),0),FALSE))</f>
        <v>54598.692522999998</v>
      </c>
      <c r="Y73" s="76">
        <f ca="1">IF(ISERROR(VLOOKUP($K73,OFFSET(INDIRECT(""&amp;$S$29&amp;"!$A$4"),0,0,200,100),MATCH(Y$30,INDIRECT(""&amp;$S$29&amp;"!$A$4"):INDIRECT(""&amp;$S$29&amp;"!$AA$4"),0),FALSE)),"",VLOOKUP($K73,OFFSET(INDIRECT(""&amp;$S$29&amp;"!$A$4"),0,0,200,100),MATCH(Y$30,INDIRECT(""&amp;$S$29&amp;"!$A$4"):INDIRECT(""&amp;$S$29&amp;"!$AA$4"),0),FALSE))</f>
        <v>40293.33885</v>
      </c>
      <c r="Z73" s="76">
        <f ca="1">IF(ISERROR(VLOOKUP($K73,OFFSET(INDIRECT(""&amp;$S$29&amp;"!$A$4"),0,0,200,100),MATCH(Z$30,INDIRECT(""&amp;$S$29&amp;"!$A$4"):INDIRECT(""&amp;$S$29&amp;"!$AA$4"),0),FALSE)),"",VLOOKUP($K73,OFFSET(INDIRECT(""&amp;$S$29&amp;"!$A$4"),0,0,200,100),MATCH(Z$30,INDIRECT(""&amp;$S$29&amp;"!$A$4"):INDIRECT(""&amp;$S$29&amp;"!$AA$4"),0),FALSE))</f>
        <v>32387.365065000002</v>
      </c>
      <c r="AA73" s="76">
        <f t="shared" ca="1" si="61"/>
        <v>40293.33885</v>
      </c>
      <c r="AB73" s="115"/>
      <c r="AC73" s="87">
        <f t="shared" ca="1" si="66"/>
        <v>7.6827963648553779E-2</v>
      </c>
      <c r="AD73" s="87">
        <f t="shared" ca="1" si="67"/>
        <v>0.15001959141636037</v>
      </c>
      <c r="AE73" s="87">
        <f t="shared" ca="1" si="68"/>
        <v>0.16302584718905316</v>
      </c>
      <c r="AF73" s="87">
        <f t="shared" ca="1" si="69"/>
        <v>0.14758201066080928</v>
      </c>
      <c r="AG73" s="87">
        <f t="shared" ca="1" si="70"/>
        <v>0.10351463660616833</v>
      </c>
      <c r="AH73" s="87">
        <f t="shared" ca="1" si="70"/>
        <v>0.10351463660616833</v>
      </c>
      <c r="AI73" s="144"/>
      <c r="AJ73" s="87">
        <f t="shared" ca="1" si="71"/>
        <v>0.1432053052857126</v>
      </c>
      <c r="AK73" s="87">
        <f t="shared" ca="1" si="72"/>
        <v>0.14748333972719774</v>
      </c>
      <c r="AL73" s="87">
        <f t="shared" ca="1" si="73"/>
        <v>0.2302837791149166</v>
      </c>
      <c r="AM73" s="87">
        <f t="shared" ca="1" si="74"/>
        <v>0.18020629736749885</v>
      </c>
      <c r="AN73" s="87">
        <f t="shared" ca="1" si="75"/>
        <v>0.15419572580957924</v>
      </c>
      <c r="AO73" s="87">
        <f t="shared" ca="1" si="76"/>
        <v>0.15442777155150644</v>
      </c>
      <c r="AP73" s="87">
        <f t="shared" ca="1" si="76"/>
        <v>0.16552373460138506</v>
      </c>
      <c r="AQ73" s="87">
        <f t="shared" ca="1" si="76"/>
        <v>0.1318322850912951</v>
      </c>
      <c r="AR73" s="87">
        <f t="shared" ca="1" si="76"/>
        <v>0.14792221449090759</v>
      </c>
      <c r="AS73" s="87">
        <f t="shared" ca="1" si="76"/>
        <v>0.14807491327616248</v>
      </c>
      <c r="AT73" s="87">
        <f t="shared" ca="1" si="77"/>
        <v>0.11913131404033592</v>
      </c>
      <c r="AU73" s="87">
        <f t="shared" ca="1" si="77"/>
        <v>9.6169142709879293E-2</v>
      </c>
      <c r="AV73" s="87">
        <f t="shared" ca="1" si="78"/>
        <v>0.11913131404033592</v>
      </c>
    </row>
    <row r="74" spans="1:48" s="108" customFormat="1" ht="15.95" customHeight="1" outlineLevel="1">
      <c r="A74" s="113" t="s">
        <v>269</v>
      </c>
      <c r="B74" s="111" t="s">
        <v>167</v>
      </c>
      <c r="C74" s="90">
        <f ca="1">IF(ISERROR(VLOOKUP($B74,OFFSET(INDIRECT(""&amp;$B$29&amp;"!$A$4"),0,0,200,100),MATCH(C$30,INDIRECT(""&amp;$B$29&amp;"!$A$4"):INDIRECT(""&amp;$B$29&amp;"!$o$4"),0),FALSE)),"",VLOOKUP($B74,OFFSET(INDIRECT(""&amp;$B$29&amp;"!$A$4"),0,0,200,100),MATCH(C$30,INDIRECT(""&amp;$B$29&amp;"!$A$4"):INDIRECT(""&amp;$B$29&amp;"!$o$4"),0),FALSE))</f>
        <v>18000</v>
      </c>
      <c r="D74" s="90">
        <f ca="1">IF(ISERROR(VLOOKUP($B74,OFFSET(INDIRECT(""&amp;$B$29&amp;"!$A$4"),0,0,200,100),MATCH(D$30,INDIRECT(""&amp;$B$29&amp;"!$A$4"):INDIRECT(""&amp;$B$29&amp;"!$o$4"),0),FALSE)),"",VLOOKUP($B74,OFFSET(INDIRECT(""&amp;$B$29&amp;"!$A$4"),0,0,200,100),MATCH(D$30,INDIRECT(""&amp;$B$29&amp;"!$A$4"):INDIRECT(""&amp;$B$29&amp;"!$o$4"),0),FALSE))</f>
        <v>11147.272498</v>
      </c>
      <c r="E74" s="90">
        <f ca="1">IF(ISERROR(VLOOKUP($B74,OFFSET(INDIRECT(""&amp;$B$29&amp;"!$A$4"),0,0,200,100),MATCH(E$30,INDIRECT(""&amp;$B$29&amp;"!$A$4"):INDIRECT(""&amp;$B$29&amp;"!$o$4"),0),FALSE)),"",VLOOKUP($B74,OFFSET(INDIRECT(""&amp;$B$29&amp;"!$A$4"),0,0,200,100),MATCH(E$30,INDIRECT(""&amp;$B$29&amp;"!$A$4"):INDIRECT(""&amp;$B$29&amp;"!$o$4"),0),FALSE))</f>
        <v>0</v>
      </c>
      <c r="F74" s="90">
        <f ca="1">IF(ISERROR(VLOOKUP($B74,OFFSET(INDIRECT(""&amp;$B$29&amp;"!$A$4"),0,0,200,100),MATCH(F$30,INDIRECT(""&amp;$B$29&amp;"!$A$4"):INDIRECT(""&amp;$B$29&amp;"!$o$4"),0),FALSE)),"",VLOOKUP($B74,OFFSET(INDIRECT(""&amp;$B$29&amp;"!$A$4"),0,0,200,100),MATCH(F$30,INDIRECT(""&amp;$B$29&amp;"!$A$4"):INDIRECT(""&amp;$B$29&amp;"!$o$4"),0),FALSE))</f>
        <v>30000</v>
      </c>
      <c r="G74" s="90">
        <f ca="1">IF(ISERROR(VLOOKUP($B74,OFFSET(INDIRECT(""&amp;$B$29&amp;"!$A$4"),0,0,200,100),MATCH(G$30,INDIRECT(""&amp;$B$29&amp;"!$A$4"):INDIRECT(""&amp;$B$29&amp;"!$o$4"),0),FALSE)),"",VLOOKUP($B74,OFFSET(INDIRECT(""&amp;$B$29&amp;"!$A$4"),0,0,200,100),MATCH(G$30,INDIRECT(""&amp;$B$29&amp;"!$A$4"):INDIRECT(""&amp;$B$29&amp;"!$o$4"),0),FALSE))</f>
        <v>34237.949550999998</v>
      </c>
      <c r="H74" s="90">
        <f ca="1">IF(ISERROR(VLOOKUP($B74,OFFSET(INDIRECT(""&amp;$B$29&amp;"!$A$4"),0,0,200,100),MATCH(H$30,INDIRECT(""&amp;$B$29&amp;"!$A$4"):INDIRECT(""&amp;$B$29&amp;"!$o$4"),0),FALSE)),"",VLOOKUP($B74,OFFSET(INDIRECT(""&amp;$B$29&amp;"!$A$4"),0,0,200,100),MATCH(H$30,INDIRECT(""&amp;$B$29&amp;"!$A$4"):INDIRECT(""&amp;$B$29&amp;"!$o$4"),0),FALSE))</f>
        <v>30926.933528000001</v>
      </c>
      <c r="I74" s="90">
        <f ca="1">IF(ISERROR(VLOOKUP($B74,OFFSET(INDIRECT(""&amp;$B$29&amp;"!$A$4"),0,0,200,100),MATCH(I$30,INDIRECT(""&amp;$B$29&amp;"!$A$4"):INDIRECT(""&amp;$B$29&amp;"!$o$4"),0),FALSE)),"",VLOOKUP($B74,OFFSET(INDIRECT(""&amp;$B$29&amp;"!$A$4"),0,0,200,100),MATCH(I$30,INDIRECT(""&amp;$B$29&amp;"!$A$4"):INDIRECT(""&amp;$B$29&amp;"!$o$4"),0),FALSE))</f>
        <v>17520.435415</v>
      </c>
      <c r="J74" s="90">
        <f ca="1">IF(ISERROR(VLOOKUP($B74,OFFSET(INDIRECT(""&amp;$B$29&amp;"!$A$4"),0,0,200,100),MATCH(J$30,INDIRECT(""&amp;$B$29&amp;"!$A$4"):INDIRECT(""&amp;$B$29&amp;"!$o$4"),0),FALSE)),"",VLOOKUP($B74,OFFSET(INDIRECT(""&amp;$B$29&amp;"!$A$4"),0,0,200,100),MATCH(J$30,INDIRECT(""&amp;$B$29&amp;"!$A$4"):INDIRECT(""&amp;$B$29&amp;"!$o$4"),0),FALSE))</f>
        <v>17520.435415</v>
      </c>
      <c r="K74" s="109" t="s">
        <v>167</v>
      </c>
      <c r="L74" s="90">
        <f ca="1">IF(ISERROR(VLOOKUP($K74,OFFSET(INDIRECT(""&amp;$S$29&amp;"!$A$4"),0,0,200,100),MATCH(L$30,INDIRECT(""&amp;$S$29&amp;"!$A$4"):INDIRECT(""&amp;$S$29&amp;"!$AA$4"),0),FALSE)),"",VLOOKUP($K74,OFFSET(INDIRECT(""&amp;$S$29&amp;"!$A$4"),0,0,200,100),MATCH(L$30,INDIRECT(""&amp;$S$29&amp;"!$A$4"):INDIRECT(""&amp;$S$29&amp;"!$AA$4"),0),FALSE))</f>
        <v>0</v>
      </c>
      <c r="M74" s="90">
        <f ca="1">IF(ISERROR(VLOOKUP($K74,OFFSET(INDIRECT(""&amp;$S$29&amp;"!$A$4"),0,0,200,100),MATCH(M$30,INDIRECT(""&amp;$S$29&amp;"!$A$4"):INDIRECT(""&amp;$S$29&amp;"!$AA$4"),0),FALSE)),"",VLOOKUP($K74,OFFSET(INDIRECT(""&amp;$S$29&amp;"!$A$4"),0,0,200,100),MATCH(M$30,INDIRECT(""&amp;$S$29&amp;"!$A$4"):INDIRECT(""&amp;$S$29&amp;"!$AA$4"),0),FALSE))</f>
        <v>4300</v>
      </c>
      <c r="N74" s="90">
        <f ca="1">IF(ISERROR(VLOOKUP($K74,OFFSET(INDIRECT(""&amp;$S$29&amp;"!$A$4"),0,0,200,100),MATCH(N$30,INDIRECT(""&amp;$S$29&amp;"!$A$4"):INDIRECT(""&amp;$S$29&amp;"!$AA$4"),0),FALSE)),"",VLOOKUP($K74,OFFSET(INDIRECT(""&amp;$S$29&amp;"!$A$4"),0,0,200,100),MATCH(N$30,INDIRECT(""&amp;$S$29&amp;"!$A$4"):INDIRECT(""&amp;$S$29&amp;"!$AA$4"),0),FALSE))</f>
        <v>20000</v>
      </c>
      <c r="O74" s="90">
        <f ca="1">IF(ISERROR(VLOOKUP($K74,OFFSET(INDIRECT(""&amp;$S$29&amp;"!$A$4"),0,0,200,100),MATCH(O$30,INDIRECT(""&amp;$S$29&amp;"!$A$4"):INDIRECT(""&amp;$S$29&amp;"!$AA$4"),0),FALSE)),"",VLOOKUP($K74,OFFSET(INDIRECT(""&amp;$S$29&amp;"!$A$4"),0,0,200,100),MATCH(O$30,INDIRECT(""&amp;$S$29&amp;"!$A$4"):INDIRECT(""&amp;$S$29&amp;"!$AA$4"),0),FALSE))</f>
        <v>30000</v>
      </c>
      <c r="P74" s="90">
        <f ca="1">IF(ISERROR(VLOOKUP($K74,OFFSET(INDIRECT(""&amp;$S$29&amp;"!$A$4"),0,0,200,100),MATCH(P$30,INDIRECT(""&amp;$S$29&amp;"!$A$4"):INDIRECT(""&amp;$S$29&amp;"!$AA$4"),0),FALSE)),"",VLOOKUP($K74,OFFSET(INDIRECT(""&amp;$S$29&amp;"!$A$4"),0,0,200,100),MATCH(P$30,INDIRECT(""&amp;$S$29&amp;"!$A$4"):INDIRECT(""&amp;$S$29&amp;"!$AA$4"),0),FALSE))</f>
        <v>40000</v>
      </c>
      <c r="Q74" s="90">
        <f ca="1">IF(ISERROR(VLOOKUP($K74,OFFSET(INDIRECT(""&amp;$S$29&amp;"!$A$4"),0,0,200,100),MATCH(Q$30,INDIRECT(""&amp;$S$29&amp;"!$A$4"):INDIRECT(""&amp;$S$29&amp;"!$AA$4"),0),FALSE)),"",VLOOKUP($K74,OFFSET(INDIRECT(""&amp;$S$29&amp;"!$A$4"),0,0,200,100),MATCH(Q$30,INDIRECT(""&amp;$S$29&amp;"!$A$4"):INDIRECT(""&amp;$S$29&amp;"!$AA$4"),0),FALSE))</f>
        <v>48000</v>
      </c>
      <c r="R74" s="90">
        <f ca="1">IF(ISERROR(VLOOKUP($K74,OFFSET(INDIRECT(""&amp;$S$29&amp;"!$A$4"),0,0,200,100),MATCH(R$30,INDIRECT(""&amp;$S$29&amp;"!$A$4"):INDIRECT(""&amp;$S$29&amp;"!$AA$4"),0),FALSE)),"",VLOOKUP($K74,OFFSET(INDIRECT(""&amp;$S$29&amp;"!$A$4"),0,0,200,100),MATCH(R$30,INDIRECT(""&amp;$S$29&amp;"!$A$4"):INDIRECT(""&amp;$S$29&amp;"!$AA$4"),0),FALSE))</f>
        <v>41688.868189000001</v>
      </c>
      <c r="S74" s="90">
        <f ca="1">IF(ISERROR(VLOOKUP($K74,OFFSET(INDIRECT(""&amp;$S$29&amp;"!$A$4"),0,0,200,100),MATCH(S$30,INDIRECT(""&amp;$S$29&amp;"!$A$4"):INDIRECT(""&amp;$S$29&amp;"!$AA$4"),0),FALSE)),"",VLOOKUP($K74,OFFSET(INDIRECT(""&amp;$S$29&amp;"!$A$4"),0,0,200,100),MATCH(S$30,INDIRECT(""&amp;$S$29&amp;"!$A$4"):INDIRECT(""&amp;$S$29&amp;"!$AA$4"),0),FALSE))</f>
        <v>34237.949550999998</v>
      </c>
      <c r="T74" s="90">
        <f ca="1">IF(ISERROR(VLOOKUP($K74,OFFSET(INDIRECT(""&amp;$S$29&amp;"!$A$4"),0,0,200,100),MATCH(T$30,INDIRECT(""&amp;$S$29&amp;"!$A$4"):INDIRECT(""&amp;$S$29&amp;"!$AA$4"),0),FALSE)),"",VLOOKUP($K74,OFFSET(INDIRECT(""&amp;$S$29&amp;"!$A$4"),0,0,200,100),MATCH(T$30,INDIRECT(""&amp;$S$29&amp;"!$A$4"):INDIRECT(""&amp;$S$29&amp;"!$AA$4"),0),FALSE))</f>
        <v>25421.871568999999</v>
      </c>
      <c r="U74" s="90">
        <f ca="1">IF(ISERROR(VLOOKUP($K74,OFFSET(INDIRECT(""&amp;$S$29&amp;"!$A$4"),0,0,200,100),MATCH(U$30,INDIRECT(""&amp;$S$29&amp;"!$A$4"):INDIRECT(""&amp;$S$29&amp;"!$AA$4"),0),FALSE)),"",VLOOKUP($K74,OFFSET(INDIRECT(""&amp;$S$29&amp;"!$A$4"),0,0,200,100),MATCH(U$30,INDIRECT(""&amp;$S$29&amp;"!$A$4"):INDIRECT(""&amp;$S$29&amp;"!$AA$4"),0),FALSE))</f>
        <v>29547.102062000002</v>
      </c>
      <c r="V74" s="90">
        <f ca="1">IF(ISERROR(VLOOKUP($K74,OFFSET(INDIRECT(""&amp;$S$29&amp;"!$A$4"),0,0,200,100),MATCH(V$30,INDIRECT(""&amp;$S$29&amp;"!$A$4"):INDIRECT(""&amp;$S$29&amp;"!$AA$4"),0),FALSE)),"",VLOOKUP($K74,OFFSET(INDIRECT(""&amp;$S$29&amp;"!$A$4"),0,0,200,100),MATCH(V$30,INDIRECT(""&amp;$S$29&amp;"!$A$4"):INDIRECT(""&amp;$S$29&amp;"!$AA$4"),0),FALSE))</f>
        <v>23774.012717000001</v>
      </c>
      <c r="W74" s="90">
        <f ca="1">IF(ISERROR(VLOOKUP($K74,OFFSET(INDIRECT(""&amp;$S$29&amp;"!$A$4"),0,0,200,100),MATCH(W$30,INDIRECT(""&amp;$S$29&amp;"!$A$4"):INDIRECT(""&amp;$S$29&amp;"!$AA$4"),0),FALSE)),"",VLOOKUP($K74,OFFSET(INDIRECT(""&amp;$S$29&amp;"!$A$4"),0,0,200,100),MATCH(W$30,INDIRECT(""&amp;$S$29&amp;"!$A$4"):INDIRECT(""&amp;$S$29&amp;"!$AA$4"),0),FALSE))</f>
        <v>30926.933528000001</v>
      </c>
      <c r="X74" s="90">
        <f ca="1">IF(ISERROR(VLOOKUP($K74,OFFSET(INDIRECT(""&amp;$S$29&amp;"!$A$4"),0,0,200,100),MATCH(X$30,INDIRECT(""&amp;$S$29&amp;"!$A$4"):INDIRECT(""&amp;$S$29&amp;"!$AA$4"),0),FALSE)),"",VLOOKUP($K74,OFFSET(INDIRECT(""&amp;$S$29&amp;"!$A$4"),0,0,200,100),MATCH(X$30,INDIRECT(""&amp;$S$29&amp;"!$A$4"):INDIRECT(""&amp;$S$29&amp;"!$AA$4"),0),FALSE))</f>
        <v>37700.822921999999</v>
      </c>
      <c r="Y74" s="90">
        <f ca="1">IF(ISERROR(VLOOKUP($K74,OFFSET(INDIRECT(""&amp;$S$29&amp;"!$A$4"),0,0,200,100),MATCH(Y$30,INDIRECT(""&amp;$S$29&amp;"!$A$4"):INDIRECT(""&amp;$S$29&amp;"!$AA$4"),0),FALSE)),"",VLOOKUP($K74,OFFSET(INDIRECT(""&amp;$S$29&amp;"!$A$4"),0,0,200,100),MATCH(Y$30,INDIRECT(""&amp;$S$29&amp;"!$A$4"):INDIRECT(""&amp;$S$29&amp;"!$AA$4"),0),FALSE))</f>
        <v>30972.943569999999</v>
      </c>
      <c r="Z74" s="90">
        <f ca="1">IF(ISERROR(VLOOKUP($K74,OFFSET(INDIRECT(""&amp;$S$29&amp;"!$A$4"),0,0,200,100),MATCH(Z$30,INDIRECT(""&amp;$S$29&amp;"!$A$4"):INDIRECT(""&amp;$S$29&amp;"!$AA$4"),0),FALSE)),"",VLOOKUP($K74,OFFSET(INDIRECT(""&amp;$S$29&amp;"!$A$4"),0,0,200,100),MATCH(Z$30,INDIRECT(""&amp;$S$29&amp;"!$A$4"):INDIRECT(""&amp;$S$29&amp;"!$AA$4"),0),FALSE))</f>
        <v>18916.258387000002</v>
      </c>
      <c r="AA74" s="90">
        <f t="shared" ca="1" si="61"/>
        <v>30972.943569999999</v>
      </c>
      <c r="AB74" s="110"/>
      <c r="AC74" s="99">
        <f t="shared" ca="1" si="66"/>
        <v>0</v>
      </c>
      <c r="AD74" s="99">
        <f t="shared" ca="1" si="67"/>
        <v>7.9560361330454535E-2</v>
      </c>
      <c r="AE74" s="99">
        <f t="shared" ca="1" si="68"/>
        <v>8.9711729963185077E-2</v>
      </c>
      <c r="AF74" s="99">
        <f t="shared" ca="1" si="69"/>
        <v>8.445542161165244E-2</v>
      </c>
      <c r="AG74" s="99">
        <f t="shared" ca="1" si="70"/>
        <v>5.1408162318003485E-2</v>
      </c>
      <c r="AH74" s="99">
        <f t="shared" ca="1" si="70"/>
        <v>5.1408162318003485E-2</v>
      </c>
      <c r="AI74" s="145"/>
      <c r="AJ74" s="99">
        <f t="shared" ca="1" si="71"/>
        <v>7.6570754761160501E-2</v>
      </c>
      <c r="AK74" s="99">
        <f t="shared" ca="1" si="72"/>
        <v>0.10285956164090806</v>
      </c>
      <c r="AL74" s="99">
        <f t="shared" ca="1" si="73"/>
        <v>0.11601482334784093</v>
      </c>
      <c r="AM74" s="99">
        <f t="shared" ca="1" si="74"/>
        <v>0.10490720234454057</v>
      </c>
      <c r="AN74" s="99">
        <f t="shared" ca="1" si="75"/>
        <v>8.495466632004478E-2</v>
      </c>
      <c r="AO74" s="99">
        <f t="shared" ca="1" si="76"/>
        <v>6.7023142977687841E-2</v>
      </c>
      <c r="AP74" s="99">
        <f t="shared" ca="1" si="76"/>
        <v>8.0160854373345081E-2</v>
      </c>
      <c r="AQ74" s="99">
        <f t="shared" ca="1" si="76"/>
        <v>6.5853527379718987E-2</v>
      </c>
      <c r="AR74" s="99">
        <f t="shared" ca="1" si="76"/>
        <v>8.4308362058267805E-2</v>
      </c>
      <c r="AS74" s="99">
        <f t="shared" ca="1" si="76"/>
        <v>0.10224688223556691</v>
      </c>
      <c r="AT74" s="99">
        <f t="shared" ca="1" si="77"/>
        <v>9.1574626787009811E-2</v>
      </c>
      <c r="AU74" s="99">
        <f t="shared" ca="1" si="77"/>
        <v>5.6168828452249214E-2</v>
      </c>
      <c r="AV74" s="99">
        <f t="shared" ca="1" si="78"/>
        <v>9.1574626787009811E-2</v>
      </c>
    </row>
    <row r="75" spans="1:48" s="112" customFormat="1" ht="15.95" customHeight="1" outlineLevel="1">
      <c r="A75" s="113" t="s">
        <v>270</v>
      </c>
      <c r="B75" s="111" t="s">
        <v>168</v>
      </c>
      <c r="C75" s="90">
        <f ca="1">IF(ISERROR(VLOOKUP($B75,OFFSET(INDIRECT(""&amp;$B$29&amp;"!$A$4"),0,0,200,100),MATCH(C$30,INDIRECT(""&amp;$B$29&amp;"!$A$4"):INDIRECT(""&amp;$B$29&amp;"!$o$4"),0),FALSE)),"",VLOOKUP($B75,OFFSET(INDIRECT(""&amp;$B$29&amp;"!$A$4"),0,0,200,100),MATCH(C$30,INDIRECT(""&amp;$B$29&amp;"!$A$4"):INDIRECT(""&amp;$B$29&amp;"!$o$4"),0),FALSE))</f>
        <v>4385.9903860000004</v>
      </c>
      <c r="D75" s="90">
        <f ca="1">IF(ISERROR(VLOOKUP($B75,OFFSET(INDIRECT(""&amp;$B$29&amp;"!$A$4"),0,0,200,100),MATCH(D$30,INDIRECT(""&amp;$B$29&amp;"!$A$4"):INDIRECT(""&amp;$B$29&amp;"!$o$4"),0),FALSE)),"",VLOOKUP($B75,OFFSET(INDIRECT(""&amp;$B$29&amp;"!$A$4"),0,0,200,100),MATCH(D$30,INDIRECT(""&amp;$B$29&amp;"!$A$4"):INDIRECT(""&amp;$B$29&amp;"!$o$4"),0),FALSE))</f>
        <v>3547.829217</v>
      </c>
      <c r="E75" s="90">
        <f ca="1">IF(ISERROR(VLOOKUP($B75,OFFSET(INDIRECT(""&amp;$B$29&amp;"!$A$4"),0,0,200,100),MATCH(E$30,INDIRECT(""&amp;$B$29&amp;"!$A$4"):INDIRECT(""&amp;$B$29&amp;"!$o$4"),0),FALSE)),"",VLOOKUP($B75,OFFSET(INDIRECT(""&amp;$B$29&amp;"!$A$4"),0,0,200,100),MATCH(E$30,INDIRECT(""&amp;$B$29&amp;"!$A$4"):INDIRECT(""&amp;$B$29&amp;"!$o$4"),0),FALSE))</f>
        <v>5047.7774959999997</v>
      </c>
      <c r="F75" s="90">
        <f ca="1">IF(ISERROR(VLOOKUP($B75,OFFSET(INDIRECT(""&amp;$B$29&amp;"!$A$4"),0,0,200,100),MATCH(F$30,INDIRECT(""&amp;$B$29&amp;"!$A$4"):INDIRECT(""&amp;$B$29&amp;"!$o$4"),0),FALSE)),"",VLOOKUP($B75,OFFSET(INDIRECT(""&amp;$B$29&amp;"!$A$4"),0,0,200,100),MATCH(F$30,INDIRECT(""&amp;$B$29&amp;"!$A$4"):INDIRECT(""&amp;$B$29&amp;"!$o$4"),0),FALSE))</f>
        <v>11400.573995000001</v>
      </c>
      <c r="G75" s="90">
        <f ca="1">IF(ISERROR(VLOOKUP($B75,OFFSET(INDIRECT(""&amp;$B$29&amp;"!$A$4"),0,0,200,100),MATCH(G$30,INDIRECT(""&amp;$B$29&amp;"!$A$4"):INDIRECT(""&amp;$B$29&amp;"!$o$4"),0),FALSE)),"",VLOOKUP($B75,OFFSET(INDIRECT(""&amp;$B$29&amp;"!$A$4"),0,0,200,100),MATCH(G$30,INDIRECT(""&amp;$B$29&amp;"!$A$4"):INDIRECT(""&amp;$B$29&amp;"!$o$4"),0),FALSE))</f>
        <v>6530.416502</v>
      </c>
      <c r="H75" s="90">
        <f ca="1">IF(ISERROR(VLOOKUP($B75,OFFSET(INDIRECT(""&amp;$B$29&amp;"!$A$4"),0,0,200,100),MATCH(H$30,INDIRECT(""&amp;$B$29&amp;"!$A$4"):INDIRECT(""&amp;$B$29&amp;"!$o$4"),0),FALSE)),"",VLOOKUP($B75,OFFSET(INDIRECT(""&amp;$B$29&amp;"!$A$4"),0,0,200,100),MATCH(H$30,INDIRECT(""&amp;$B$29&amp;"!$A$4"):INDIRECT(""&amp;$B$29&amp;"!$o$4"),0),FALSE))</f>
        <v>5836.7489189999997</v>
      </c>
      <c r="I75" s="90">
        <f ca="1">IF(ISERROR(VLOOKUP($B75,OFFSET(INDIRECT(""&amp;$B$29&amp;"!$A$4"),0,0,200,100),MATCH(I$30,INDIRECT(""&amp;$B$29&amp;"!$A$4"):INDIRECT(""&amp;$B$29&amp;"!$o$4"),0),FALSE)),"",VLOOKUP($B75,OFFSET(INDIRECT(""&amp;$B$29&amp;"!$A$4"),0,0,200,100),MATCH(I$30,INDIRECT(""&amp;$B$29&amp;"!$A$4"):INDIRECT(""&amp;$B$29&amp;"!$o$4"),0),FALSE))</f>
        <v>3587.2849249999999</v>
      </c>
      <c r="J75" s="90">
        <f ca="1">IF(ISERROR(VLOOKUP($B75,OFFSET(INDIRECT(""&amp;$B$29&amp;"!$A$4"),0,0,200,100),MATCH(J$30,INDIRECT(""&amp;$B$29&amp;"!$A$4"):INDIRECT(""&amp;$B$29&amp;"!$o$4"),0),FALSE)),"",VLOOKUP($B75,OFFSET(INDIRECT(""&amp;$B$29&amp;"!$A$4"),0,0,200,100),MATCH(J$30,INDIRECT(""&amp;$B$29&amp;"!$A$4"):INDIRECT(""&amp;$B$29&amp;"!$o$4"),0),FALSE))</f>
        <v>3587.2849249999999</v>
      </c>
      <c r="K75" s="114" t="s">
        <v>168</v>
      </c>
      <c r="L75" s="90">
        <f ca="1">IF(ISERROR(VLOOKUP($K75,OFFSET(INDIRECT(""&amp;$S$29&amp;"!$A$4"),0,0,200,100),MATCH(L$30,INDIRECT(""&amp;$S$29&amp;"!$A$4"):INDIRECT(""&amp;$S$29&amp;"!$AA$4"),0),FALSE)),"",VLOOKUP($K75,OFFSET(INDIRECT(""&amp;$S$29&amp;"!$A$4"),0,0,200,100),MATCH(L$30,INDIRECT(""&amp;$S$29&amp;"!$A$4"):INDIRECT(""&amp;$S$29&amp;"!$AA$4"),0),FALSE))</f>
        <v>7834.0338160000001</v>
      </c>
      <c r="M75" s="90">
        <f ca="1">IF(ISERROR(VLOOKUP($K75,OFFSET(INDIRECT(""&amp;$S$29&amp;"!$A$4"),0,0,200,100),MATCH(M$30,INDIRECT(""&amp;$S$29&amp;"!$A$4"):INDIRECT(""&amp;$S$29&amp;"!$AA$4"),0),FALSE)),"",VLOOKUP($K75,OFFSET(INDIRECT(""&amp;$S$29&amp;"!$A$4"),0,0,200,100),MATCH(M$30,INDIRECT(""&amp;$S$29&amp;"!$A$4"):INDIRECT(""&amp;$S$29&amp;"!$AA$4"),0),FALSE))</f>
        <v>6998.1771060000001</v>
      </c>
      <c r="N75" s="90">
        <f ca="1">IF(ISERROR(VLOOKUP($K75,OFFSET(INDIRECT(""&amp;$S$29&amp;"!$A$4"),0,0,200,100),MATCH(N$30,INDIRECT(""&amp;$S$29&amp;"!$A$4"):INDIRECT(""&amp;$S$29&amp;"!$AA$4"),0),FALSE)),"",VLOOKUP($K75,OFFSET(INDIRECT(""&amp;$S$29&amp;"!$A$4"),0,0,200,100),MATCH(N$30,INDIRECT(""&amp;$S$29&amp;"!$A$4"):INDIRECT(""&amp;$S$29&amp;"!$AA$4"),0),FALSE))</f>
        <v>7853.6745279999996</v>
      </c>
      <c r="O75" s="90">
        <f ca="1">IF(ISERROR(VLOOKUP($K75,OFFSET(INDIRECT(""&amp;$S$29&amp;"!$A$4"),0,0,200,100),MATCH(O$30,INDIRECT(""&amp;$S$29&amp;"!$A$4"):INDIRECT(""&amp;$S$29&amp;"!$AA$4"),0),FALSE)),"",VLOOKUP($K75,OFFSET(INDIRECT(""&amp;$S$29&amp;"!$A$4"),0,0,200,100),MATCH(O$30,INDIRECT(""&amp;$S$29&amp;"!$A$4"):INDIRECT(""&amp;$S$29&amp;"!$AA$4"),0),FALSE))</f>
        <v>11287.89918</v>
      </c>
      <c r="P75" s="90">
        <f ca="1">IF(ISERROR(VLOOKUP($K75,OFFSET(INDIRECT(""&amp;$S$29&amp;"!$A$4"),0,0,200,100),MATCH(P$30,INDIRECT(""&amp;$S$29&amp;"!$A$4"):INDIRECT(""&amp;$S$29&amp;"!$AA$4"),0),FALSE)),"",VLOOKUP($K75,OFFSET(INDIRECT(""&amp;$S$29&amp;"!$A$4"),0,0,200,100),MATCH(P$30,INDIRECT(""&amp;$S$29&amp;"!$A$4"):INDIRECT(""&amp;$S$29&amp;"!$AA$4"),0),FALSE))</f>
        <v>8908.3259020000005</v>
      </c>
      <c r="Q75" s="90">
        <f ca="1">IF(ISERROR(VLOOKUP($K75,OFFSET(INDIRECT(""&amp;$S$29&amp;"!$A$4"),0,0,200,100),MATCH(Q$30,INDIRECT(""&amp;$S$29&amp;"!$A$4"):INDIRECT(""&amp;$S$29&amp;"!$AA$4"),0),FALSE)),"",VLOOKUP($K75,OFFSET(INDIRECT(""&amp;$S$29&amp;"!$A$4"),0,0,200,100),MATCH(Q$30,INDIRECT(""&amp;$S$29&amp;"!$A$4"):INDIRECT(""&amp;$S$29&amp;"!$AA$4"),0),FALSE))</f>
        <v>9297.2873529999997</v>
      </c>
      <c r="R75" s="90">
        <f ca="1">IF(ISERROR(VLOOKUP($K75,OFFSET(INDIRECT(""&amp;$S$29&amp;"!$A$4"),0,0,200,100),MATCH(R$30,INDIRECT(""&amp;$S$29&amp;"!$A$4"):INDIRECT(""&amp;$S$29&amp;"!$AA$4"),0),FALSE)),"",VLOOKUP($K75,OFFSET(INDIRECT(""&amp;$S$29&amp;"!$A$4"),0,0,200,100),MATCH(R$30,INDIRECT(""&amp;$S$29&amp;"!$A$4"):INDIRECT(""&amp;$S$29&amp;"!$AA$4"),0),FALSE))</f>
        <v>5540.4073799999996</v>
      </c>
      <c r="S75" s="90">
        <f ca="1">IF(ISERROR(VLOOKUP($K75,OFFSET(INDIRECT(""&amp;$S$29&amp;"!$A$4"),0,0,200,100),MATCH(S$30,INDIRECT(""&amp;$S$29&amp;"!$A$4"):INDIRECT(""&amp;$S$29&amp;"!$AA$4"),0),FALSE)),"",VLOOKUP($K75,OFFSET(INDIRECT(""&amp;$S$29&amp;"!$A$4"),0,0,200,100),MATCH(S$30,INDIRECT(""&amp;$S$29&amp;"!$A$4"):INDIRECT(""&amp;$S$29&amp;"!$AA$4"),0),FALSE))</f>
        <v>6530.416502</v>
      </c>
      <c r="T75" s="90">
        <f ca="1">IF(ISERROR(VLOOKUP($K75,OFFSET(INDIRECT(""&amp;$S$29&amp;"!$A$4"),0,0,200,100),MATCH(T$30,INDIRECT(""&amp;$S$29&amp;"!$A$4"):INDIRECT(""&amp;$S$29&amp;"!$AA$4"),0),FALSE)),"",VLOOKUP($K75,OFFSET(INDIRECT(""&amp;$S$29&amp;"!$A$4"),0,0,200,100),MATCH(T$30,INDIRECT(""&amp;$S$29&amp;"!$A$4"):INDIRECT(""&amp;$S$29&amp;"!$AA$4"),0),FALSE))</f>
        <v>9912.0716350000002</v>
      </c>
      <c r="U75" s="90">
        <f ca="1">IF(ISERROR(VLOOKUP($K75,OFFSET(INDIRECT(""&amp;$S$29&amp;"!$A$4"),0,0,200,100),MATCH(U$30,INDIRECT(""&amp;$S$29&amp;"!$A$4"):INDIRECT(""&amp;$S$29&amp;"!$AA$4"),0),FALSE)),"",VLOOKUP($K75,OFFSET(INDIRECT(""&amp;$S$29&amp;"!$A$4"),0,0,200,100),MATCH(U$30,INDIRECT(""&amp;$S$29&amp;"!$A$4"):INDIRECT(""&amp;$S$29&amp;"!$AA$4"),0),FALSE))</f>
        <v>7068.5024599999997</v>
      </c>
      <c r="V75" s="90">
        <f ca="1">IF(ISERROR(VLOOKUP($K75,OFFSET(INDIRECT(""&amp;$S$29&amp;"!$A$4"),0,0,200,100),MATCH(V$30,INDIRECT(""&amp;$S$29&amp;"!$A$4"):INDIRECT(""&amp;$S$29&amp;"!$AA$4"),0),FALSE)),"",VLOOKUP($K75,OFFSET(INDIRECT(""&amp;$S$29&amp;"!$A$4"),0,0,200,100),MATCH(V$30,INDIRECT(""&amp;$S$29&amp;"!$A$4"):INDIRECT(""&amp;$S$29&amp;"!$AA$4"),0),FALSE))</f>
        <v>4843.3755170000004</v>
      </c>
      <c r="W75" s="90">
        <f ca="1">IF(ISERROR(VLOOKUP($K75,OFFSET(INDIRECT(""&amp;$S$29&amp;"!$A$4"),0,0,200,100),MATCH(W$30,INDIRECT(""&amp;$S$29&amp;"!$A$4"):INDIRECT(""&amp;$S$29&amp;"!$AA$4"),0),FALSE)),"",VLOOKUP($K75,OFFSET(INDIRECT(""&amp;$S$29&amp;"!$A$4"),0,0,200,100),MATCH(W$30,INDIRECT(""&amp;$S$29&amp;"!$A$4"):INDIRECT(""&amp;$S$29&amp;"!$AA$4"),0),FALSE))</f>
        <v>5836.7489189999997</v>
      </c>
      <c r="X75" s="90">
        <f ca="1">IF(ISERROR(VLOOKUP($K75,OFFSET(INDIRECT(""&amp;$S$29&amp;"!$A$4"),0,0,200,100),MATCH(X$30,INDIRECT(""&amp;$S$29&amp;"!$A$4"):INDIRECT(""&amp;$S$29&amp;"!$AA$4"),0),FALSE)),"",VLOOKUP($K75,OFFSET(INDIRECT(""&amp;$S$29&amp;"!$A$4"),0,0,200,100),MATCH(X$30,INDIRECT(""&amp;$S$29&amp;"!$A$4"):INDIRECT(""&amp;$S$29&amp;"!$AA$4"),0),FALSE))</f>
        <v>3432.37329</v>
      </c>
      <c r="Y75" s="90">
        <f ca="1">IF(ISERROR(VLOOKUP($K75,OFFSET(INDIRECT(""&amp;$S$29&amp;"!$A$4"),0,0,200,100),MATCH(Y$30,INDIRECT(""&amp;$S$29&amp;"!$A$4"):INDIRECT(""&amp;$S$29&amp;"!$AA$4"),0),FALSE)),"",VLOOKUP($K75,OFFSET(INDIRECT(""&amp;$S$29&amp;"!$A$4"),0,0,200,100),MATCH(Y$30,INDIRECT(""&amp;$S$29&amp;"!$A$4"):INDIRECT(""&amp;$S$29&amp;"!$AA$4"),0),FALSE))</f>
        <v>2663.216226</v>
      </c>
      <c r="Z75" s="90">
        <f ca="1">IF(ISERROR(VLOOKUP($K75,OFFSET(INDIRECT(""&amp;$S$29&amp;"!$A$4"),0,0,200,100),MATCH(Z$30,INDIRECT(""&amp;$S$29&amp;"!$A$4"):INDIRECT(""&amp;$S$29&amp;"!$AA$4"),0),FALSE)),"",VLOOKUP($K75,OFFSET(INDIRECT(""&amp;$S$29&amp;"!$A$4"),0,0,200,100),MATCH(Z$30,INDIRECT(""&amp;$S$29&amp;"!$A$4"):INDIRECT(""&amp;$S$29&amp;"!$AA$4"),0),FALSE))</f>
        <v>2950.4854869999999</v>
      </c>
      <c r="AA75" s="90">
        <f t="shared" ca="1" si="61"/>
        <v>2663.216226</v>
      </c>
      <c r="AB75" s="115"/>
      <c r="AC75" s="99">
        <f t="shared" ca="1" si="66"/>
        <v>1.4470419493368138E-2</v>
      </c>
      <c r="AD75" s="99">
        <f t="shared" ca="1" si="67"/>
        <v>3.0234459547226124E-2</v>
      </c>
      <c r="AE75" s="99">
        <f t="shared" ca="1" si="68"/>
        <v>1.7111274753818909E-2</v>
      </c>
      <c r="AF75" s="99">
        <f t="shared" ca="1" si="69"/>
        <v>1.593902254645482E-2</v>
      </c>
      <c r="AG75" s="99">
        <f t="shared" ca="1" si="70"/>
        <v>1.0525750150446643E-2</v>
      </c>
      <c r="AH75" s="99">
        <f t="shared" ca="1" si="70"/>
        <v>1.0525750150446643E-2</v>
      </c>
      <c r="AI75" s="145"/>
      <c r="AJ75" s="99">
        <f t="shared" ca="1" si="71"/>
        <v>2.8810765329349491E-2</v>
      </c>
      <c r="AK75" s="99">
        <f t="shared" ca="1" si="72"/>
        <v>2.2907662430851676E-2</v>
      </c>
      <c r="AL75" s="99">
        <f t="shared" ca="1" si="73"/>
        <v>2.2471315622341885E-2</v>
      </c>
      <c r="AM75" s="99">
        <f t="shared" ca="1" si="74"/>
        <v>1.3942058475893295E-2</v>
      </c>
      <c r="AN75" s="99">
        <f t="shared" ca="1" si="75"/>
        <v>1.6203930496244339E-2</v>
      </c>
      <c r="AO75" s="99">
        <f t="shared" ca="1" si="76"/>
        <v>2.6132544671014623E-2</v>
      </c>
      <c r="AP75" s="99">
        <f t="shared" ca="1" si="76"/>
        <v>1.9176743463529294E-2</v>
      </c>
      <c r="AQ75" s="99">
        <f t="shared" ca="1" si="76"/>
        <v>1.3416050795284854E-2</v>
      </c>
      <c r="AR75" s="99">
        <f t="shared" ca="1" si="76"/>
        <v>1.5911268430823886E-2</v>
      </c>
      <c r="AS75" s="99">
        <f t="shared" ca="1" si="76"/>
        <v>9.308801250763726E-3</v>
      </c>
      <c r="AT75" s="99">
        <f t="shared" ca="1" si="77"/>
        <v>7.8740669706730999E-3</v>
      </c>
      <c r="AU75" s="99">
        <f t="shared" ca="1" si="77"/>
        <v>8.760998596003898E-3</v>
      </c>
      <c r="AV75" s="99">
        <f t="shared" ca="1" si="78"/>
        <v>7.8740669706730999E-3</v>
      </c>
    </row>
    <row r="76" spans="1:48" s="108" customFormat="1" ht="15.95" customHeight="1" outlineLevel="1">
      <c r="A76" s="113" t="s">
        <v>271</v>
      </c>
      <c r="B76" s="111" t="s">
        <v>169</v>
      </c>
      <c r="C76" s="90">
        <f ca="1">IF(ISERROR(VLOOKUP($B76,OFFSET(INDIRECT(""&amp;$B$29&amp;"!$A$4"),0,0,200,100),MATCH(C$30,INDIRECT(""&amp;$B$29&amp;"!$A$4"):INDIRECT(""&amp;$B$29&amp;"!$o$4"),0),FALSE)),"",VLOOKUP($B76,OFFSET(INDIRECT(""&amp;$B$29&amp;"!$A$4"),0,0,200,100),MATCH(C$30,INDIRECT(""&amp;$B$29&amp;"!$A$4"):INDIRECT(""&amp;$B$29&amp;"!$o$4"),0),FALSE))</f>
        <v>159.049397</v>
      </c>
      <c r="D76" s="90">
        <f ca="1">IF(ISERROR(VLOOKUP($B76,OFFSET(INDIRECT(""&amp;$B$29&amp;"!$A$4"),0,0,200,100),MATCH(D$30,INDIRECT(""&amp;$B$29&amp;"!$A$4"):INDIRECT(""&amp;$B$29&amp;"!$o$4"),0),FALSE)),"",VLOOKUP($B76,OFFSET(INDIRECT(""&amp;$B$29&amp;"!$A$4"),0,0,200,100),MATCH(D$30,INDIRECT(""&amp;$B$29&amp;"!$A$4"):INDIRECT(""&amp;$B$29&amp;"!$o$4"),0),FALSE))</f>
        <v>137.06214499999999</v>
      </c>
      <c r="E76" s="90">
        <f ca="1">IF(ISERROR(VLOOKUP($B76,OFFSET(INDIRECT(""&amp;$B$29&amp;"!$A$4"),0,0,200,100),MATCH(E$30,INDIRECT(""&amp;$B$29&amp;"!$A$4"):INDIRECT(""&amp;$B$29&amp;"!$o$4"),0),FALSE)),"",VLOOKUP($B76,OFFSET(INDIRECT(""&amp;$B$29&amp;"!$A$4"),0,0,200,100),MATCH(E$30,INDIRECT(""&amp;$B$29&amp;"!$A$4"):INDIRECT(""&amp;$B$29&amp;"!$o$4"),0),FALSE))</f>
        <v>1089.024148</v>
      </c>
      <c r="F76" s="90">
        <f ca="1">IF(ISERROR(VLOOKUP($B76,OFFSET(INDIRECT(""&amp;$B$29&amp;"!$A$4"),0,0,200,100),MATCH(F$30,INDIRECT(""&amp;$B$29&amp;"!$A$4"):INDIRECT(""&amp;$B$29&amp;"!$o$4"),0),FALSE)),"",VLOOKUP($B76,OFFSET(INDIRECT(""&amp;$B$29&amp;"!$A$4"),0,0,200,100),MATCH(F$30,INDIRECT(""&amp;$B$29&amp;"!$A$4"):INDIRECT(""&amp;$B$29&amp;"!$o$4"),0),FALSE))</f>
        <v>700.39152799999999</v>
      </c>
      <c r="G76" s="90">
        <f ca="1">IF(ISERROR(VLOOKUP($B76,OFFSET(INDIRECT(""&amp;$B$29&amp;"!$A$4"),0,0,200,100),MATCH(G$30,INDIRECT(""&amp;$B$29&amp;"!$A$4"):INDIRECT(""&amp;$B$29&amp;"!$o$4"),0),FALSE)),"",VLOOKUP($B76,OFFSET(INDIRECT(""&amp;$B$29&amp;"!$A$4"),0,0,200,100),MATCH(G$30,INDIRECT(""&amp;$B$29&amp;"!$A$4"):INDIRECT(""&amp;$B$29&amp;"!$o$4"),0),FALSE))</f>
        <v>521.04659700000002</v>
      </c>
      <c r="H76" s="90">
        <f ca="1">IF(ISERROR(VLOOKUP($B76,OFFSET(INDIRECT(""&amp;$B$29&amp;"!$A$4"),0,0,200,100),MATCH(H$30,INDIRECT(""&amp;$B$29&amp;"!$A$4"):INDIRECT(""&amp;$B$29&amp;"!$o$4"),0),FALSE)),"",VLOOKUP($B76,OFFSET(INDIRECT(""&amp;$B$29&amp;"!$A$4"),0,0,200,100),MATCH(H$30,INDIRECT(""&amp;$B$29&amp;"!$A$4"):INDIRECT(""&amp;$B$29&amp;"!$o$4"),0),FALSE))</f>
        <v>182.69495499999999</v>
      </c>
      <c r="I76" s="90">
        <f ca="1">IF(ISERROR(VLOOKUP($B76,OFFSET(INDIRECT(""&amp;$B$29&amp;"!$A$4"),0,0,200,100),MATCH(I$30,INDIRECT(""&amp;$B$29&amp;"!$A$4"):INDIRECT(""&amp;$B$29&amp;"!$o$4"),0),FALSE)),"",VLOOKUP($B76,OFFSET(INDIRECT(""&amp;$B$29&amp;"!$A$4"),0,0,200,100),MATCH(I$30,INDIRECT(""&amp;$B$29&amp;"!$A$4"):INDIRECT(""&amp;$B$29&amp;"!$o$4"),0),FALSE))</f>
        <v>1140.084302</v>
      </c>
      <c r="J76" s="90">
        <f ca="1">IF(ISERROR(VLOOKUP($B76,OFFSET(INDIRECT(""&amp;$B$29&amp;"!$A$4"),0,0,200,100),MATCH(J$30,INDIRECT(""&amp;$B$29&amp;"!$A$4"):INDIRECT(""&amp;$B$29&amp;"!$o$4"),0),FALSE)),"",VLOOKUP($B76,OFFSET(INDIRECT(""&amp;$B$29&amp;"!$A$4"),0,0,200,100),MATCH(J$30,INDIRECT(""&amp;$B$29&amp;"!$A$4"):INDIRECT(""&amp;$B$29&amp;"!$o$4"),0),FALSE))</f>
        <v>1140.084302</v>
      </c>
      <c r="K76" s="109" t="s">
        <v>169</v>
      </c>
      <c r="L76" s="90">
        <f ca="1">IF(ISERROR(VLOOKUP($K76,OFFSET(INDIRECT(""&amp;$S$29&amp;"!$A$4"),0,0,200,100),MATCH(L$30,INDIRECT(""&amp;$S$29&amp;"!$A$4"):INDIRECT(""&amp;$S$29&amp;"!$AA$4"),0),FALSE)),"",VLOOKUP($K76,OFFSET(INDIRECT(""&amp;$S$29&amp;"!$A$4"),0,0,200,100),MATCH(L$30,INDIRECT(""&amp;$S$29&amp;"!$A$4"):INDIRECT(""&amp;$S$29&amp;"!$AA$4"),0),FALSE))</f>
        <v>1444.4569289999999</v>
      </c>
      <c r="M76" s="90">
        <f ca="1">IF(ISERROR(VLOOKUP($K76,OFFSET(INDIRECT(""&amp;$S$29&amp;"!$A$4"),0,0,200,100),MATCH(M$30,INDIRECT(""&amp;$S$29&amp;"!$A$4"):INDIRECT(""&amp;$S$29&amp;"!$AA$4"),0),FALSE)),"",VLOOKUP($K76,OFFSET(INDIRECT(""&amp;$S$29&amp;"!$A$4"),0,0,200,100),MATCH(M$30,INDIRECT(""&amp;$S$29&amp;"!$A$4"):INDIRECT(""&amp;$S$29&amp;"!$AA$4"),0),FALSE))</f>
        <v>576.89896999999996</v>
      </c>
      <c r="N76" s="90">
        <f ca="1">IF(ISERROR(VLOOKUP($K76,OFFSET(INDIRECT(""&amp;$S$29&amp;"!$A$4"),0,0,200,100),MATCH(N$30,INDIRECT(""&amp;$S$29&amp;"!$A$4"):INDIRECT(""&amp;$S$29&amp;"!$AA$4"),0),FALSE)),"",VLOOKUP($K76,OFFSET(INDIRECT(""&amp;$S$29&amp;"!$A$4"),0,0,200,100),MATCH(N$30,INDIRECT(""&amp;$S$29&amp;"!$A$4"):INDIRECT(""&amp;$S$29&amp;"!$AA$4"),0),FALSE))</f>
        <v>3809.2893730000001</v>
      </c>
      <c r="O76" s="90">
        <f ca="1">IF(ISERROR(VLOOKUP($K76,OFFSET(INDIRECT(""&amp;$S$29&amp;"!$A$4"),0,0,200,100),MATCH(O$30,INDIRECT(""&amp;$S$29&amp;"!$A$4"):INDIRECT(""&amp;$S$29&amp;"!$AA$4"),0),FALSE)),"",VLOOKUP($K76,OFFSET(INDIRECT(""&amp;$S$29&amp;"!$A$4"),0,0,200,100),MATCH(O$30,INDIRECT(""&amp;$S$29&amp;"!$A$4"):INDIRECT(""&amp;$S$29&amp;"!$AA$4"),0),FALSE))</f>
        <v>700.39152799999999</v>
      </c>
      <c r="P76" s="90">
        <f ca="1">IF(ISERROR(VLOOKUP($K76,OFFSET(INDIRECT(""&amp;$S$29&amp;"!$A$4"),0,0,200,100),MATCH(P$30,INDIRECT(""&amp;$S$29&amp;"!$A$4"):INDIRECT(""&amp;$S$29&amp;"!$AA$4"),0),FALSE)),"",VLOOKUP($K76,OFFSET(INDIRECT(""&amp;$S$29&amp;"!$A$4"),0,0,200,100),MATCH(P$30,INDIRECT(""&amp;$S$29&amp;"!$A$4"):INDIRECT(""&amp;$S$29&amp;"!$AA$4"),0),FALSE))</f>
        <v>1622.1869449999999</v>
      </c>
      <c r="Q76" s="90">
        <f ca="1">IF(ISERROR(VLOOKUP($K76,OFFSET(INDIRECT(""&amp;$S$29&amp;"!$A$4"),0,0,200,100),MATCH(Q$30,INDIRECT(""&amp;$S$29&amp;"!$A$4"):INDIRECT(""&amp;$S$29&amp;"!$AA$4"),0),FALSE)),"",VLOOKUP($K76,OFFSET(INDIRECT(""&amp;$S$29&amp;"!$A$4"),0,0,200,100),MATCH(Q$30,INDIRECT(""&amp;$S$29&amp;"!$A$4"):INDIRECT(""&amp;$S$29&amp;"!$AA$4"),0),FALSE))</f>
        <v>1116.6988100000001</v>
      </c>
      <c r="R76" s="90">
        <f ca="1">IF(ISERROR(VLOOKUP($K76,OFFSET(INDIRECT(""&amp;$S$29&amp;"!$A$4"),0,0,200,100),MATCH(R$30,INDIRECT(""&amp;$S$29&amp;"!$A$4"):INDIRECT(""&amp;$S$29&amp;"!$AA$4"),0),FALSE)),"",VLOOKUP($K76,OFFSET(INDIRECT(""&amp;$S$29&amp;"!$A$4"),0,0,200,100),MATCH(R$30,INDIRECT(""&amp;$S$29&amp;"!$A$4"):INDIRECT(""&amp;$S$29&amp;"!$AA$4"),0),FALSE))</f>
        <v>438.201821</v>
      </c>
      <c r="S76" s="90">
        <f ca="1">IF(ISERROR(VLOOKUP($K76,OFFSET(INDIRECT(""&amp;$S$29&amp;"!$A$4"),0,0,200,100),MATCH(S$30,INDIRECT(""&amp;$S$29&amp;"!$A$4"):INDIRECT(""&amp;$S$29&amp;"!$AA$4"),0),FALSE)),"",VLOOKUP($K76,OFFSET(INDIRECT(""&amp;$S$29&amp;"!$A$4"),0,0,200,100),MATCH(S$30,INDIRECT(""&amp;$S$29&amp;"!$A$4"):INDIRECT(""&amp;$S$29&amp;"!$AA$4"),0),FALSE))</f>
        <v>550.227799</v>
      </c>
      <c r="T76" s="90">
        <f ca="1">IF(ISERROR(VLOOKUP($K76,OFFSET(INDIRECT(""&amp;$S$29&amp;"!$A$4"),0,0,200,100),MATCH(T$30,INDIRECT(""&amp;$S$29&amp;"!$A$4"):INDIRECT(""&amp;$S$29&amp;"!$AA$4"),0),FALSE)),"",VLOOKUP($K76,OFFSET(INDIRECT(""&amp;$S$29&amp;"!$A$4"),0,0,200,100),MATCH(T$30,INDIRECT(""&amp;$S$29&amp;"!$A$4"):INDIRECT(""&amp;$S$29&amp;"!$AA$4"),0),FALSE))</f>
        <v>1277.6723030000001</v>
      </c>
      <c r="U76" s="90">
        <f ca="1">IF(ISERROR(VLOOKUP($K76,OFFSET(INDIRECT(""&amp;$S$29&amp;"!$A$4"),0,0,200,100),MATCH(U$30,INDIRECT(""&amp;$S$29&amp;"!$A$4"):INDIRECT(""&amp;$S$29&amp;"!$AA$4"),0),FALSE)),"",VLOOKUP($K76,OFFSET(INDIRECT(""&amp;$S$29&amp;"!$A$4"),0,0,200,100),MATCH(U$30,INDIRECT(""&amp;$S$29&amp;"!$A$4"):INDIRECT(""&amp;$S$29&amp;"!$AA$4"),0),FALSE))</f>
        <v>236.90215799999999</v>
      </c>
      <c r="V76" s="90">
        <f ca="1">IF(ISERROR(VLOOKUP($K76,OFFSET(INDIRECT(""&amp;$S$29&amp;"!$A$4"),0,0,200,100),MATCH(V$30,INDIRECT(""&amp;$S$29&amp;"!$A$4"):INDIRECT(""&amp;$S$29&amp;"!$AA$4"),0),FALSE)),"",VLOOKUP($K76,OFFSET(INDIRECT(""&amp;$S$29&amp;"!$A$4"),0,0,200,100),MATCH(V$30,INDIRECT(""&amp;$S$29&amp;"!$A$4"):INDIRECT(""&amp;$S$29&amp;"!$AA$4"),0),FALSE))</f>
        <v>310.31271600000002</v>
      </c>
      <c r="W76" s="90">
        <f ca="1">IF(ISERROR(VLOOKUP($K76,OFFSET(INDIRECT(""&amp;$S$29&amp;"!$A$4"),0,0,200,100),MATCH(W$30,INDIRECT(""&amp;$S$29&amp;"!$A$4"):INDIRECT(""&amp;$S$29&amp;"!$AA$4"),0),FALSE)),"",VLOOKUP($K76,OFFSET(INDIRECT(""&amp;$S$29&amp;"!$A$4"),0,0,200,100),MATCH(W$30,INDIRECT(""&amp;$S$29&amp;"!$A$4"):INDIRECT(""&amp;$S$29&amp;"!$AA$4"),0),FALSE))</f>
        <v>182.69495499999999</v>
      </c>
      <c r="X76" s="90">
        <f ca="1">IF(ISERROR(VLOOKUP($K76,OFFSET(INDIRECT(""&amp;$S$29&amp;"!$A$4"),0,0,200,100),MATCH(X$30,INDIRECT(""&amp;$S$29&amp;"!$A$4"):INDIRECT(""&amp;$S$29&amp;"!$AA$4"),0),FALSE)),"",VLOOKUP($K76,OFFSET(INDIRECT(""&amp;$S$29&amp;"!$A$4"),0,0,200,100),MATCH(X$30,INDIRECT(""&amp;$S$29&amp;"!$A$4"):INDIRECT(""&amp;$S$29&amp;"!$AA$4"),0),FALSE))</f>
        <v>389.84673800000002</v>
      </c>
      <c r="Y76" s="90">
        <f ca="1">IF(ISERROR(VLOOKUP($K76,OFFSET(INDIRECT(""&amp;$S$29&amp;"!$A$4"),0,0,200,100),MATCH(Y$30,INDIRECT(""&amp;$S$29&amp;"!$A$4"):INDIRECT(""&amp;$S$29&amp;"!$AA$4"),0),FALSE)),"",VLOOKUP($K76,OFFSET(INDIRECT(""&amp;$S$29&amp;"!$A$4"),0,0,200,100),MATCH(Y$30,INDIRECT(""&amp;$S$29&amp;"!$A$4"):INDIRECT(""&amp;$S$29&amp;"!$AA$4"),0),FALSE))</f>
        <v>291.22005999999999</v>
      </c>
      <c r="Z76" s="90">
        <f ca="1">IF(ISERROR(VLOOKUP($K76,OFFSET(INDIRECT(""&amp;$S$29&amp;"!$A$4"),0,0,200,100),MATCH(Z$30,INDIRECT(""&amp;$S$29&amp;"!$A$4"):INDIRECT(""&amp;$S$29&amp;"!$AA$4"),0),FALSE)),"",VLOOKUP($K76,OFFSET(INDIRECT(""&amp;$S$29&amp;"!$A$4"),0,0,200,100),MATCH(Z$30,INDIRECT(""&amp;$S$29&amp;"!$A$4"):INDIRECT(""&amp;$S$29&amp;"!$AA$4"),0),FALSE))</f>
        <v>684.67432799999995</v>
      </c>
      <c r="AA76" s="90">
        <f t="shared" ca="1" si="61"/>
        <v>291.22005999999999</v>
      </c>
      <c r="AB76" s="110"/>
      <c r="AC76" s="99">
        <f t="shared" ca="1" si="66"/>
        <v>3.1218959774782888E-3</v>
      </c>
      <c r="AD76" s="99">
        <f t="shared" ca="1" si="67"/>
        <v>1.8574467680156389E-3</v>
      </c>
      <c r="AE76" s="99">
        <f t="shared" ca="1" si="68"/>
        <v>1.3652684293687573E-3</v>
      </c>
      <c r="AF76" s="99">
        <f t="shared" ca="1" si="69"/>
        <v>4.9890427826856964E-4</v>
      </c>
      <c r="AG76" s="99">
        <f t="shared" ca="1" si="70"/>
        <v>3.345215884489119E-3</v>
      </c>
      <c r="AH76" s="99">
        <f t="shared" ca="1" si="70"/>
        <v>3.345215884489119E-3</v>
      </c>
      <c r="AI76" s="145"/>
      <c r="AJ76" s="99">
        <f t="shared" ca="1" si="71"/>
        <v>1.7876502642427492E-3</v>
      </c>
      <c r="AK76" s="99">
        <f t="shared" ca="1" si="72"/>
        <v>4.171435951557596E-3</v>
      </c>
      <c r="AL76" s="99">
        <f t="shared" ca="1" si="73"/>
        <v>2.6990336494769622E-3</v>
      </c>
      <c r="AM76" s="99">
        <f t="shared" ca="1" si="74"/>
        <v>1.1027050889216249E-3</v>
      </c>
      <c r="AN76" s="99">
        <f t="shared" ca="1" si="75"/>
        <v>1.3652809142214648E-3</v>
      </c>
      <c r="AO76" s="99">
        <f t="shared" ca="1" si="76"/>
        <v>3.3685015365676006E-3</v>
      </c>
      <c r="AP76" s="99">
        <f t="shared" ca="1" si="76"/>
        <v>6.4271207877919924E-4</v>
      </c>
      <c r="AQ76" s="99">
        <f t="shared" ca="1" si="76"/>
        <v>8.5955985565568593E-4</v>
      </c>
      <c r="AR76" s="99">
        <f t="shared" ca="1" si="76"/>
        <v>4.9803555203473202E-4</v>
      </c>
      <c r="AS76" s="99">
        <f t="shared" ca="1" si="76"/>
        <v>1.0572876245347309E-3</v>
      </c>
      <c r="AT76" s="99">
        <f t="shared" ca="1" si="77"/>
        <v>8.6102143463113545E-4</v>
      </c>
      <c r="AU76" s="99">
        <f t="shared" ca="1" si="77"/>
        <v>2.0330318019720229E-3</v>
      </c>
      <c r="AV76" s="99">
        <f t="shared" ca="1" si="78"/>
        <v>8.6102143463113545E-4</v>
      </c>
    </row>
    <row r="77" spans="1:48" s="108" customFormat="1" ht="15.95" customHeight="1" outlineLevel="1">
      <c r="A77" s="113" t="s">
        <v>272</v>
      </c>
      <c r="B77" s="111" t="s">
        <v>170</v>
      </c>
      <c r="C77" s="90">
        <f ca="1">IF(ISERROR(VLOOKUP($B77,OFFSET(INDIRECT(""&amp;$B$29&amp;"!$A$4"),0,0,200,100),MATCH(C$30,INDIRECT(""&amp;$B$29&amp;"!$A$4"):INDIRECT(""&amp;$B$29&amp;"!$o$4"),0),FALSE)),"",VLOOKUP($B77,OFFSET(INDIRECT(""&amp;$B$29&amp;"!$A$4"),0,0,200,100),MATCH(C$30,INDIRECT(""&amp;$B$29&amp;"!$A$4"):INDIRECT(""&amp;$B$29&amp;"!$o$4"),0),FALSE))</f>
        <v>1633.185209</v>
      </c>
      <c r="D77" s="90">
        <f ca="1">IF(ISERROR(VLOOKUP($B77,OFFSET(INDIRECT(""&amp;$B$29&amp;"!$A$4"),0,0,200,100),MATCH(D$30,INDIRECT(""&amp;$B$29&amp;"!$A$4"):INDIRECT(""&amp;$B$29&amp;"!$o$4"),0),FALSE)),"",VLOOKUP($B77,OFFSET(INDIRECT(""&amp;$B$29&amp;"!$A$4"),0,0,200,100),MATCH(D$30,INDIRECT(""&amp;$B$29&amp;"!$A$4"):INDIRECT(""&amp;$B$29&amp;"!$o$4"),0),FALSE))</f>
        <v>1584.7249790000001</v>
      </c>
      <c r="E77" s="90">
        <f ca="1">IF(ISERROR(VLOOKUP($B77,OFFSET(INDIRECT(""&amp;$B$29&amp;"!$A$4"),0,0,200,100),MATCH(E$30,INDIRECT(""&amp;$B$29&amp;"!$A$4"):INDIRECT(""&amp;$B$29&amp;"!$o$4"),0),FALSE)),"",VLOOKUP($B77,OFFSET(INDIRECT(""&amp;$B$29&amp;"!$A$4"),0,0,200,100),MATCH(E$30,INDIRECT(""&amp;$B$29&amp;"!$A$4"):INDIRECT(""&amp;$B$29&amp;"!$o$4"),0),FALSE))</f>
        <v>15798.017703</v>
      </c>
      <c r="F77" s="90">
        <f ca="1">IF(ISERROR(VLOOKUP($B77,OFFSET(INDIRECT(""&amp;$B$29&amp;"!$A$4"),0,0,200,100),MATCH(F$30,INDIRECT(""&amp;$B$29&amp;"!$A$4"):INDIRECT(""&amp;$B$29&amp;"!$o$4"),0),FALSE)),"",VLOOKUP($B77,OFFSET(INDIRECT(""&amp;$B$29&amp;"!$A$4"),0,0,200,100),MATCH(F$30,INDIRECT(""&amp;$B$29&amp;"!$A$4"):INDIRECT(""&amp;$B$29&amp;"!$o$4"),0),FALSE))</f>
        <v>6722.3942800000004</v>
      </c>
      <c r="G77" s="90">
        <f ca="1">IF(ISERROR(VLOOKUP($B77,OFFSET(INDIRECT(""&amp;$B$29&amp;"!$A$4"),0,0,200,100),MATCH(G$30,INDIRECT(""&amp;$B$29&amp;"!$A$4"):INDIRECT(""&amp;$B$29&amp;"!$o$4"),0),FALSE)),"",VLOOKUP($B77,OFFSET(INDIRECT(""&amp;$B$29&amp;"!$A$4"),0,0,200,100),MATCH(G$30,INDIRECT(""&amp;$B$29&amp;"!$A$4"):INDIRECT(""&amp;$B$29&amp;"!$o$4"),0),FALSE))</f>
        <v>11954.227204999999</v>
      </c>
      <c r="H77" s="90">
        <f ca="1">IF(ISERROR(VLOOKUP($B77,OFFSET(INDIRECT(""&amp;$B$29&amp;"!$A$4"),0,0,200,100),MATCH(H$30,INDIRECT(""&amp;$B$29&amp;"!$A$4"):INDIRECT(""&amp;$B$29&amp;"!$o$4"),0),FALSE)),"",VLOOKUP($B77,OFFSET(INDIRECT(""&amp;$B$29&amp;"!$A$4"),0,0,200,100),MATCH(H$30,INDIRECT(""&amp;$B$29&amp;"!$A$4"):INDIRECT(""&amp;$B$29&amp;"!$o$4"),0),FALSE))</f>
        <v>4568.4991380000001</v>
      </c>
      <c r="I77" s="90">
        <f ca="1">IF(ISERROR(VLOOKUP($B77,OFFSET(INDIRECT(""&amp;$B$29&amp;"!$A$4"),0,0,200,100),MATCH(I$30,INDIRECT(""&amp;$B$29&amp;"!$A$4"):INDIRECT(""&amp;$B$29&amp;"!$o$4"),0),FALSE)),"",VLOOKUP($B77,OFFSET(INDIRECT(""&amp;$B$29&amp;"!$A$4"),0,0,200,100),MATCH(I$30,INDIRECT(""&amp;$B$29&amp;"!$A$4"):INDIRECT(""&amp;$B$29&amp;"!$o$4"),0),FALSE))</f>
        <v>1915.5625170000001</v>
      </c>
      <c r="J77" s="90">
        <f ca="1">IF(ISERROR(VLOOKUP($B77,OFFSET(INDIRECT(""&amp;$B$29&amp;"!$A$4"),0,0,200,100),MATCH(J$30,INDIRECT(""&amp;$B$29&amp;"!$A$4"):INDIRECT(""&amp;$B$29&amp;"!$o$4"),0),FALSE)),"",VLOOKUP($B77,OFFSET(INDIRECT(""&amp;$B$29&amp;"!$A$4"),0,0,200,100),MATCH(J$30,INDIRECT(""&amp;$B$29&amp;"!$A$4"):INDIRECT(""&amp;$B$29&amp;"!$o$4"),0),FALSE))</f>
        <v>1915.5625170000001</v>
      </c>
      <c r="K77" s="109" t="s">
        <v>170</v>
      </c>
      <c r="L77" s="90">
        <f ca="1">IF(ISERROR(VLOOKUP($K77,OFFSET(INDIRECT(""&amp;$S$29&amp;"!$A$4"),0,0,200,100),MATCH(L$30,INDIRECT(""&amp;$S$29&amp;"!$A$4"):INDIRECT(""&amp;$S$29&amp;"!$AA$4"),0),FALSE)),"",VLOOKUP($K77,OFFSET(INDIRECT(""&amp;$S$29&amp;"!$A$4"),0,0,200,100),MATCH(L$30,INDIRECT(""&amp;$S$29&amp;"!$A$4"):INDIRECT(""&amp;$S$29&amp;"!$AA$4"),0),FALSE))</f>
        <v>18791.427141</v>
      </c>
      <c r="M77" s="90">
        <f ca="1">IF(ISERROR(VLOOKUP($K77,OFFSET(INDIRECT(""&amp;$S$29&amp;"!$A$4"),0,0,200,100),MATCH(M$30,INDIRECT(""&amp;$S$29&amp;"!$A$4"):INDIRECT(""&amp;$S$29&amp;"!$AA$4"),0),FALSE)),"",VLOOKUP($K77,OFFSET(INDIRECT(""&amp;$S$29&amp;"!$A$4"),0,0,200,100),MATCH(M$30,INDIRECT(""&amp;$S$29&amp;"!$A$4"):INDIRECT(""&amp;$S$29&amp;"!$AA$4"),0),FALSE))</f>
        <v>21845.386385000002</v>
      </c>
      <c r="N77" s="90">
        <f ca="1">IF(ISERROR(VLOOKUP($K77,OFFSET(INDIRECT(""&amp;$S$29&amp;"!$A$4"),0,0,200,100),MATCH(N$30,INDIRECT(""&amp;$S$29&amp;"!$A$4"):INDIRECT(""&amp;$S$29&amp;"!$AA$4"),0),FALSE)),"",VLOOKUP($K77,OFFSET(INDIRECT(""&amp;$S$29&amp;"!$A$4"),0,0,200,100),MATCH(N$30,INDIRECT(""&amp;$S$29&amp;"!$A$4"):INDIRECT(""&amp;$S$29&amp;"!$AA$4"),0),FALSE))</f>
        <v>17292.073928000002</v>
      </c>
      <c r="O77" s="90">
        <f ca="1">IF(ISERROR(VLOOKUP($K77,OFFSET(INDIRECT(""&amp;$S$29&amp;"!$A$4"),0,0,200,100),MATCH(O$30,INDIRECT(""&amp;$S$29&amp;"!$A$4"):INDIRECT(""&amp;$S$29&amp;"!$AA$4"),0),FALSE)),"",VLOOKUP($K77,OFFSET(INDIRECT(""&amp;$S$29&amp;"!$A$4"),0,0,200,100),MATCH(O$30,INDIRECT(""&amp;$S$29&amp;"!$A$4"):INDIRECT(""&amp;$S$29&amp;"!$AA$4"),0),FALSE))</f>
        <v>6643.9971740000001</v>
      </c>
      <c r="P77" s="90">
        <f ca="1">IF(ISERROR(VLOOKUP($K77,OFFSET(INDIRECT(""&amp;$S$29&amp;"!$A$4"),0,0,200,100),MATCH(P$30,INDIRECT(""&amp;$S$29&amp;"!$A$4"):INDIRECT(""&amp;$S$29&amp;"!$AA$4"),0),FALSE)),"",VLOOKUP($K77,OFFSET(INDIRECT(""&amp;$S$29&amp;"!$A$4"),0,0,200,100),MATCH(P$30,INDIRECT(""&amp;$S$29&amp;"!$A$4"):INDIRECT(""&amp;$S$29&amp;"!$AA$4"),0),FALSE))</f>
        <v>7336.8393990000004</v>
      </c>
      <c r="Q77" s="90">
        <f ca="1">IF(ISERROR(VLOOKUP($K77,OFFSET(INDIRECT(""&amp;$S$29&amp;"!$A$4"),0,0,200,100),MATCH(Q$30,INDIRECT(""&amp;$S$29&amp;"!$A$4"):INDIRECT(""&amp;$S$29&amp;"!$AA$4"),0),FALSE)),"",VLOOKUP($K77,OFFSET(INDIRECT(""&amp;$S$29&amp;"!$A$4"),0,0,200,100),MATCH(Q$30,INDIRECT(""&amp;$S$29&amp;"!$A$4"):INDIRECT(""&amp;$S$29&amp;"!$AA$4"),0),FALSE))</f>
        <v>10673.455823</v>
      </c>
      <c r="R77" s="90">
        <f ca="1">IF(ISERROR(VLOOKUP($K77,OFFSET(INDIRECT(""&amp;$S$29&amp;"!$A$4"),0,0,200,100),MATCH(R$30,INDIRECT(""&amp;$S$29&amp;"!$A$4"):INDIRECT(""&amp;$S$29&amp;"!$AA$4"),0),FALSE)),"",VLOOKUP($K77,OFFSET(INDIRECT(""&amp;$S$29&amp;"!$A$4"),0,0,200,100),MATCH(R$30,INDIRECT(""&amp;$S$29&amp;"!$A$4"):INDIRECT(""&amp;$S$29&amp;"!$AA$4"),0),FALSE))</f>
        <v>14157.259485</v>
      </c>
      <c r="S77" s="90">
        <f ca="1">IF(ISERROR(VLOOKUP($K77,OFFSET(INDIRECT(""&amp;$S$29&amp;"!$A$4"),0,0,200,100),MATCH(S$30,INDIRECT(""&amp;$S$29&amp;"!$A$4"):INDIRECT(""&amp;$S$29&amp;"!$AA$4"),0),FALSE)),"",VLOOKUP($K77,OFFSET(INDIRECT(""&amp;$S$29&amp;"!$A$4"),0,0,200,100),MATCH(S$30,INDIRECT(""&amp;$S$29&amp;"!$A$4"):INDIRECT(""&amp;$S$29&amp;"!$AA$4"),0),FALSE))</f>
        <v>11850.288601</v>
      </c>
      <c r="T77" s="90">
        <f ca="1">IF(ISERROR(VLOOKUP($K77,OFFSET(INDIRECT(""&amp;$S$29&amp;"!$A$4"),0,0,200,100),MATCH(T$30,INDIRECT(""&amp;$S$29&amp;"!$A$4"):INDIRECT(""&amp;$S$29&amp;"!$AA$4"),0),FALSE)),"",VLOOKUP($K77,OFFSET(INDIRECT(""&amp;$S$29&amp;"!$A$4"),0,0,200,100),MATCH(T$30,INDIRECT(""&amp;$S$29&amp;"!$A$4"):INDIRECT(""&amp;$S$29&amp;"!$AA$4"),0),FALSE))</f>
        <v>18161.134451999998</v>
      </c>
      <c r="U77" s="90">
        <f ca="1">IF(ISERROR(VLOOKUP($K77,OFFSET(INDIRECT(""&amp;$S$29&amp;"!$A$4"),0,0,200,100),MATCH(U$30,INDIRECT(""&amp;$S$29&amp;"!$A$4"):INDIRECT(""&amp;$S$29&amp;"!$AA$4"),0),FALSE)),"",VLOOKUP($K77,OFFSET(INDIRECT(""&amp;$S$29&amp;"!$A$4"),0,0,200,100),MATCH(U$30,INDIRECT(""&amp;$S$29&amp;"!$A$4"):INDIRECT(""&amp;$S$29&amp;"!$AA$4"),0),FALSE))</f>
        <v>16290.857388</v>
      </c>
      <c r="V77" s="90">
        <f ca="1">IF(ISERROR(VLOOKUP($K77,OFFSET(INDIRECT(""&amp;$S$29&amp;"!$A$4"),0,0,200,100),MATCH(V$30,INDIRECT(""&amp;$S$29&amp;"!$A$4"):INDIRECT(""&amp;$S$29&amp;"!$AA$4"),0),FALSE)),"",VLOOKUP($K77,OFFSET(INDIRECT(""&amp;$S$29&amp;"!$A$4"),0,0,200,100),MATCH(V$30,INDIRECT(""&amp;$S$29&amp;"!$A$4"):INDIRECT(""&amp;$S$29&amp;"!$AA$4"),0),FALSE))</f>
        <v>13949.426707000001</v>
      </c>
      <c r="W77" s="90">
        <f ca="1">IF(ISERROR(VLOOKUP($K77,OFFSET(INDIRECT(""&amp;$S$29&amp;"!$A$4"),0,0,200,100),MATCH(W$30,INDIRECT(""&amp;$S$29&amp;"!$A$4"):INDIRECT(""&amp;$S$29&amp;"!$AA$4"),0),FALSE)),"",VLOOKUP($K77,OFFSET(INDIRECT(""&amp;$S$29&amp;"!$A$4"),0,0,200,100),MATCH(W$30,INDIRECT(""&amp;$S$29&amp;"!$A$4"):INDIRECT(""&amp;$S$29&amp;"!$AA$4"),0),FALSE))</f>
        <v>4748.1665720000001</v>
      </c>
      <c r="X77" s="90">
        <f ca="1">IF(ISERROR(VLOOKUP($K77,OFFSET(INDIRECT(""&amp;$S$29&amp;"!$A$4"),0,0,200,100),MATCH(X$30,INDIRECT(""&amp;$S$29&amp;"!$A$4"):INDIRECT(""&amp;$S$29&amp;"!$AA$4"),0),FALSE)),"",VLOOKUP($K77,OFFSET(INDIRECT(""&amp;$S$29&amp;"!$A$4"),0,0,200,100),MATCH(X$30,INDIRECT(""&amp;$S$29&amp;"!$A$4"):INDIRECT(""&amp;$S$29&amp;"!$AA$4"),0),FALSE))</f>
        <v>5402.669022</v>
      </c>
      <c r="Y77" s="90">
        <f ca="1">IF(ISERROR(VLOOKUP($K77,OFFSET(INDIRECT(""&amp;$S$29&amp;"!$A$4"),0,0,200,100),MATCH(Y$30,INDIRECT(""&amp;$S$29&amp;"!$A$4"):INDIRECT(""&amp;$S$29&amp;"!$AA$4"),0),FALSE)),"",VLOOKUP($K77,OFFSET(INDIRECT(""&amp;$S$29&amp;"!$A$4"),0,0,200,100),MATCH(Y$30,INDIRECT(""&amp;$S$29&amp;"!$A$4"):INDIRECT(""&amp;$S$29&amp;"!$AA$4"),0),FALSE))</f>
        <v>647.57322299999998</v>
      </c>
      <c r="Z77" s="90">
        <f ca="1">IF(ISERROR(VLOOKUP($K77,OFFSET(INDIRECT(""&amp;$S$29&amp;"!$A$4"),0,0,200,100),MATCH(Z$30,INDIRECT(""&amp;$S$29&amp;"!$A$4"):INDIRECT(""&amp;$S$29&amp;"!$AA$4"),0),FALSE)),"",VLOOKUP($K77,OFFSET(INDIRECT(""&amp;$S$29&amp;"!$A$4"),0,0,200,100),MATCH(Z$30,INDIRECT(""&amp;$S$29&amp;"!$A$4"):INDIRECT(""&amp;$S$29&amp;"!$AA$4"),0),FALSE))</f>
        <v>3708.7138049999999</v>
      </c>
      <c r="AA77" s="90">
        <f t="shared" ca="1" si="61"/>
        <v>647.57322299999998</v>
      </c>
      <c r="AB77" s="110"/>
      <c r="AC77" s="99">
        <f t="shared" ca="1" si="66"/>
        <v>4.5288038846248338E-2</v>
      </c>
      <c r="AD77" s="99">
        <f t="shared" ca="1" si="67"/>
        <v>1.782787059741936E-2</v>
      </c>
      <c r="AE77" s="99">
        <f t="shared" ca="1" si="68"/>
        <v>3.1322973980554794E-2</v>
      </c>
      <c r="AF77" s="99">
        <f t="shared" ca="1" si="69"/>
        <v>1.2475679830428119E-2</v>
      </c>
      <c r="AG77" s="99">
        <f t="shared" ca="1" si="70"/>
        <v>5.6206108165502639E-3</v>
      </c>
      <c r="AH77" s="99">
        <f t="shared" ca="1" si="70"/>
        <v>5.6206108165502639E-3</v>
      </c>
      <c r="AI77" s="145"/>
      <c r="AJ77" s="99">
        <f t="shared" ca="1" si="71"/>
        <v>1.6957862608139914E-2</v>
      </c>
      <c r="AK77" s="99">
        <f t="shared" ca="1" si="72"/>
        <v>1.8866602110272086E-2</v>
      </c>
      <c r="AL77" s="99">
        <f t="shared" ca="1" si="73"/>
        <v>2.5797481079506857E-2</v>
      </c>
      <c r="AM77" s="99">
        <f t="shared" ca="1" si="74"/>
        <v>3.5625780932784949E-2</v>
      </c>
      <c r="AN77" s="99">
        <f t="shared" ca="1" si="75"/>
        <v>2.9404135676833521E-2</v>
      </c>
      <c r="AO77" s="99">
        <f t="shared" ca="1" si="76"/>
        <v>4.7880672660533349E-2</v>
      </c>
      <c r="AP77" s="99">
        <f t="shared" ca="1" si="76"/>
        <v>4.419685707099788E-2</v>
      </c>
      <c r="AQ77" s="99">
        <f t="shared" ca="1" si="76"/>
        <v>3.8639625734024026E-2</v>
      </c>
      <c r="AR77" s="99">
        <f t="shared" ca="1" si="76"/>
        <v>1.2943738702794947E-2</v>
      </c>
      <c r="AS77" s="99">
        <f t="shared" ca="1" si="76"/>
        <v>1.4652360888595553E-2</v>
      </c>
      <c r="AT77" s="99">
        <f t="shared" ca="1" si="77"/>
        <v>1.9146154474941328E-3</v>
      </c>
      <c r="AU77" s="99">
        <f t="shared" ca="1" si="77"/>
        <v>1.1012437302859803E-2</v>
      </c>
      <c r="AV77" s="99">
        <f t="shared" ca="1" si="78"/>
        <v>1.9146154474941328E-3</v>
      </c>
    </row>
    <row r="78" spans="1:48" s="108" customFormat="1" ht="15.95" customHeight="1" outlineLevel="1">
      <c r="A78" s="113" t="s">
        <v>273</v>
      </c>
      <c r="B78" s="111" t="s">
        <v>171</v>
      </c>
      <c r="C78" s="90">
        <f ca="1">IF(ISERROR(VLOOKUP($B78,OFFSET(INDIRECT(""&amp;$B$29&amp;"!$A$4"),0,0,200,100),MATCH(C$30,INDIRECT(""&amp;$B$29&amp;"!$A$4"):INDIRECT(""&amp;$B$29&amp;"!$o$4"),0),FALSE)),"",VLOOKUP($B78,OFFSET(INDIRECT(""&amp;$B$29&amp;"!$A$4"),0,0,200,100),MATCH(C$30,INDIRECT(""&amp;$B$29&amp;"!$A$4"):INDIRECT(""&amp;$B$29&amp;"!$o$4"),0),FALSE))</f>
        <v>1004.209033</v>
      </c>
      <c r="D78" s="90">
        <f ca="1">IF(ISERROR(VLOOKUP($B78,OFFSET(INDIRECT(""&amp;$B$29&amp;"!$A$4"),0,0,200,100),MATCH(D$30,INDIRECT(""&amp;$B$29&amp;"!$A$4"):INDIRECT(""&amp;$B$29&amp;"!$o$4"),0),FALSE)),"",VLOOKUP($B78,OFFSET(INDIRECT(""&amp;$B$29&amp;"!$A$4"),0,0,200,100),MATCH(D$30,INDIRECT(""&amp;$B$29&amp;"!$A$4"):INDIRECT(""&amp;$B$29&amp;"!$o$4"),0),FALSE))</f>
        <v>1199.13606</v>
      </c>
      <c r="E78" s="90">
        <f ca="1">IF(ISERROR(VLOOKUP($B78,OFFSET(INDIRECT(""&amp;$B$29&amp;"!$A$4"),0,0,200,100),MATCH(E$30,INDIRECT(""&amp;$B$29&amp;"!$A$4"):INDIRECT(""&amp;$B$29&amp;"!$o$4"),0),FALSE)),"",VLOOKUP($B78,OFFSET(INDIRECT(""&amp;$B$29&amp;"!$A$4"),0,0,200,100),MATCH(E$30,INDIRECT(""&amp;$B$29&amp;"!$A$4"):INDIRECT(""&amp;$B$29&amp;"!$o$4"),0),FALSE))</f>
        <v>2542.8241149999999</v>
      </c>
      <c r="F78" s="90">
        <f ca="1">IF(ISERROR(VLOOKUP($B78,OFFSET(INDIRECT(""&amp;$B$29&amp;"!$A$4"),0,0,200,100),MATCH(F$30,INDIRECT(""&amp;$B$29&amp;"!$A$4"):INDIRECT(""&amp;$B$29&amp;"!$o$4"),0),FALSE)),"",VLOOKUP($B78,OFFSET(INDIRECT(""&amp;$B$29&amp;"!$A$4"),0,0,200,100),MATCH(F$30,INDIRECT(""&amp;$B$29&amp;"!$A$4"):INDIRECT(""&amp;$B$29&amp;"!$o$4"),0),FALSE))</f>
        <v>5252.5774250000004</v>
      </c>
      <c r="G78" s="90">
        <f ca="1">IF(ISERROR(VLOOKUP($B78,OFFSET(INDIRECT(""&amp;$B$29&amp;"!$A$4"),0,0,200,100),MATCH(G$30,INDIRECT(""&amp;$B$29&amp;"!$A$4"):INDIRECT(""&amp;$B$29&amp;"!$o$4"),0),FALSE)),"",VLOOKUP($B78,OFFSET(INDIRECT(""&amp;$B$29&amp;"!$A$4"),0,0,200,100),MATCH(G$30,INDIRECT(""&amp;$B$29&amp;"!$A$4"):INDIRECT(""&amp;$B$29&amp;"!$o$4"),0),FALSE))</f>
        <v>4311.96</v>
      </c>
      <c r="H78" s="90">
        <f ca="1">IF(ISERROR(VLOOKUP($B78,OFFSET(INDIRECT(""&amp;$B$29&amp;"!$A$4"),0,0,200,100),MATCH(H$30,INDIRECT(""&amp;$B$29&amp;"!$A$4"):INDIRECT(""&amp;$B$29&amp;"!$o$4"),0),FALSE)),"",VLOOKUP($B78,OFFSET(INDIRECT(""&amp;$B$29&amp;"!$A$4"),0,0,200,100),MATCH(H$30,INDIRECT(""&amp;$B$29&amp;"!$A$4"):INDIRECT(""&amp;$B$29&amp;"!$o$4"),0),FALSE))</f>
        <v>2784.3818390000001</v>
      </c>
      <c r="I78" s="90">
        <f ca="1">IF(ISERROR(VLOOKUP($B78,OFFSET(INDIRECT(""&amp;$B$29&amp;"!$A$4"),0,0,200,100),MATCH(I$30,INDIRECT(""&amp;$B$29&amp;"!$A$4"):INDIRECT(""&amp;$B$29&amp;"!$o$4"),0),FALSE)),"",VLOOKUP($B78,OFFSET(INDIRECT(""&amp;$B$29&amp;"!$A$4"),0,0,200,100),MATCH(I$30,INDIRECT(""&amp;$B$29&amp;"!$A$4"):INDIRECT(""&amp;$B$29&amp;"!$o$4"),0),FALSE))</f>
        <v>3532.8136279999999</v>
      </c>
      <c r="J78" s="90">
        <f ca="1">IF(ISERROR(VLOOKUP($B78,OFFSET(INDIRECT(""&amp;$B$29&amp;"!$A$4"),0,0,200,100),MATCH(J$30,INDIRECT(""&amp;$B$29&amp;"!$A$4"):INDIRECT(""&amp;$B$29&amp;"!$o$4"),0),FALSE)),"",VLOOKUP($B78,OFFSET(INDIRECT(""&amp;$B$29&amp;"!$A$4"),0,0,200,100),MATCH(J$30,INDIRECT(""&amp;$B$29&amp;"!$A$4"):INDIRECT(""&amp;$B$29&amp;"!$o$4"),0),FALSE))</f>
        <v>3532.8136279999999</v>
      </c>
      <c r="K78" s="109" t="s">
        <v>171</v>
      </c>
      <c r="L78" s="90">
        <f ca="1">IF(ISERROR(VLOOKUP($K78,OFFSET(INDIRECT(""&amp;$S$29&amp;"!$A$4"),0,0,200,100),MATCH(L$30,INDIRECT(""&amp;$S$29&amp;"!$A$4"):INDIRECT(""&amp;$S$29&amp;"!$AA$4"),0),FALSE)),"",VLOOKUP($K78,OFFSET(INDIRECT(""&amp;$S$29&amp;"!$A$4"),0,0,200,100),MATCH(L$30,INDIRECT(""&amp;$S$29&amp;"!$A$4"):INDIRECT(""&amp;$S$29&amp;"!$AA$4"),0),FALSE))</f>
        <v>859.34512700000005</v>
      </c>
      <c r="M78" s="90">
        <f ca="1">IF(ISERROR(VLOOKUP($K78,OFFSET(INDIRECT(""&amp;$S$29&amp;"!$A$4"),0,0,200,100),MATCH(M$30,INDIRECT(""&amp;$S$29&amp;"!$A$4"):INDIRECT(""&amp;$S$29&amp;"!$AA$4"),0),FALSE)),"",VLOOKUP($K78,OFFSET(INDIRECT(""&amp;$S$29&amp;"!$A$4"),0,0,200,100),MATCH(M$30,INDIRECT(""&amp;$S$29&amp;"!$A$4"):INDIRECT(""&amp;$S$29&amp;"!$AA$4"),0),FALSE))</f>
        <v>4346.3714490000002</v>
      </c>
      <c r="N78" s="90">
        <f ca="1">IF(ISERROR(VLOOKUP($K78,OFFSET(INDIRECT(""&amp;$S$29&amp;"!$A$4"),0,0,200,100),MATCH(N$30,INDIRECT(""&amp;$S$29&amp;"!$A$4"):INDIRECT(""&amp;$S$29&amp;"!$AA$4"),0),FALSE)),"",VLOOKUP($K78,OFFSET(INDIRECT(""&amp;$S$29&amp;"!$A$4"),0,0,200,100),MATCH(N$30,INDIRECT(""&amp;$S$29&amp;"!$A$4"):INDIRECT(""&amp;$S$29&amp;"!$AA$4"),0),FALSE))</f>
        <v>4118.2284490000002</v>
      </c>
      <c r="O78" s="90">
        <f ca="1">IF(ISERROR(VLOOKUP($K78,OFFSET(INDIRECT(""&amp;$S$29&amp;"!$A$4"),0,0,200,100),MATCH(O$30,INDIRECT(""&amp;$S$29&amp;"!$A$4"):INDIRECT(""&amp;$S$29&amp;"!$AA$4"),0),FALSE)),"",VLOOKUP($K78,OFFSET(INDIRECT(""&amp;$S$29&amp;"!$A$4"),0,0,200,100),MATCH(O$30,INDIRECT(""&amp;$S$29&amp;"!$A$4"):INDIRECT(""&amp;$S$29&amp;"!$AA$4"),0),FALSE))</f>
        <v>5252.5774250000004</v>
      </c>
      <c r="P78" s="90">
        <f ca="1">IF(ISERROR(VLOOKUP($K78,OFFSET(INDIRECT(""&amp;$S$29&amp;"!$A$4"),0,0,200,100),MATCH(P$30,INDIRECT(""&amp;$S$29&amp;"!$A$4"):INDIRECT(""&amp;$S$29&amp;"!$AA$4"),0),FALSE)),"",VLOOKUP($K78,OFFSET(INDIRECT(""&amp;$S$29&amp;"!$A$4"),0,0,200,100),MATCH(P$30,INDIRECT(""&amp;$S$29&amp;"!$A$4"):INDIRECT(""&amp;$S$29&amp;"!$AA$4"),0),FALSE))</f>
        <v>2023.5745710000001</v>
      </c>
      <c r="Q78" s="90">
        <f ca="1">IF(ISERROR(VLOOKUP($K78,OFFSET(INDIRECT(""&amp;$S$29&amp;"!$A$4"),0,0,200,100),MATCH(Q$30,INDIRECT(""&amp;$S$29&amp;"!$A$4"):INDIRECT(""&amp;$S$29&amp;"!$AA$4"),0),FALSE)),"",VLOOKUP($K78,OFFSET(INDIRECT(""&amp;$S$29&amp;"!$A$4"),0,0,200,100),MATCH(Q$30,INDIRECT(""&amp;$S$29&amp;"!$A$4"):INDIRECT(""&amp;$S$29&amp;"!$AA$4"),0),FALSE))</f>
        <v>3969.7950649999998</v>
      </c>
      <c r="R78" s="90">
        <f ca="1">IF(ISERROR(VLOOKUP($K78,OFFSET(INDIRECT(""&amp;$S$29&amp;"!$A$4"),0,0,200,100),MATCH(R$30,INDIRECT(""&amp;$S$29&amp;"!$A$4"):INDIRECT(""&amp;$S$29&amp;"!$AA$4"),0),FALSE)),"",VLOOKUP($K78,OFFSET(INDIRECT(""&amp;$S$29&amp;"!$A$4"),0,0,200,100),MATCH(R$30,INDIRECT(""&amp;$S$29&amp;"!$A$4"):INDIRECT(""&amp;$S$29&amp;"!$AA$4"),0),FALSE))</f>
        <v>3909.939065</v>
      </c>
      <c r="S78" s="90">
        <f ca="1">IF(ISERROR(VLOOKUP($K78,OFFSET(INDIRECT(""&amp;$S$29&amp;"!$A$4"),0,0,200,100),MATCH(S$30,INDIRECT(""&amp;$S$29&amp;"!$A$4"):INDIRECT(""&amp;$S$29&amp;"!$AA$4"),0),FALSE)),"",VLOOKUP($K78,OFFSET(INDIRECT(""&amp;$S$29&amp;"!$A$4"),0,0,200,100),MATCH(S$30,INDIRECT(""&amp;$S$29&amp;"!$A$4"):INDIRECT(""&amp;$S$29&amp;"!$AA$4"),0),FALSE))</f>
        <v>4311.96</v>
      </c>
      <c r="T78" s="90">
        <f ca="1">IF(ISERROR(VLOOKUP($K78,OFFSET(INDIRECT(""&amp;$S$29&amp;"!$A$4"),0,0,200,100),MATCH(T$30,INDIRECT(""&amp;$S$29&amp;"!$A$4"):INDIRECT(""&amp;$S$29&amp;"!$AA$4"),0),FALSE)),"",VLOOKUP($K78,OFFSET(INDIRECT(""&amp;$S$29&amp;"!$A$4"),0,0,200,100),MATCH(T$30,INDIRECT(""&amp;$S$29&amp;"!$A$4"):INDIRECT(""&amp;$S$29&amp;"!$AA$4"),0),FALSE))</f>
        <v>906.29200000000003</v>
      </c>
      <c r="U78" s="90">
        <f ca="1">IF(ISERROR(VLOOKUP($K78,OFFSET(INDIRECT(""&amp;$S$29&amp;"!$A$4"),0,0,200,100),MATCH(U$30,INDIRECT(""&amp;$S$29&amp;"!$A$4"):INDIRECT(""&amp;$S$29&amp;"!$AA$4"),0),FALSE)),"",VLOOKUP($K78,OFFSET(INDIRECT(""&amp;$S$29&amp;"!$A$4"),0,0,200,100),MATCH(U$30,INDIRECT(""&amp;$S$29&amp;"!$A$4"):INDIRECT(""&amp;$S$29&amp;"!$AA$4"),0),FALSE))</f>
        <v>2193.427142</v>
      </c>
      <c r="V78" s="90">
        <f ca="1">IF(ISERROR(VLOOKUP($K78,OFFSET(INDIRECT(""&amp;$S$29&amp;"!$A$4"),0,0,200,100),MATCH(V$30,INDIRECT(""&amp;$S$29&amp;"!$A$4"):INDIRECT(""&amp;$S$29&amp;"!$AA$4"),0),FALSE)),"",VLOOKUP($K78,OFFSET(INDIRECT(""&amp;$S$29&amp;"!$A$4"),0,0,200,100),MATCH(V$30,INDIRECT(""&amp;$S$29&amp;"!$A$4"):INDIRECT(""&amp;$S$29&amp;"!$AA$4"),0),FALSE))</f>
        <v>2100.880142</v>
      </c>
      <c r="W78" s="90">
        <f ca="1">IF(ISERROR(VLOOKUP($K78,OFFSET(INDIRECT(""&amp;$S$29&amp;"!$A$4"),0,0,200,100),MATCH(W$30,INDIRECT(""&amp;$S$29&amp;"!$A$4"):INDIRECT(""&amp;$S$29&amp;"!$AA$4"),0),FALSE)),"",VLOOKUP($K78,OFFSET(INDIRECT(""&amp;$S$29&amp;"!$A$4"),0,0,200,100),MATCH(W$30,INDIRECT(""&amp;$S$29&amp;"!$A$4"):INDIRECT(""&amp;$S$29&amp;"!$AA$4"),0),FALSE))</f>
        <v>2784.3818390000001</v>
      </c>
      <c r="X78" s="90">
        <f ca="1">IF(ISERROR(VLOOKUP($K78,OFFSET(INDIRECT(""&amp;$S$29&amp;"!$A$4"),0,0,200,100),MATCH(X$30,INDIRECT(""&amp;$S$29&amp;"!$A$4"):INDIRECT(""&amp;$S$29&amp;"!$AA$4"),0),FALSE)),"",VLOOKUP($K78,OFFSET(INDIRECT(""&amp;$S$29&amp;"!$A$4"),0,0,200,100),MATCH(X$30,INDIRECT(""&amp;$S$29&amp;"!$A$4"):INDIRECT(""&amp;$S$29&amp;"!$AA$4"),0),FALSE))</f>
        <v>599.57759399999998</v>
      </c>
      <c r="Y78" s="90">
        <f ca="1">IF(ISERROR(VLOOKUP($K78,OFFSET(INDIRECT(""&amp;$S$29&amp;"!$A$4"),0,0,200,100),MATCH(Y$30,INDIRECT(""&amp;$S$29&amp;"!$A$4"):INDIRECT(""&amp;$S$29&amp;"!$AA$4"),0),FALSE)),"",VLOOKUP($K78,OFFSET(INDIRECT(""&amp;$S$29&amp;"!$A$4"),0,0,200,100),MATCH(Y$30,INDIRECT(""&amp;$S$29&amp;"!$A$4"):INDIRECT(""&amp;$S$29&amp;"!$AA$4"),0),FALSE))</f>
        <v>2210.5724799999998</v>
      </c>
      <c r="Z78" s="90">
        <f ca="1">IF(ISERROR(VLOOKUP($K78,OFFSET(INDIRECT(""&amp;$S$29&amp;"!$A$4"),0,0,200,100),MATCH(Z$30,INDIRECT(""&amp;$S$29&amp;"!$A$4"):INDIRECT(""&amp;$S$29&amp;"!$AA$4"),0),FALSE)),"",VLOOKUP($K78,OFFSET(INDIRECT(""&amp;$S$29&amp;"!$A$4"),0,0,200,100),MATCH(Z$30,INDIRECT(""&amp;$S$29&amp;"!$A$4"):INDIRECT(""&amp;$S$29&amp;"!$AA$4"),0),FALSE))</f>
        <v>2946.7275540000001</v>
      </c>
      <c r="AA78" s="90">
        <f t="shared" ca="1" si="61"/>
        <v>2210.5724799999998</v>
      </c>
      <c r="AB78" s="110"/>
      <c r="AC78" s="99">
        <f t="shared" ca="1" si="66"/>
        <v>7.2894915972545448E-3</v>
      </c>
      <c r="AD78" s="99">
        <f t="shared" ca="1" si="67"/>
        <v>1.3929898594972951E-2</v>
      </c>
      <c r="AE78" s="99">
        <f t="shared" ca="1" si="68"/>
        <v>1.1298380779369925E-2</v>
      </c>
      <c r="AF78" s="99">
        <f t="shared" ca="1" si="69"/>
        <v>7.6036035686393626E-3</v>
      </c>
      <c r="AG78" s="99">
        <f t="shared" ca="1" si="70"/>
        <v>1.036592140124497E-2</v>
      </c>
      <c r="AH78" s="99">
        <f t="shared" ca="1" si="70"/>
        <v>1.036592140124497E-2</v>
      </c>
      <c r="AI78" s="145"/>
      <c r="AJ78" s="99">
        <f t="shared" ca="1" si="71"/>
        <v>1.3406460595789432E-2</v>
      </c>
      <c r="AK78" s="99">
        <f t="shared" ca="1" si="72"/>
        <v>5.2035998330187154E-3</v>
      </c>
      <c r="AL78" s="99">
        <f t="shared" ca="1" si="73"/>
        <v>9.5948973581897017E-3</v>
      </c>
      <c r="AM78" s="99">
        <f t="shared" ca="1" si="74"/>
        <v>9.8390958177897673E-3</v>
      </c>
      <c r="AN78" s="99">
        <f t="shared" ca="1" si="75"/>
        <v>1.0699271650006887E-2</v>
      </c>
      <c r="AO78" s="99">
        <f t="shared" ca="1" si="76"/>
        <v>2.3893810544462621E-3</v>
      </c>
      <c r="AP78" s="99">
        <f t="shared" ca="1" si="76"/>
        <v>5.9507356538539341E-3</v>
      </c>
      <c r="AQ78" s="99">
        <f t="shared" ca="1" si="76"/>
        <v>5.8193948829587012E-3</v>
      </c>
      <c r="AR78" s="99">
        <f t="shared" ca="1" si="76"/>
        <v>7.5903636543321485E-3</v>
      </c>
      <c r="AS78" s="99">
        <f t="shared" ca="1" si="76"/>
        <v>1.6260902254477997E-3</v>
      </c>
      <c r="AT78" s="99">
        <f t="shared" ca="1" si="77"/>
        <v>6.5357801522522418E-3</v>
      </c>
      <c r="AU78" s="99">
        <f t="shared" ca="1" si="77"/>
        <v>8.7498400101094966E-3</v>
      </c>
      <c r="AV78" s="99">
        <f t="shared" ca="1" si="78"/>
        <v>6.5357801522522418E-3</v>
      </c>
    </row>
    <row r="79" spans="1:48" s="108" customFormat="1" ht="15.95" customHeight="1" outlineLevel="1">
      <c r="A79" s="113" t="s">
        <v>274</v>
      </c>
      <c r="B79" s="111" t="s">
        <v>172</v>
      </c>
      <c r="C79" s="90">
        <f ca="1">IF(ISERROR(VLOOKUP($B79,OFFSET(INDIRECT(""&amp;$B$29&amp;"!$A$4"),0,0,200,100),MATCH(C$30,INDIRECT(""&amp;$B$29&amp;"!$A$4"):INDIRECT(""&amp;$B$29&amp;"!$o$4"),0),FALSE)),"",VLOOKUP($B79,OFFSET(INDIRECT(""&amp;$B$29&amp;"!$A$4"),0,0,200,100),MATCH(C$30,INDIRECT(""&amp;$B$29&amp;"!$A$4"):INDIRECT(""&amp;$B$29&amp;"!$o$4"),0),FALSE))</f>
        <v>1476.1027750000001</v>
      </c>
      <c r="D79" s="90">
        <f ca="1">IF(ISERROR(VLOOKUP($B79,OFFSET(INDIRECT(""&amp;$B$29&amp;"!$A$4"),0,0,200,100),MATCH(D$30,INDIRECT(""&amp;$B$29&amp;"!$A$4"):INDIRECT(""&amp;$B$29&amp;"!$o$4"),0),FALSE)),"",VLOOKUP($B79,OFFSET(INDIRECT(""&amp;$B$29&amp;"!$A$4"),0,0,200,100),MATCH(D$30,INDIRECT(""&amp;$B$29&amp;"!$A$4"):INDIRECT(""&amp;$B$29&amp;"!$o$4"),0),FALSE))</f>
        <v>1277.790072</v>
      </c>
      <c r="E79" s="90">
        <f ca="1">IF(ISERROR(VLOOKUP($B79,OFFSET(INDIRECT(""&amp;$B$29&amp;"!$A$4"),0,0,200,100),MATCH(E$30,INDIRECT(""&amp;$B$29&amp;"!$A$4"):INDIRECT(""&amp;$B$29&amp;"!$o$4"),0),FALSE)),"",VLOOKUP($B79,OFFSET(INDIRECT(""&amp;$B$29&amp;"!$A$4"),0,0,200,100),MATCH(E$30,INDIRECT(""&amp;$B$29&amp;"!$A$4"):INDIRECT(""&amp;$B$29&amp;"!$o$4"),0),FALSE))</f>
        <v>1494.629776</v>
      </c>
      <c r="F79" s="90">
        <f ca="1">IF(ISERROR(VLOOKUP($B79,OFFSET(INDIRECT(""&amp;$B$29&amp;"!$A$4"),0,0,200,100),MATCH(F$30,INDIRECT(""&amp;$B$29&amp;"!$A$4"):INDIRECT(""&amp;$B$29&amp;"!$o$4"),0),FALSE)),"",VLOOKUP($B79,OFFSET(INDIRECT(""&amp;$B$29&amp;"!$A$4"),0,0,200,100),MATCH(F$30,INDIRECT(""&amp;$B$29&amp;"!$A$4"):INDIRECT(""&amp;$B$29&amp;"!$o$4"),0),FALSE))</f>
        <v>1579.961055</v>
      </c>
      <c r="G79" s="90">
        <f ca="1">IF(ISERROR(VLOOKUP($B79,OFFSET(INDIRECT(""&amp;$B$29&amp;"!$A$4"),0,0,200,100),MATCH(G$30,INDIRECT(""&amp;$B$29&amp;"!$A$4"):INDIRECT(""&amp;$B$29&amp;"!$o$4"),0),FALSE)),"",VLOOKUP($B79,OFFSET(INDIRECT(""&amp;$B$29&amp;"!$A$4"),0,0,200,100),MATCH(G$30,INDIRECT(""&amp;$B$29&amp;"!$A$4"):INDIRECT(""&amp;$B$29&amp;"!$o$4"),0),FALSE))</f>
        <v>1336.419598</v>
      </c>
      <c r="H79" s="90">
        <f ca="1">IF(ISERROR(VLOOKUP($B79,OFFSET(INDIRECT(""&amp;$B$29&amp;"!$A$4"),0,0,200,100),MATCH(H$30,INDIRECT(""&amp;$B$29&amp;"!$A$4"):INDIRECT(""&amp;$B$29&amp;"!$o$4"),0),FALSE)),"",VLOOKUP($B79,OFFSET(INDIRECT(""&amp;$B$29&amp;"!$A$4"),0,0,200,100),MATCH(H$30,INDIRECT(""&amp;$B$29&amp;"!$A$4"):INDIRECT(""&amp;$B$29&amp;"!$o$4"),0),FALSE))</f>
        <v>8266.8636999999999</v>
      </c>
      <c r="I79" s="90">
        <f ca="1">IF(ISERROR(VLOOKUP($B79,OFFSET(INDIRECT(""&amp;$B$29&amp;"!$A$4"),0,0,200,100),MATCH(I$30,INDIRECT(""&amp;$B$29&amp;"!$A$4"):INDIRECT(""&amp;$B$29&amp;"!$o$4"),0),FALSE)),"",VLOOKUP($B79,OFFSET(INDIRECT(""&amp;$B$29&amp;"!$A$4"),0,0,200,100),MATCH(I$30,INDIRECT(""&amp;$B$29&amp;"!$A$4"):INDIRECT(""&amp;$B$29&amp;"!$o$4"),0),FALSE))</f>
        <v>6448.6776829999999</v>
      </c>
      <c r="J79" s="90">
        <f ca="1">IF(ISERROR(VLOOKUP($B79,OFFSET(INDIRECT(""&amp;$B$29&amp;"!$A$4"),0,0,200,100),MATCH(J$30,INDIRECT(""&amp;$B$29&amp;"!$A$4"):INDIRECT(""&amp;$B$29&amp;"!$o$4"),0),FALSE)),"",VLOOKUP($B79,OFFSET(INDIRECT(""&amp;$B$29&amp;"!$A$4"),0,0,200,100),MATCH(J$30,INDIRECT(""&amp;$B$29&amp;"!$A$4"):INDIRECT(""&amp;$B$29&amp;"!$o$4"),0),FALSE))</f>
        <v>6448.6776829999999</v>
      </c>
      <c r="K79" s="109" t="s">
        <v>172</v>
      </c>
      <c r="L79" s="90">
        <f ca="1">IF(ISERROR(VLOOKUP($K79,OFFSET(INDIRECT(""&amp;$S$29&amp;"!$A$4"),0,0,200,100),MATCH(L$30,INDIRECT(""&amp;$S$29&amp;"!$A$4"):INDIRECT(""&amp;$S$29&amp;"!$AA$4"),0),FALSE)),"",VLOOKUP($K79,OFFSET(INDIRECT(""&amp;$S$29&amp;"!$A$4"),0,0,200,100),MATCH(L$30,INDIRECT(""&amp;$S$29&amp;"!$A$4"):INDIRECT(""&amp;$S$29&amp;"!$AA$4"),0),FALSE))</f>
        <v>1455.2673380000001</v>
      </c>
      <c r="M79" s="90">
        <f ca="1">IF(ISERROR(VLOOKUP($K79,OFFSET(INDIRECT(""&amp;$S$29&amp;"!$A$4"),0,0,200,100),MATCH(M$30,INDIRECT(""&amp;$S$29&amp;"!$A$4"):INDIRECT(""&amp;$S$29&amp;"!$AA$4"),0),FALSE)),"",VLOOKUP($K79,OFFSET(INDIRECT(""&amp;$S$29&amp;"!$A$4"),0,0,200,100),MATCH(M$30,INDIRECT(""&amp;$S$29&amp;"!$A$4"):INDIRECT(""&amp;$S$29&amp;"!$AA$4"),0),FALSE))</f>
        <v>1495.5449510000001</v>
      </c>
      <c r="N79" s="90">
        <f ca="1">IF(ISERROR(VLOOKUP($K79,OFFSET(INDIRECT(""&amp;$S$29&amp;"!$A$4"),0,0,200,100),MATCH(N$30,INDIRECT(""&amp;$S$29&amp;"!$A$4"):INDIRECT(""&amp;$S$29&amp;"!$AA$4"),0),FALSE)),"",VLOOKUP($K79,OFFSET(INDIRECT(""&amp;$S$29&amp;"!$A$4"),0,0,200,100),MATCH(N$30,INDIRECT(""&amp;$S$29&amp;"!$A$4"):INDIRECT(""&amp;$S$29&amp;"!$AA$4"),0),FALSE))</f>
        <v>1485.942243</v>
      </c>
      <c r="O79" s="90">
        <f ca="1">IF(ISERROR(VLOOKUP($K79,OFFSET(INDIRECT(""&amp;$S$29&amp;"!$A$4"),0,0,200,100),MATCH(O$30,INDIRECT(""&amp;$S$29&amp;"!$A$4"):INDIRECT(""&amp;$S$29&amp;"!$AA$4"),0),FALSE)),"",VLOOKUP($K79,OFFSET(INDIRECT(""&amp;$S$29&amp;"!$A$4"),0,0,200,100),MATCH(O$30,INDIRECT(""&amp;$S$29&amp;"!$A$4"):INDIRECT(""&amp;$S$29&amp;"!$AA$4"),0),FALSE))</f>
        <v>1579.961055</v>
      </c>
      <c r="P79" s="90">
        <f ca="1">IF(ISERROR(VLOOKUP($K79,OFFSET(INDIRECT(""&amp;$S$29&amp;"!$A$4"),0,0,200,100),MATCH(P$30,INDIRECT(""&amp;$S$29&amp;"!$A$4"):INDIRECT(""&amp;$S$29&amp;"!$AA$4"),0),FALSE)),"",VLOOKUP($K79,OFFSET(INDIRECT(""&amp;$S$29&amp;"!$A$4"),0,0,200,100),MATCH(P$30,INDIRECT(""&amp;$S$29&amp;"!$A$4"):INDIRECT(""&amp;$S$29&amp;"!$AA$4"),0),FALSE))</f>
        <v>1436.1212519999999</v>
      </c>
      <c r="Q79" s="90">
        <f ca="1">IF(ISERROR(VLOOKUP($K79,OFFSET(INDIRECT(""&amp;$S$29&amp;"!$A$4"),0,0,200,100),MATCH(Q$30,INDIRECT(""&amp;$S$29&amp;"!$A$4"):INDIRECT(""&amp;$S$29&amp;"!$AA$4"),0),FALSE)),"",VLOOKUP($K79,OFFSET(INDIRECT(""&amp;$S$29&amp;"!$A$4"),0,0,200,100),MATCH(Q$30,INDIRECT(""&amp;$S$29&amp;"!$A$4"):INDIRECT(""&amp;$S$29&amp;"!$AA$4"),0),FALSE))</f>
        <v>1368.3592160000001</v>
      </c>
      <c r="R79" s="90">
        <f ca="1">IF(ISERROR(VLOOKUP($K79,OFFSET(INDIRECT(""&amp;$S$29&amp;"!$A$4"),0,0,200,100),MATCH(R$30,INDIRECT(""&amp;$S$29&amp;"!$A$4"):INDIRECT(""&amp;$S$29&amp;"!$AA$4"),0),FALSE)),"",VLOOKUP($K79,OFFSET(INDIRECT(""&amp;$S$29&amp;"!$A$4"),0,0,200,100),MATCH(R$30,INDIRECT(""&amp;$S$29&amp;"!$A$4"):INDIRECT(""&amp;$S$29&amp;"!$AA$4"),0),FALSE))</f>
        <v>1276.246126</v>
      </c>
      <c r="S79" s="90">
        <f ca="1">IF(ISERROR(VLOOKUP($K79,OFFSET(INDIRECT(""&amp;$S$29&amp;"!$A$4"),0,0,200,100),MATCH(S$30,INDIRECT(""&amp;$S$29&amp;"!$A$4"):INDIRECT(""&amp;$S$29&amp;"!$AA$4"),0),FALSE)),"",VLOOKUP($K79,OFFSET(INDIRECT(""&amp;$S$29&amp;"!$A$4"),0,0,200,100),MATCH(S$30,INDIRECT(""&amp;$S$29&amp;"!$A$4"):INDIRECT(""&amp;$S$29&amp;"!$AA$4"),0),FALSE))</f>
        <v>1336.419598</v>
      </c>
      <c r="T79" s="90">
        <f ca="1">IF(ISERROR(VLOOKUP($K79,OFFSET(INDIRECT(""&amp;$S$29&amp;"!$A$4"),0,0,200,100),MATCH(T$30,INDIRECT(""&amp;$S$29&amp;"!$A$4"):INDIRECT(""&amp;$S$29&amp;"!$AA$4"),0),FALSE)),"",VLOOKUP($K79,OFFSET(INDIRECT(""&amp;$S$29&amp;"!$A$4"),0,0,200,100),MATCH(T$30,INDIRECT(""&amp;$S$29&amp;"!$A$4"):INDIRECT(""&amp;$S$29&amp;"!$AA$4"),0),FALSE))</f>
        <v>1245.7395309999999</v>
      </c>
      <c r="U79" s="90">
        <f ca="1">IF(ISERROR(VLOOKUP($K79,OFFSET(INDIRECT(""&amp;$S$29&amp;"!$A$4"),0,0,200,100),MATCH(U$30,INDIRECT(""&amp;$S$29&amp;"!$A$4"):INDIRECT(""&amp;$S$29&amp;"!$AA$4"),0),FALSE)),"",VLOOKUP($K79,OFFSET(INDIRECT(""&amp;$S$29&amp;"!$A$4"),0,0,200,100),MATCH(U$30,INDIRECT(""&amp;$S$29&amp;"!$A$4"):INDIRECT(""&amp;$S$29&amp;"!$AA$4"),0),FALSE))</f>
        <v>2231.9641200000001</v>
      </c>
      <c r="V79" s="90">
        <f ca="1">IF(ISERROR(VLOOKUP($K79,OFFSET(INDIRECT(""&amp;$S$29&amp;"!$A$4"),0,0,200,100),MATCH(V$30,INDIRECT(""&amp;$S$29&amp;"!$A$4"):INDIRECT(""&amp;$S$29&amp;"!$AA$4"),0),FALSE)),"",VLOOKUP($K79,OFFSET(INDIRECT(""&amp;$S$29&amp;"!$A$4"),0,0,200,100),MATCH(V$30,INDIRECT(""&amp;$S$29&amp;"!$A$4"):INDIRECT(""&amp;$S$29&amp;"!$AA$4"),0),FALSE))</f>
        <v>1516.0523330000001</v>
      </c>
      <c r="W79" s="90">
        <f ca="1">IF(ISERROR(VLOOKUP($K79,OFFSET(INDIRECT(""&amp;$S$29&amp;"!$A$4"),0,0,200,100),MATCH(W$30,INDIRECT(""&amp;$S$29&amp;"!$A$4"):INDIRECT(""&amp;$S$29&amp;"!$AA$4"),0),FALSE)),"",VLOOKUP($K79,OFFSET(INDIRECT(""&amp;$S$29&amp;"!$A$4"),0,0,200,100),MATCH(W$30,INDIRECT(""&amp;$S$29&amp;"!$A$4"):INDIRECT(""&amp;$S$29&amp;"!$AA$4"),0),FALSE))</f>
        <v>8266.8636999999999</v>
      </c>
      <c r="X79" s="90">
        <f ca="1">IF(ISERROR(VLOOKUP($K79,OFFSET(INDIRECT(""&amp;$S$29&amp;"!$A$4"),0,0,200,100),MATCH(X$30,INDIRECT(""&amp;$S$29&amp;"!$A$4"):INDIRECT(""&amp;$S$29&amp;"!$AA$4"),0),FALSE)),"",VLOOKUP($K79,OFFSET(INDIRECT(""&amp;$S$29&amp;"!$A$4"),0,0,200,100),MATCH(X$30,INDIRECT(""&amp;$S$29&amp;"!$A$4"):INDIRECT(""&amp;$S$29&amp;"!$AA$4"),0),FALSE))</f>
        <v>7608.7420309999998</v>
      </c>
      <c r="Y79" s="90">
        <f ca="1">IF(ISERROR(VLOOKUP($K79,OFFSET(INDIRECT(""&amp;$S$29&amp;"!$A$4"),0,0,200,100),MATCH(Y$30,INDIRECT(""&amp;$S$29&amp;"!$A$4"):INDIRECT(""&amp;$S$29&amp;"!$AA$4"),0),FALSE)),"",VLOOKUP($K79,OFFSET(INDIRECT(""&amp;$S$29&amp;"!$A$4"),0,0,200,100),MATCH(Y$30,INDIRECT(""&amp;$S$29&amp;"!$A$4"):INDIRECT(""&amp;$S$29&amp;"!$AA$4"),0),FALSE))</f>
        <v>1549.1557829999999</v>
      </c>
      <c r="Z79" s="90">
        <f ca="1">IF(ISERROR(VLOOKUP($K79,OFFSET(INDIRECT(""&amp;$S$29&amp;"!$A$4"),0,0,200,100),MATCH(Z$30,INDIRECT(""&amp;$S$29&amp;"!$A$4"):INDIRECT(""&amp;$S$29&amp;"!$AA$4"),0),FALSE)),"",VLOOKUP($K79,OFFSET(INDIRECT(""&amp;$S$29&amp;"!$A$4"),0,0,200,100),MATCH(Z$30,INDIRECT(""&amp;$S$29&amp;"!$A$4"):INDIRECT(""&amp;$S$29&amp;"!$AA$4"),0),FALSE))</f>
        <v>1812.3251130000001</v>
      </c>
      <c r="AA79" s="90">
        <f t="shared" ca="1" si="61"/>
        <v>1549.1557829999999</v>
      </c>
      <c r="AB79" s="110"/>
      <c r="AC79" s="99">
        <f t="shared" ca="1" si="66"/>
        <v>4.2846420752771733E-3</v>
      </c>
      <c r="AD79" s="99">
        <f t="shared" ca="1" si="67"/>
        <v>4.1900757474615385E-3</v>
      </c>
      <c r="AE79" s="99">
        <f t="shared" ca="1" si="68"/>
        <v>3.5017434065289289E-3</v>
      </c>
      <c r="AF79" s="99">
        <f t="shared" ca="1" si="69"/>
        <v>2.2575191897297533E-2</v>
      </c>
      <c r="AG79" s="99">
        <f t="shared" ca="1" si="70"/>
        <v>1.8921599903865782E-2</v>
      </c>
      <c r="AH79" s="99">
        <f t="shared" ca="1" si="70"/>
        <v>1.8921599903865782E-2</v>
      </c>
      <c r="AI79" s="145"/>
      <c r="AJ79" s="99">
        <f t="shared" ca="1" si="71"/>
        <v>4.0326270158196472E-3</v>
      </c>
      <c r="AK79" s="99">
        <f t="shared" ca="1" si="72"/>
        <v>3.6929700610978011E-3</v>
      </c>
      <c r="AL79" s="99">
        <f t="shared" ca="1" si="73"/>
        <v>3.3072906816797938E-3</v>
      </c>
      <c r="AM79" s="99">
        <f t="shared" ca="1" si="74"/>
        <v>3.2115866032804761E-3</v>
      </c>
      <c r="AN79" s="99">
        <f t="shared" ca="1" si="75"/>
        <v>3.3160595917854059E-3</v>
      </c>
      <c r="AO79" s="99">
        <f t="shared" ca="1" si="76"/>
        <v>3.2843128198706065E-3</v>
      </c>
      <c r="AP79" s="99">
        <f t="shared" ca="1" si="76"/>
        <v>6.0552859097458556E-3</v>
      </c>
      <c r="AQ79" s="99">
        <f t="shared" ca="1" si="76"/>
        <v>4.1994338527846405E-3</v>
      </c>
      <c r="AR79" s="99">
        <f t="shared" ca="1" si="76"/>
        <v>2.2535882429952088E-2</v>
      </c>
      <c r="AS79" s="99">
        <f t="shared" ca="1" si="76"/>
        <v>2.063536257587861E-2</v>
      </c>
      <c r="AT79" s="99">
        <f t="shared" ca="1" si="77"/>
        <v>4.5802350797736254E-3</v>
      </c>
      <c r="AU79" s="99">
        <f t="shared" ca="1" si="77"/>
        <v>5.3814119203276752E-3</v>
      </c>
      <c r="AV79" s="99">
        <f t="shared" ca="1" si="78"/>
        <v>4.5802350797736254E-3</v>
      </c>
    </row>
    <row r="80" spans="1:48" s="108" customFormat="1" ht="15.95" customHeight="1">
      <c r="A80" s="113" t="s">
        <v>275</v>
      </c>
      <c r="B80" s="111" t="s">
        <v>173</v>
      </c>
      <c r="C80" s="90">
        <f ca="1">IF(ISERROR(VLOOKUP($B80,OFFSET(INDIRECT(""&amp;$B$29&amp;"!$A$4"),0,0,200,100),MATCH(C$30,INDIRECT(""&amp;$B$29&amp;"!$A$4"):INDIRECT(""&amp;$B$29&amp;"!$o$4"),0),FALSE)),"",VLOOKUP($B80,OFFSET(INDIRECT(""&amp;$B$29&amp;"!$A$4"),0,0,200,100),MATCH(C$30,INDIRECT(""&amp;$B$29&amp;"!$A$4"):INDIRECT(""&amp;$B$29&amp;"!$o$4"),0),FALSE))</f>
        <v>0</v>
      </c>
      <c r="D80" s="90">
        <f ca="1">IF(ISERROR(VLOOKUP($B80,OFFSET(INDIRECT(""&amp;$B$29&amp;"!$A$4"),0,0,200,100),MATCH(D$30,INDIRECT(""&amp;$B$29&amp;"!$A$4"):INDIRECT(""&amp;$B$29&amp;"!$o$4"),0),FALSE)),"",VLOOKUP($B80,OFFSET(INDIRECT(""&amp;$B$29&amp;"!$A$4"),0,0,200,100),MATCH(D$30,INDIRECT(""&amp;$B$29&amp;"!$A$4"):INDIRECT(""&amp;$B$29&amp;"!$o$4"),0),FALSE))</f>
        <v>0</v>
      </c>
      <c r="E80" s="90">
        <f ca="1">IF(ISERROR(VLOOKUP($B80,OFFSET(INDIRECT(""&amp;$B$29&amp;"!$A$4"),0,0,200,100),MATCH(E$30,INDIRECT(""&amp;$B$29&amp;"!$A$4"):INDIRECT(""&amp;$B$29&amp;"!$o$4"),0),FALSE)),"",VLOOKUP($B80,OFFSET(INDIRECT(""&amp;$B$29&amp;"!$A$4"),0,0,200,100),MATCH(E$30,INDIRECT(""&amp;$B$29&amp;"!$A$4"):INDIRECT(""&amp;$B$29&amp;"!$o$4"),0),FALSE))</f>
        <v>0</v>
      </c>
      <c r="F80" s="90">
        <f ca="1">IF(ISERROR(VLOOKUP($B80,OFFSET(INDIRECT(""&amp;$B$29&amp;"!$A$4"),0,0,200,100),MATCH(F$30,INDIRECT(""&amp;$B$29&amp;"!$A$4"):INDIRECT(""&amp;$B$29&amp;"!$o$4"),0),FALSE)),"",VLOOKUP($B80,OFFSET(INDIRECT(""&amp;$B$29&amp;"!$A$4"),0,0,200,100),MATCH(F$30,INDIRECT(""&amp;$B$29&amp;"!$A$4"):INDIRECT(""&amp;$B$29&amp;"!$o$4"),0),FALSE))</f>
        <v>0</v>
      </c>
      <c r="G80" s="90">
        <f ca="1">IF(ISERROR(VLOOKUP($B80,OFFSET(INDIRECT(""&amp;$B$29&amp;"!$A$4"),0,0,200,100),MATCH(G$30,INDIRECT(""&amp;$B$29&amp;"!$A$4"):INDIRECT(""&amp;$B$29&amp;"!$o$4"),0),FALSE)),"",VLOOKUP($B80,OFFSET(INDIRECT(""&amp;$B$29&amp;"!$A$4"),0,0,200,100),MATCH(G$30,INDIRECT(""&amp;$B$29&amp;"!$A$4"):INDIRECT(""&amp;$B$29&amp;"!$o$4"),0),FALSE))</f>
        <v>0</v>
      </c>
      <c r="H80" s="90">
        <f ca="1">IF(ISERROR(VLOOKUP($B80,OFFSET(INDIRECT(""&amp;$B$29&amp;"!$A$4"),0,0,200,100),MATCH(H$30,INDIRECT(""&amp;$B$29&amp;"!$A$4"):INDIRECT(""&amp;$B$29&amp;"!$o$4"),0),FALSE)),"",VLOOKUP($B80,OFFSET(INDIRECT(""&amp;$B$29&amp;"!$A$4"),0,0,200,100),MATCH(H$30,INDIRECT(""&amp;$B$29&amp;"!$A$4"):INDIRECT(""&amp;$B$29&amp;"!$o$4"),0),FALSE))</f>
        <v>0</v>
      </c>
      <c r="I80" s="90">
        <f ca="1">IF(ISERROR(VLOOKUP($B80,OFFSET(INDIRECT(""&amp;$B$29&amp;"!$A$4"),0,0,200,100),MATCH(I$30,INDIRECT(""&amp;$B$29&amp;"!$A$4"):INDIRECT(""&amp;$B$29&amp;"!$o$4"),0),FALSE)),"",VLOOKUP($B80,OFFSET(INDIRECT(""&amp;$B$29&amp;"!$A$4"),0,0,200,100),MATCH(I$30,INDIRECT(""&amp;$B$29&amp;"!$A$4"):INDIRECT(""&amp;$B$29&amp;"!$o$4"),0),FALSE))</f>
        <v>0</v>
      </c>
      <c r="J80" s="90">
        <f ca="1">IF(ISERROR(VLOOKUP($B80,OFFSET(INDIRECT(""&amp;$B$29&amp;"!$A$4"),0,0,200,100),MATCH(J$30,INDIRECT(""&amp;$B$29&amp;"!$A$4"):INDIRECT(""&amp;$B$29&amp;"!$o$4"),0),FALSE)),"",VLOOKUP($B80,OFFSET(INDIRECT(""&amp;$B$29&amp;"!$A$4"),0,0,200,100),MATCH(J$30,INDIRECT(""&amp;$B$29&amp;"!$A$4"):INDIRECT(""&amp;$B$29&amp;"!$o$4"),0),FALSE))</f>
        <v>0</v>
      </c>
      <c r="K80" s="109" t="s">
        <v>173</v>
      </c>
      <c r="L80" s="90">
        <f ca="1">IF(ISERROR(VLOOKUP($K80,OFFSET(INDIRECT(""&amp;$S$29&amp;"!$A$4"),0,0,200,100),MATCH(L$30,INDIRECT(""&amp;$S$29&amp;"!$A$4"):INDIRECT(""&amp;$S$29&amp;"!$AA$4"),0),FALSE)),"",VLOOKUP($K80,OFFSET(INDIRECT(""&amp;$S$29&amp;"!$A$4"),0,0,200,100),MATCH(L$30,INDIRECT(""&amp;$S$29&amp;"!$A$4"):INDIRECT(""&amp;$S$29&amp;"!$AA$4"),0),FALSE))</f>
        <v>0</v>
      </c>
      <c r="M80" s="90">
        <f ca="1">IF(ISERROR(VLOOKUP($K80,OFFSET(INDIRECT(""&amp;$S$29&amp;"!$A$4"),0,0,200,100),MATCH(M$30,INDIRECT(""&amp;$S$29&amp;"!$A$4"):INDIRECT(""&amp;$S$29&amp;"!$AA$4"),0),FALSE)),"",VLOOKUP($K80,OFFSET(INDIRECT(""&amp;$S$29&amp;"!$A$4"),0,0,200,100),MATCH(M$30,INDIRECT(""&amp;$S$29&amp;"!$A$4"):INDIRECT(""&amp;$S$29&amp;"!$AA$4"),0),FALSE))</f>
        <v>0</v>
      </c>
      <c r="N80" s="90">
        <f ca="1">IF(ISERROR(VLOOKUP($K80,OFFSET(INDIRECT(""&amp;$S$29&amp;"!$A$4"),0,0,200,100),MATCH(N$30,INDIRECT(""&amp;$S$29&amp;"!$A$4"):INDIRECT(""&amp;$S$29&amp;"!$AA$4"),0),FALSE)),"",VLOOKUP($K80,OFFSET(INDIRECT(""&amp;$S$29&amp;"!$A$4"),0,0,200,100),MATCH(N$30,INDIRECT(""&amp;$S$29&amp;"!$A$4"):INDIRECT(""&amp;$S$29&amp;"!$AA$4"),0),FALSE))</f>
        <v>0</v>
      </c>
      <c r="O80" s="90">
        <f ca="1">IF(ISERROR(VLOOKUP($K80,OFFSET(INDIRECT(""&amp;$S$29&amp;"!$A$4"),0,0,200,100),MATCH(O$30,INDIRECT(""&amp;$S$29&amp;"!$A$4"):INDIRECT(""&amp;$S$29&amp;"!$AA$4"),0),FALSE)),"",VLOOKUP($K80,OFFSET(INDIRECT(""&amp;$S$29&amp;"!$A$4"),0,0,200,100),MATCH(O$30,INDIRECT(""&amp;$S$29&amp;"!$A$4"):INDIRECT(""&amp;$S$29&amp;"!$AA$4"),0),FALSE))</f>
        <v>0</v>
      </c>
      <c r="P80" s="90">
        <f ca="1">IF(ISERROR(VLOOKUP($K80,OFFSET(INDIRECT(""&amp;$S$29&amp;"!$A$4"),0,0,200,100),MATCH(P$30,INDIRECT(""&amp;$S$29&amp;"!$A$4"):INDIRECT(""&amp;$S$29&amp;"!$AA$4"),0),FALSE)),"",VLOOKUP($K80,OFFSET(INDIRECT(""&amp;$S$29&amp;"!$A$4"),0,0,200,100),MATCH(P$30,INDIRECT(""&amp;$S$29&amp;"!$A$4"):INDIRECT(""&amp;$S$29&amp;"!$AA$4"),0),FALSE))</f>
        <v>0</v>
      </c>
      <c r="Q80" s="90">
        <f ca="1">IF(ISERROR(VLOOKUP($K80,OFFSET(INDIRECT(""&amp;$S$29&amp;"!$A$4"),0,0,200,100),MATCH(Q$30,INDIRECT(""&amp;$S$29&amp;"!$A$4"):INDIRECT(""&amp;$S$29&amp;"!$AA$4"),0),FALSE)),"",VLOOKUP($K80,OFFSET(INDIRECT(""&amp;$S$29&amp;"!$A$4"),0,0,200,100),MATCH(Q$30,INDIRECT(""&amp;$S$29&amp;"!$A$4"):INDIRECT(""&amp;$S$29&amp;"!$AA$4"),0),FALSE))</f>
        <v>0</v>
      </c>
      <c r="R80" s="90">
        <f ca="1">IF(ISERROR(VLOOKUP($K80,OFFSET(INDIRECT(""&amp;$S$29&amp;"!$A$4"),0,0,200,100),MATCH(R$30,INDIRECT(""&amp;$S$29&amp;"!$A$4"):INDIRECT(""&amp;$S$29&amp;"!$AA$4"),0),FALSE)),"",VLOOKUP($K80,OFFSET(INDIRECT(""&amp;$S$29&amp;"!$A$4"),0,0,200,100),MATCH(R$30,INDIRECT(""&amp;$S$29&amp;"!$A$4"):INDIRECT(""&amp;$S$29&amp;"!$AA$4"),0),FALSE))</f>
        <v>0</v>
      </c>
      <c r="S80" s="90">
        <f ca="1">IF(ISERROR(VLOOKUP($K80,OFFSET(INDIRECT(""&amp;$S$29&amp;"!$A$4"),0,0,200,100),MATCH(S$30,INDIRECT(""&amp;$S$29&amp;"!$A$4"):INDIRECT(""&amp;$S$29&amp;"!$AA$4"),0),FALSE)),"",VLOOKUP($K80,OFFSET(INDIRECT(""&amp;$S$29&amp;"!$A$4"),0,0,200,100),MATCH(S$30,INDIRECT(""&amp;$S$29&amp;"!$A$4"):INDIRECT(""&amp;$S$29&amp;"!$AA$4"),0),FALSE))</f>
        <v>0</v>
      </c>
      <c r="T80" s="90">
        <f ca="1">IF(ISERROR(VLOOKUP($K80,OFFSET(INDIRECT(""&amp;$S$29&amp;"!$A$4"),0,0,200,100),MATCH(T$30,INDIRECT(""&amp;$S$29&amp;"!$A$4"):INDIRECT(""&amp;$S$29&amp;"!$AA$4"),0),FALSE)),"",VLOOKUP($K80,OFFSET(INDIRECT(""&amp;$S$29&amp;"!$A$4"),0,0,200,100),MATCH(T$30,INDIRECT(""&amp;$S$29&amp;"!$A$4"):INDIRECT(""&amp;$S$29&amp;"!$AA$4"),0),FALSE))</f>
        <v>0</v>
      </c>
      <c r="U80" s="90">
        <f ca="1">IF(ISERROR(VLOOKUP($K80,OFFSET(INDIRECT(""&amp;$S$29&amp;"!$A$4"),0,0,200,100),MATCH(U$30,INDIRECT(""&amp;$S$29&amp;"!$A$4"):INDIRECT(""&amp;$S$29&amp;"!$AA$4"),0),FALSE)),"",VLOOKUP($K80,OFFSET(INDIRECT(""&amp;$S$29&amp;"!$A$4"),0,0,200,100),MATCH(U$30,INDIRECT(""&amp;$S$29&amp;"!$A$4"):INDIRECT(""&amp;$S$29&amp;"!$AA$4"),0),FALSE))</f>
        <v>0</v>
      </c>
      <c r="V80" s="90">
        <f ca="1">IF(ISERROR(VLOOKUP($K80,OFFSET(INDIRECT(""&amp;$S$29&amp;"!$A$4"),0,0,200,100),MATCH(V$30,INDIRECT(""&amp;$S$29&amp;"!$A$4"):INDIRECT(""&amp;$S$29&amp;"!$AA$4"),0),FALSE)),"",VLOOKUP($K80,OFFSET(INDIRECT(""&amp;$S$29&amp;"!$A$4"),0,0,200,100),MATCH(V$30,INDIRECT(""&amp;$S$29&amp;"!$A$4"):INDIRECT(""&amp;$S$29&amp;"!$AA$4"),0),FALSE))</f>
        <v>0</v>
      </c>
      <c r="W80" s="90">
        <f ca="1">IF(ISERROR(VLOOKUP($K80,OFFSET(INDIRECT(""&amp;$S$29&amp;"!$A$4"),0,0,200,100),MATCH(W$30,INDIRECT(""&amp;$S$29&amp;"!$A$4"):INDIRECT(""&amp;$S$29&amp;"!$AA$4"),0),FALSE)),"",VLOOKUP($K80,OFFSET(INDIRECT(""&amp;$S$29&amp;"!$A$4"),0,0,200,100),MATCH(W$30,INDIRECT(""&amp;$S$29&amp;"!$A$4"):INDIRECT(""&amp;$S$29&amp;"!$AA$4"),0),FALSE))</f>
        <v>0</v>
      </c>
      <c r="X80" s="90">
        <f ca="1">IF(ISERROR(VLOOKUP($K80,OFFSET(INDIRECT(""&amp;$S$29&amp;"!$A$4"),0,0,200,100),MATCH(X$30,INDIRECT(""&amp;$S$29&amp;"!$A$4"):INDIRECT(""&amp;$S$29&amp;"!$AA$4"),0),FALSE)),"",VLOOKUP($K80,OFFSET(INDIRECT(""&amp;$S$29&amp;"!$A$4"),0,0,200,100),MATCH(X$30,INDIRECT(""&amp;$S$29&amp;"!$A$4"):INDIRECT(""&amp;$S$29&amp;"!$AA$4"),0),FALSE))</f>
        <v>0</v>
      </c>
      <c r="Y80" s="90">
        <f ca="1">IF(ISERROR(VLOOKUP($K80,OFFSET(INDIRECT(""&amp;$S$29&amp;"!$A$4"),0,0,200,100),MATCH(Y$30,INDIRECT(""&amp;$S$29&amp;"!$A$4"):INDIRECT(""&amp;$S$29&amp;"!$AA$4"),0),FALSE)),"",VLOOKUP($K80,OFFSET(INDIRECT(""&amp;$S$29&amp;"!$A$4"),0,0,200,100),MATCH(Y$30,INDIRECT(""&amp;$S$29&amp;"!$A$4"):INDIRECT(""&amp;$S$29&amp;"!$AA$4"),0),FALSE))</f>
        <v>0</v>
      </c>
      <c r="Z80" s="90">
        <f ca="1">IF(ISERROR(VLOOKUP($K80,OFFSET(INDIRECT(""&amp;$S$29&amp;"!$A$4"),0,0,200,100),MATCH(Z$30,INDIRECT(""&amp;$S$29&amp;"!$A$4"):INDIRECT(""&amp;$S$29&amp;"!$AA$4"),0),FALSE)),"",VLOOKUP($K80,OFFSET(INDIRECT(""&amp;$S$29&amp;"!$A$4"),0,0,200,100),MATCH(Z$30,INDIRECT(""&amp;$S$29&amp;"!$A$4"):INDIRECT(""&amp;$S$29&amp;"!$AA$4"),0),FALSE))</f>
        <v>0</v>
      </c>
      <c r="AA80" s="90">
        <f t="shared" ca="1" si="61"/>
        <v>0</v>
      </c>
      <c r="AB80" s="110"/>
      <c r="AC80" s="99">
        <f t="shared" ca="1" si="66"/>
        <v>0</v>
      </c>
      <c r="AD80" s="99">
        <f t="shared" ca="1" si="67"/>
        <v>0</v>
      </c>
      <c r="AE80" s="99">
        <f t="shared" ca="1" si="68"/>
        <v>0</v>
      </c>
      <c r="AF80" s="99">
        <f t="shared" ca="1" si="69"/>
        <v>0</v>
      </c>
      <c r="AG80" s="99">
        <f t="shared" ca="1" si="70"/>
        <v>0</v>
      </c>
      <c r="AH80" s="99">
        <f t="shared" ca="1" si="70"/>
        <v>0</v>
      </c>
      <c r="AI80" s="145"/>
      <c r="AJ80" s="99">
        <f t="shared" ca="1" si="71"/>
        <v>0</v>
      </c>
      <c r="AK80" s="99">
        <f t="shared" ca="1" si="72"/>
        <v>0</v>
      </c>
      <c r="AL80" s="99">
        <f t="shared" ca="1" si="73"/>
        <v>0</v>
      </c>
      <c r="AM80" s="99">
        <f t="shared" ca="1" si="74"/>
        <v>0</v>
      </c>
      <c r="AN80" s="99">
        <f t="shared" ca="1" si="75"/>
        <v>0</v>
      </c>
      <c r="AO80" s="99">
        <f t="shared" ca="1" si="76"/>
        <v>0</v>
      </c>
      <c r="AP80" s="99">
        <f t="shared" ca="1" si="76"/>
        <v>0</v>
      </c>
      <c r="AQ80" s="99">
        <f t="shared" ca="1" si="76"/>
        <v>0</v>
      </c>
      <c r="AR80" s="99">
        <f t="shared" ca="1" si="76"/>
        <v>0</v>
      </c>
      <c r="AS80" s="99">
        <f t="shared" ca="1" si="76"/>
        <v>0</v>
      </c>
      <c r="AT80" s="99">
        <f t="shared" ca="1" si="77"/>
        <v>0</v>
      </c>
      <c r="AU80" s="99">
        <f t="shared" ca="1" si="77"/>
        <v>0</v>
      </c>
      <c r="AV80" s="99">
        <f t="shared" ca="1" si="78"/>
        <v>0</v>
      </c>
    </row>
    <row r="81" spans="1:48" s="108" customFormat="1" ht="15.95" customHeight="1">
      <c r="A81" s="113" t="s">
        <v>276</v>
      </c>
      <c r="B81" s="111" t="s">
        <v>174</v>
      </c>
      <c r="C81" s="90">
        <f ca="1">IF(ISERROR(VLOOKUP($B81,OFFSET(INDIRECT(""&amp;$B$29&amp;"!$A$4"),0,0,200,100),MATCH(C$30,INDIRECT(""&amp;$B$29&amp;"!$A$4"):INDIRECT(""&amp;$B$29&amp;"!$o$4"),0),FALSE)),"",VLOOKUP($B81,OFFSET(INDIRECT(""&amp;$B$29&amp;"!$A$4"),0,0,200,100),MATCH(C$30,INDIRECT(""&amp;$B$29&amp;"!$A$4"):INDIRECT(""&amp;$B$29&amp;"!$o$4"),0),FALSE))</f>
        <v>0</v>
      </c>
      <c r="D81" s="90">
        <f ca="1">IF(ISERROR(VLOOKUP($B81,OFFSET(INDIRECT(""&amp;$B$29&amp;"!$A$4"),0,0,200,100),MATCH(D$30,INDIRECT(""&amp;$B$29&amp;"!$A$4"):INDIRECT(""&amp;$B$29&amp;"!$o$4"),0),FALSE)),"",VLOOKUP($B81,OFFSET(INDIRECT(""&amp;$B$29&amp;"!$A$4"),0,0,200,100),MATCH(D$30,INDIRECT(""&amp;$B$29&amp;"!$A$4"):INDIRECT(""&amp;$B$29&amp;"!$o$4"),0),FALSE))</f>
        <v>0</v>
      </c>
      <c r="E81" s="90">
        <f ca="1">IF(ISERROR(VLOOKUP($B81,OFFSET(INDIRECT(""&amp;$B$29&amp;"!$A$4"),0,0,200,100),MATCH(E$30,INDIRECT(""&amp;$B$29&amp;"!$A$4"):INDIRECT(""&amp;$B$29&amp;"!$o$4"),0),FALSE)),"",VLOOKUP($B81,OFFSET(INDIRECT(""&amp;$B$29&amp;"!$A$4"),0,0,200,100),MATCH(E$30,INDIRECT(""&amp;$B$29&amp;"!$A$4"):INDIRECT(""&amp;$B$29&amp;"!$o$4"),0),FALSE))</f>
        <v>0</v>
      </c>
      <c r="F81" s="90">
        <f ca="1">IF(ISERROR(VLOOKUP($B81,OFFSET(INDIRECT(""&amp;$B$29&amp;"!$A$4"),0,0,200,100),MATCH(F$30,INDIRECT(""&amp;$B$29&amp;"!$A$4"):INDIRECT(""&amp;$B$29&amp;"!$o$4"),0),FALSE)),"",VLOOKUP($B81,OFFSET(INDIRECT(""&amp;$B$29&amp;"!$A$4"),0,0,200,100),MATCH(F$30,INDIRECT(""&amp;$B$29&amp;"!$A$4"):INDIRECT(""&amp;$B$29&amp;"!$o$4"),0),FALSE))</f>
        <v>0</v>
      </c>
      <c r="G81" s="90">
        <f ca="1">IF(ISERROR(VLOOKUP($B81,OFFSET(INDIRECT(""&amp;$B$29&amp;"!$A$4"),0,0,200,100),MATCH(G$30,INDIRECT(""&amp;$B$29&amp;"!$A$4"):INDIRECT(""&amp;$B$29&amp;"!$o$4"),0),FALSE)),"",VLOOKUP($B81,OFFSET(INDIRECT(""&amp;$B$29&amp;"!$A$4"),0,0,200,100),MATCH(G$30,INDIRECT(""&amp;$B$29&amp;"!$A$4"):INDIRECT(""&amp;$B$29&amp;"!$o$4"),0),FALSE))</f>
        <v>0</v>
      </c>
      <c r="H81" s="90">
        <f ca="1">IF(ISERROR(VLOOKUP($B81,OFFSET(INDIRECT(""&amp;$B$29&amp;"!$A$4"),0,0,200,100),MATCH(H$30,INDIRECT(""&amp;$B$29&amp;"!$A$4"):INDIRECT(""&amp;$B$29&amp;"!$o$4"),0),FALSE)),"",VLOOKUP($B81,OFFSET(INDIRECT(""&amp;$B$29&amp;"!$A$4"),0,0,200,100),MATCH(H$30,INDIRECT(""&amp;$B$29&amp;"!$A$4"):INDIRECT(""&amp;$B$29&amp;"!$o$4"),0),FALSE))</f>
        <v>0</v>
      </c>
      <c r="I81" s="90">
        <f ca="1">IF(ISERROR(VLOOKUP($B81,OFFSET(INDIRECT(""&amp;$B$29&amp;"!$A$4"),0,0,200,100),MATCH(I$30,INDIRECT(""&amp;$B$29&amp;"!$A$4"):INDIRECT(""&amp;$B$29&amp;"!$o$4"),0),FALSE)),"",VLOOKUP($B81,OFFSET(INDIRECT(""&amp;$B$29&amp;"!$A$4"),0,0,200,100),MATCH(I$30,INDIRECT(""&amp;$B$29&amp;"!$A$4"):INDIRECT(""&amp;$B$29&amp;"!$o$4"),0),FALSE))</f>
        <v>0</v>
      </c>
      <c r="J81" s="90">
        <f ca="1">IF(ISERROR(VLOOKUP($B81,OFFSET(INDIRECT(""&amp;$B$29&amp;"!$A$4"),0,0,200,100),MATCH(J$30,INDIRECT(""&amp;$B$29&amp;"!$A$4"):INDIRECT(""&amp;$B$29&amp;"!$o$4"),0),FALSE)),"",VLOOKUP($B81,OFFSET(INDIRECT(""&amp;$B$29&amp;"!$A$4"),0,0,200,100),MATCH(J$30,INDIRECT(""&amp;$B$29&amp;"!$A$4"):INDIRECT(""&amp;$B$29&amp;"!$o$4"),0),FALSE))</f>
        <v>0</v>
      </c>
      <c r="K81" s="109" t="s">
        <v>174</v>
      </c>
      <c r="L81" s="90">
        <f ca="1">IF(ISERROR(VLOOKUP($K81,OFFSET(INDIRECT(""&amp;$S$29&amp;"!$A$4"),0,0,200,100),MATCH(L$30,INDIRECT(""&amp;$S$29&amp;"!$A$4"):INDIRECT(""&amp;$S$29&amp;"!$AA$4"),0),FALSE)),"",VLOOKUP($K81,OFFSET(INDIRECT(""&amp;$S$29&amp;"!$A$4"),0,0,200,100),MATCH(L$30,INDIRECT(""&amp;$S$29&amp;"!$A$4"):INDIRECT(""&amp;$S$29&amp;"!$AA$4"),0),FALSE))</f>
        <v>0</v>
      </c>
      <c r="M81" s="90">
        <f ca="1">IF(ISERROR(VLOOKUP($K81,OFFSET(INDIRECT(""&amp;$S$29&amp;"!$A$4"),0,0,200,100),MATCH(M$30,INDIRECT(""&amp;$S$29&amp;"!$A$4"):INDIRECT(""&amp;$S$29&amp;"!$AA$4"),0),FALSE)),"",VLOOKUP($K81,OFFSET(INDIRECT(""&amp;$S$29&amp;"!$A$4"),0,0,200,100),MATCH(M$30,INDIRECT(""&amp;$S$29&amp;"!$A$4"):INDIRECT(""&amp;$S$29&amp;"!$AA$4"),0),FALSE))</f>
        <v>0</v>
      </c>
      <c r="N81" s="90">
        <f ca="1">IF(ISERROR(VLOOKUP($K81,OFFSET(INDIRECT(""&amp;$S$29&amp;"!$A$4"),0,0,200,100),MATCH(N$30,INDIRECT(""&amp;$S$29&amp;"!$A$4"):INDIRECT(""&amp;$S$29&amp;"!$AA$4"),0),FALSE)),"",VLOOKUP($K81,OFFSET(INDIRECT(""&amp;$S$29&amp;"!$A$4"),0,0,200,100),MATCH(N$30,INDIRECT(""&amp;$S$29&amp;"!$A$4"):INDIRECT(""&amp;$S$29&amp;"!$AA$4"),0),FALSE))</f>
        <v>0</v>
      </c>
      <c r="O81" s="90">
        <f ca="1">IF(ISERROR(VLOOKUP($K81,OFFSET(INDIRECT(""&amp;$S$29&amp;"!$A$4"),0,0,200,100),MATCH(O$30,INDIRECT(""&amp;$S$29&amp;"!$A$4"):INDIRECT(""&amp;$S$29&amp;"!$AA$4"),0),FALSE)),"",VLOOKUP($K81,OFFSET(INDIRECT(""&amp;$S$29&amp;"!$A$4"),0,0,200,100),MATCH(O$30,INDIRECT(""&amp;$S$29&amp;"!$A$4"):INDIRECT(""&amp;$S$29&amp;"!$AA$4"),0),FALSE))</f>
        <v>0</v>
      </c>
      <c r="P81" s="90">
        <f ca="1">IF(ISERROR(VLOOKUP($K81,OFFSET(INDIRECT(""&amp;$S$29&amp;"!$A$4"),0,0,200,100),MATCH(P$30,INDIRECT(""&amp;$S$29&amp;"!$A$4"):INDIRECT(""&amp;$S$29&amp;"!$AA$4"),0),FALSE)),"",VLOOKUP($K81,OFFSET(INDIRECT(""&amp;$S$29&amp;"!$A$4"),0,0,200,100),MATCH(P$30,INDIRECT(""&amp;$S$29&amp;"!$A$4"):INDIRECT(""&amp;$S$29&amp;"!$AA$4"),0),FALSE))</f>
        <v>0</v>
      </c>
      <c r="Q81" s="90">
        <f ca="1">IF(ISERROR(VLOOKUP($K81,OFFSET(INDIRECT(""&amp;$S$29&amp;"!$A$4"),0,0,200,100),MATCH(Q$30,INDIRECT(""&amp;$S$29&amp;"!$A$4"):INDIRECT(""&amp;$S$29&amp;"!$AA$4"),0),FALSE)),"",VLOOKUP($K81,OFFSET(INDIRECT(""&amp;$S$29&amp;"!$A$4"),0,0,200,100),MATCH(Q$30,INDIRECT(""&amp;$S$29&amp;"!$A$4"):INDIRECT(""&amp;$S$29&amp;"!$AA$4"),0),FALSE))</f>
        <v>0</v>
      </c>
      <c r="R81" s="90">
        <f ca="1">IF(ISERROR(VLOOKUP($K81,OFFSET(INDIRECT(""&amp;$S$29&amp;"!$A$4"),0,0,200,100),MATCH(R$30,INDIRECT(""&amp;$S$29&amp;"!$A$4"):INDIRECT(""&amp;$S$29&amp;"!$AA$4"),0),FALSE)),"",VLOOKUP($K81,OFFSET(INDIRECT(""&amp;$S$29&amp;"!$A$4"),0,0,200,100),MATCH(R$30,INDIRECT(""&amp;$S$29&amp;"!$A$4"):INDIRECT(""&amp;$S$29&amp;"!$AA$4"),0),FALSE))</f>
        <v>0</v>
      </c>
      <c r="S81" s="90">
        <f ca="1">IF(ISERROR(VLOOKUP($K81,OFFSET(INDIRECT(""&amp;$S$29&amp;"!$A$4"),0,0,200,100),MATCH(S$30,INDIRECT(""&amp;$S$29&amp;"!$A$4"):INDIRECT(""&amp;$S$29&amp;"!$AA$4"),0),FALSE)),"",VLOOKUP($K81,OFFSET(INDIRECT(""&amp;$S$29&amp;"!$A$4"),0,0,200,100),MATCH(S$30,INDIRECT(""&amp;$S$29&amp;"!$A$4"):INDIRECT(""&amp;$S$29&amp;"!$AA$4"),0),FALSE))</f>
        <v>0</v>
      </c>
      <c r="T81" s="90">
        <f ca="1">IF(ISERROR(VLOOKUP($K81,OFFSET(INDIRECT(""&amp;$S$29&amp;"!$A$4"),0,0,200,100),MATCH(T$30,INDIRECT(""&amp;$S$29&amp;"!$A$4"):INDIRECT(""&amp;$S$29&amp;"!$AA$4"),0),FALSE)),"",VLOOKUP($K81,OFFSET(INDIRECT(""&amp;$S$29&amp;"!$A$4"),0,0,200,100),MATCH(T$30,INDIRECT(""&amp;$S$29&amp;"!$A$4"):INDIRECT(""&amp;$S$29&amp;"!$AA$4"),0),FALSE))</f>
        <v>0</v>
      </c>
      <c r="U81" s="90">
        <f ca="1">IF(ISERROR(VLOOKUP($K81,OFFSET(INDIRECT(""&amp;$S$29&amp;"!$A$4"),0,0,200,100),MATCH(U$30,INDIRECT(""&amp;$S$29&amp;"!$A$4"):INDIRECT(""&amp;$S$29&amp;"!$AA$4"),0),FALSE)),"",VLOOKUP($K81,OFFSET(INDIRECT(""&amp;$S$29&amp;"!$A$4"),0,0,200,100),MATCH(U$30,INDIRECT(""&amp;$S$29&amp;"!$A$4"):INDIRECT(""&amp;$S$29&amp;"!$AA$4"),0),FALSE))</f>
        <v>0</v>
      </c>
      <c r="V81" s="90">
        <f ca="1">IF(ISERROR(VLOOKUP($K81,OFFSET(INDIRECT(""&amp;$S$29&amp;"!$A$4"),0,0,200,100),MATCH(V$30,INDIRECT(""&amp;$S$29&amp;"!$A$4"):INDIRECT(""&amp;$S$29&amp;"!$AA$4"),0),FALSE)),"",VLOOKUP($K81,OFFSET(INDIRECT(""&amp;$S$29&amp;"!$A$4"),0,0,200,100),MATCH(V$30,INDIRECT(""&amp;$S$29&amp;"!$A$4"):INDIRECT(""&amp;$S$29&amp;"!$AA$4"),0),FALSE))</f>
        <v>0</v>
      </c>
      <c r="W81" s="90">
        <f ca="1">IF(ISERROR(VLOOKUP($K81,OFFSET(INDIRECT(""&amp;$S$29&amp;"!$A$4"),0,0,200,100),MATCH(W$30,INDIRECT(""&amp;$S$29&amp;"!$A$4"):INDIRECT(""&amp;$S$29&amp;"!$AA$4"),0),FALSE)),"",VLOOKUP($K81,OFFSET(INDIRECT(""&amp;$S$29&amp;"!$A$4"),0,0,200,100),MATCH(W$30,INDIRECT(""&amp;$S$29&amp;"!$A$4"):INDIRECT(""&amp;$S$29&amp;"!$AA$4"),0),FALSE))</f>
        <v>0</v>
      </c>
      <c r="X81" s="90">
        <f ca="1">IF(ISERROR(VLOOKUP($K81,OFFSET(INDIRECT(""&amp;$S$29&amp;"!$A$4"),0,0,200,100),MATCH(X$30,INDIRECT(""&amp;$S$29&amp;"!$A$4"):INDIRECT(""&amp;$S$29&amp;"!$AA$4"),0),FALSE)),"",VLOOKUP($K81,OFFSET(INDIRECT(""&amp;$S$29&amp;"!$A$4"),0,0,200,100),MATCH(X$30,INDIRECT(""&amp;$S$29&amp;"!$A$4"):INDIRECT(""&amp;$S$29&amp;"!$AA$4"),0),FALSE))</f>
        <v>0</v>
      </c>
      <c r="Y81" s="90">
        <f ca="1">IF(ISERROR(VLOOKUP($K81,OFFSET(INDIRECT(""&amp;$S$29&amp;"!$A$4"),0,0,200,100),MATCH(Y$30,INDIRECT(""&amp;$S$29&amp;"!$A$4"):INDIRECT(""&amp;$S$29&amp;"!$AA$4"),0),FALSE)),"",VLOOKUP($K81,OFFSET(INDIRECT(""&amp;$S$29&amp;"!$A$4"),0,0,200,100),MATCH(Y$30,INDIRECT(""&amp;$S$29&amp;"!$A$4"):INDIRECT(""&amp;$S$29&amp;"!$AA$4"),0),FALSE))</f>
        <v>0</v>
      </c>
      <c r="Z81" s="90">
        <f ca="1">IF(ISERROR(VLOOKUP($K81,OFFSET(INDIRECT(""&amp;$S$29&amp;"!$A$4"),0,0,200,100),MATCH(Z$30,INDIRECT(""&amp;$S$29&amp;"!$A$4"):INDIRECT(""&amp;$S$29&amp;"!$AA$4"),0),FALSE)),"",VLOOKUP($K81,OFFSET(INDIRECT(""&amp;$S$29&amp;"!$A$4"),0,0,200,100),MATCH(Z$30,INDIRECT(""&amp;$S$29&amp;"!$A$4"):INDIRECT(""&amp;$S$29&amp;"!$AA$4"),0),FALSE))</f>
        <v>0</v>
      </c>
      <c r="AA81" s="90">
        <f t="shared" ca="1" si="61"/>
        <v>0</v>
      </c>
      <c r="AB81" s="110"/>
      <c r="AC81" s="99">
        <f t="shared" ca="1" si="66"/>
        <v>0</v>
      </c>
      <c r="AD81" s="99">
        <f t="shared" ca="1" si="67"/>
        <v>0</v>
      </c>
      <c r="AE81" s="99">
        <f t="shared" ca="1" si="68"/>
        <v>0</v>
      </c>
      <c r="AF81" s="99">
        <f t="shared" ca="1" si="69"/>
        <v>0</v>
      </c>
      <c r="AG81" s="99">
        <f t="shared" ca="1" si="70"/>
        <v>0</v>
      </c>
      <c r="AH81" s="99">
        <f t="shared" ca="1" si="70"/>
        <v>0</v>
      </c>
      <c r="AI81" s="145"/>
      <c r="AJ81" s="99">
        <f t="shared" ca="1" si="71"/>
        <v>0</v>
      </c>
      <c r="AK81" s="99">
        <f t="shared" ca="1" si="72"/>
        <v>0</v>
      </c>
      <c r="AL81" s="99">
        <f t="shared" ca="1" si="73"/>
        <v>0</v>
      </c>
      <c r="AM81" s="99">
        <f t="shared" ca="1" si="74"/>
        <v>0</v>
      </c>
      <c r="AN81" s="99">
        <f t="shared" ca="1" si="75"/>
        <v>0</v>
      </c>
      <c r="AO81" s="99">
        <f t="shared" ca="1" si="76"/>
        <v>0</v>
      </c>
      <c r="AP81" s="99">
        <f t="shared" ca="1" si="76"/>
        <v>0</v>
      </c>
      <c r="AQ81" s="99">
        <f t="shared" ca="1" si="76"/>
        <v>0</v>
      </c>
      <c r="AR81" s="99">
        <f t="shared" ca="1" si="76"/>
        <v>0</v>
      </c>
      <c r="AS81" s="99">
        <f t="shared" ca="1" si="76"/>
        <v>0</v>
      </c>
      <c r="AT81" s="99">
        <f t="shared" ca="1" si="77"/>
        <v>0</v>
      </c>
      <c r="AU81" s="99">
        <f t="shared" ca="1" si="77"/>
        <v>0</v>
      </c>
      <c r="AV81" s="99">
        <f t="shared" ca="1" si="78"/>
        <v>0</v>
      </c>
    </row>
    <row r="82" spans="1:48" s="108" customFormat="1" ht="15.95" customHeight="1">
      <c r="A82" s="113" t="s">
        <v>277</v>
      </c>
      <c r="B82" s="111" t="s">
        <v>175</v>
      </c>
      <c r="C82" s="90">
        <f ca="1">IF(ISERROR(VLOOKUP($B82,OFFSET(INDIRECT(""&amp;$B$29&amp;"!$A$4"),0,0,200,100),MATCH(C$30,INDIRECT(""&amp;$B$29&amp;"!$A$4"):INDIRECT(""&amp;$B$29&amp;"!$o$4"),0),FALSE)),"",VLOOKUP($B82,OFFSET(INDIRECT(""&amp;$B$29&amp;"!$A$4"),0,0,200,100),MATCH(C$30,INDIRECT(""&amp;$B$29&amp;"!$A$4"):INDIRECT(""&amp;$B$29&amp;"!$o$4"),0),FALSE))</f>
        <v>492.43045899999998</v>
      </c>
      <c r="D82" s="90">
        <f ca="1">IF(ISERROR(VLOOKUP($B82,OFFSET(INDIRECT(""&amp;$B$29&amp;"!$A$4"),0,0,200,100),MATCH(D$30,INDIRECT(""&amp;$B$29&amp;"!$A$4"):INDIRECT(""&amp;$B$29&amp;"!$o$4"),0),FALSE)),"",VLOOKUP($B82,OFFSET(INDIRECT(""&amp;$B$29&amp;"!$A$4"),0,0,200,100),MATCH(D$30,INDIRECT(""&amp;$B$29&amp;"!$A$4"):INDIRECT(""&amp;$B$29&amp;"!$o$4"),0),FALSE))</f>
        <v>639.52593999999999</v>
      </c>
      <c r="E82" s="90">
        <f ca="1">IF(ISERROR(VLOOKUP($B82,OFFSET(INDIRECT(""&amp;$B$29&amp;"!$A$4"),0,0,200,100),MATCH(E$30,INDIRECT(""&amp;$B$29&amp;"!$A$4"):INDIRECT(""&amp;$B$29&amp;"!$o$4"),0),FALSE)),"",VLOOKUP($B82,OFFSET(INDIRECT(""&amp;$B$29&amp;"!$A$4"),0,0,200,100),MATCH(E$30,INDIRECT(""&amp;$B$29&amp;"!$A$4"):INDIRECT(""&amp;$B$29&amp;"!$o$4"),0),FALSE))</f>
        <v>827.94952999999998</v>
      </c>
      <c r="F82" s="90">
        <f ca="1">IF(ISERROR(VLOOKUP($B82,OFFSET(INDIRECT(""&amp;$B$29&amp;"!$A$4"),0,0,200,100),MATCH(F$30,INDIRECT(""&amp;$B$29&amp;"!$A$4"):INDIRECT(""&amp;$B$29&amp;"!$o$4"),0),FALSE)),"",VLOOKUP($B82,OFFSET(INDIRECT(""&amp;$B$29&amp;"!$A$4"),0,0,200,100),MATCH(F$30,INDIRECT(""&amp;$B$29&amp;"!$A$4"):INDIRECT(""&amp;$B$29&amp;"!$o$4"),0),FALSE))</f>
        <v>912.31819099999996</v>
      </c>
      <c r="G82" s="90">
        <f ca="1">IF(ISERROR(VLOOKUP($B82,OFFSET(INDIRECT(""&amp;$B$29&amp;"!$A$4"),0,0,200,100),MATCH(G$30,INDIRECT(""&amp;$B$29&amp;"!$A$4"):INDIRECT(""&amp;$B$29&amp;"!$o$4"),0),FALSE)),"",VLOOKUP($B82,OFFSET(INDIRECT(""&amp;$B$29&amp;"!$A$4"),0,0,200,100),MATCH(G$30,INDIRECT(""&amp;$B$29&amp;"!$A$4"):INDIRECT(""&amp;$B$29&amp;"!$o$4"),0),FALSE))</f>
        <v>3325.8280220000001</v>
      </c>
      <c r="H82" s="90">
        <f ca="1">IF(ISERROR(VLOOKUP($B82,OFFSET(INDIRECT(""&amp;$B$29&amp;"!$A$4"),0,0,200,100),MATCH(H$30,INDIRECT(""&amp;$B$29&amp;"!$A$4"):INDIRECT(""&amp;$B$29&amp;"!$o$4"),0),FALSE)),"",VLOOKUP($B82,OFFSET(INDIRECT(""&amp;$B$29&amp;"!$A$4"),0,0,200,100),MATCH(H$30,INDIRECT(""&amp;$B$29&amp;"!$A$4"):INDIRECT(""&amp;$B$29&amp;"!$o$4"),0),FALSE))</f>
        <v>1477.288593</v>
      </c>
      <c r="I82" s="90">
        <f ca="1">IF(ISERROR(VLOOKUP($B82,OFFSET(INDIRECT(""&amp;$B$29&amp;"!$A$4"),0,0,200,100),MATCH(I$30,INDIRECT(""&amp;$B$29&amp;"!$A$4"):INDIRECT(""&amp;$B$29&amp;"!$o$4"),0),FALSE)),"",VLOOKUP($B82,OFFSET(INDIRECT(""&amp;$B$29&amp;"!$A$4"),0,0,200,100),MATCH(I$30,INDIRECT(""&amp;$B$29&amp;"!$A$4"):INDIRECT(""&amp;$B$29&amp;"!$o$4"),0),FALSE))</f>
        <v>1134.0043290000001</v>
      </c>
      <c r="J82" s="90">
        <f ca="1">IF(ISERROR(VLOOKUP($B82,OFFSET(INDIRECT(""&amp;$B$29&amp;"!$A$4"),0,0,200,100),MATCH(J$30,INDIRECT(""&amp;$B$29&amp;"!$A$4"):INDIRECT(""&amp;$B$29&amp;"!$o$4"),0),FALSE)),"",VLOOKUP($B82,OFFSET(INDIRECT(""&amp;$B$29&amp;"!$A$4"),0,0,200,100),MATCH(J$30,INDIRECT(""&amp;$B$29&amp;"!$A$4"):INDIRECT(""&amp;$B$29&amp;"!$o$4"),0),FALSE))</f>
        <v>1134.0043290000001</v>
      </c>
      <c r="K82" s="109" t="s">
        <v>175</v>
      </c>
      <c r="L82" s="90">
        <f ca="1">IF(ISERROR(VLOOKUP($K82,OFFSET(INDIRECT(""&amp;$S$29&amp;"!$A$4"),0,0,200,100),MATCH(L$30,INDIRECT(""&amp;$S$29&amp;"!$A$4"):INDIRECT(""&amp;$S$29&amp;"!$AA$4"),0),FALSE)),"",VLOOKUP($K82,OFFSET(INDIRECT(""&amp;$S$29&amp;"!$A$4"),0,0,200,100),MATCH(L$30,INDIRECT(""&amp;$S$29&amp;"!$A$4"):INDIRECT(""&amp;$S$29&amp;"!$AA$4"),0),FALSE))</f>
        <v>3928.2409090000001</v>
      </c>
      <c r="M82" s="90">
        <f ca="1">IF(ISERROR(VLOOKUP($K82,OFFSET(INDIRECT(""&amp;$S$29&amp;"!$A$4"),0,0,200,100),MATCH(M$30,INDIRECT(""&amp;$S$29&amp;"!$A$4"):INDIRECT(""&amp;$S$29&amp;"!$AA$4"),0),FALSE)),"",VLOOKUP($K82,OFFSET(INDIRECT(""&amp;$S$29&amp;"!$A$4"),0,0,200,100),MATCH(M$30,INDIRECT(""&amp;$S$29&amp;"!$A$4"):INDIRECT(""&amp;$S$29&amp;"!$AA$4"),0),FALSE))</f>
        <v>22620.340034000001</v>
      </c>
      <c r="N82" s="90">
        <f ca="1">IF(ISERROR(VLOOKUP($K82,OFFSET(INDIRECT(""&amp;$S$29&amp;"!$A$4"),0,0,200,100),MATCH(N$30,INDIRECT(""&amp;$S$29&amp;"!$A$4"):INDIRECT(""&amp;$S$29&amp;"!$AA$4"),0),FALSE)),"",VLOOKUP($K82,OFFSET(INDIRECT(""&amp;$S$29&amp;"!$A$4"),0,0,200,100),MATCH(N$30,INDIRECT(""&amp;$S$29&amp;"!$A$4"):INDIRECT(""&amp;$S$29&amp;"!$AA$4"),0),FALSE))</f>
        <v>1350.0272030000001</v>
      </c>
      <c r="O82" s="90">
        <f ca="1">IF(ISERROR(VLOOKUP($K82,OFFSET(INDIRECT(""&amp;$S$29&amp;"!$A$4"),0,0,200,100),MATCH(O$30,INDIRECT(""&amp;$S$29&amp;"!$A$4"):INDIRECT(""&amp;$S$29&amp;"!$AA$4"),0),FALSE)),"",VLOOKUP($K82,OFFSET(INDIRECT(""&amp;$S$29&amp;"!$A$4"),0,0,200,100),MATCH(O$30,INDIRECT(""&amp;$S$29&amp;"!$A$4"):INDIRECT(""&amp;$S$29&amp;"!$AA$4"),0),FALSE))</f>
        <v>912.31819099999996</v>
      </c>
      <c r="P82" s="90">
        <f ca="1">IF(ISERROR(VLOOKUP($K82,OFFSET(INDIRECT(""&amp;$S$29&amp;"!$A$4"),0,0,200,100),MATCH(P$30,INDIRECT(""&amp;$S$29&amp;"!$A$4"):INDIRECT(""&amp;$S$29&amp;"!$AA$4"),0),FALSE)),"",VLOOKUP($K82,OFFSET(INDIRECT(""&amp;$S$29&amp;"!$A$4"),0,0,200,100),MATCH(P$30,INDIRECT(""&amp;$S$29&amp;"!$A$4"):INDIRECT(""&amp;$S$29&amp;"!$AA$4"),0),FALSE))</f>
        <v>1047.93533</v>
      </c>
      <c r="Q82" s="90">
        <f ca="1">IF(ISERROR(VLOOKUP($K82,OFFSET(INDIRECT(""&amp;$S$29&amp;"!$A$4"),0,0,200,100),MATCH(Q$30,INDIRECT(""&amp;$S$29&amp;"!$A$4"):INDIRECT(""&amp;$S$29&amp;"!$AA$4"),0),FALSE)),"",VLOOKUP($K82,OFFSET(INDIRECT(""&amp;$S$29&amp;"!$A$4"),0,0,200,100),MATCH(Q$30,INDIRECT(""&amp;$S$29&amp;"!$A$4"):INDIRECT(""&amp;$S$29&amp;"!$AA$4"),0),FALSE))</f>
        <v>19852.642312</v>
      </c>
      <c r="R82" s="90">
        <f ca="1">IF(ISERROR(VLOOKUP($K82,OFFSET(INDIRECT(""&amp;$S$29&amp;"!$A$4"),0,0,200,100),MATCH(R$30,INDIRECT(""&amp;$S$29&amp;"!$A$4"):INDIRECT(""&amp;$S$29&amp;"!$AA$4"),0),FALSE)),"",VLOOKUP($K82,OFFSET(INDIRECT(""&amp;$S$29&amp;"!$A$4"),0,0,200,100),MATCH(R$30,INDIRECT(""&amp;$S$29&amp;"!$A$4"):INDIRECT(""&amp;$S$29&amp;"!$AA$4"),0),FALSE))</f>
        <v>4732.5126250000003</v>
      </c>
      <c r="S82" s="90">
        <f ca="1">IF(ISERROR(VLOOKUP($K82,OFFSET(INDIRECT(""&amp;$S$29&amp;"!$A$4"),0,0,200,100),MATCH(S$30,INDIRECT(""&amp;$S$29&amp;"!$A$4"):INDIRECT(""&amp;$S$29&amp;"!$AA$4"),0),FALSE)),"",VLOOKUP($K82,OFFSET(INDIRECT(""&amp;$S$29&amp;"!$A$4"),0,0,200,100),MATCH(S$30,INDIRECT(""&amp;$S$29&amp;"!$A$4"):INDIRECT(""&amp;$S$29&amp;"!$AA$4"),0),FALSE))</f>
        <v>3325.8280220000001</v>
      </c>
      <c r="T82" s="90">
        <f ca="1">IF(ISERROR(VLOOKUP($K82,OFFSET(INDIRECT(""&amp;$S$29&amp;"!$A$4"),0,0,200,100),MATCH(T$30,INDIRECT(""&amp;$S$29&amp;"!$A$4"):INDIRECT(""&amp;$S$29&amp;"!$AA$4"),0),FALSE)),"",VLOOKUP($K82,OFFSET(INDIRECT(""&amp;$S$29&amp;"!$A$4"),0,0,200,100),MATCH(T$30,INDIRECT(""&amp;$S$29&amp;"!$A$4"):INDIRECT(""&amp;$S$29&amp;"!$AA$4"),0),FALSE))</f>
        <v>3263.057139</v>
      </c>
      <c r="U82" s="90">
        <f ca="1">IF(ISERROR(VLOOKUP($K82,OFFSET(INDIRECT(""&amp;$S$29&amp;"!$A$4"),0,0,200,100),MATCH(U$30,INDIRECT(""&amp;$S$29&amp;"!$A$4"):INDIRECT(""&amp;$S$29&amp;"!$AA$4"),0),FALSE)),"",VLOOKUP($K82,OFFSET(INDIRECT(""&amp;$S$29&amp;"!$A$4"),0,0,200,100),MATCH(U$30,INDIRECT(""&amp;$S$29&amp;"!$A$4"):INDIRECT(""&amp;$S$29&amp;"!$AA$4"),0),FALSE))</f>
        <v>3295.568096</v>
      </c>
      <c r="V82" s="90">
        <f ca="1">IF(ISERROR(VLOOKUP($K82,OFFSET(INDIRECT(""&amp;$S$29&amp;"!$A$4"),0,0,200,100),MATCH(V$30,INDIRECT(""&amp;$S$29&amp;"!$A$4"):INDIRECT(""&amp;$S$29&amp;"!$AA$4"),0),FALSE)),"",VLOOKUP($K82,OFFSET(INDIRECT(""&amp;$S$29&amp;"!$A$4"),0,0,200,100),MATCH(V$30,INDIRECT(""&amp;$S$29&amp;"!$A$4"):INDIRECT(""&amp;$S$29&amp;"!$AA$4"),0),FALSE))</f>
        <v>1615.0199709999999</v>
      </c>
      <c r="W82" s="90">
        <f ca="1">IF(ISERROR(VLOOKUP($K82,OFFSET(INDIRECT(""&amp;$S$29&amp;"!$A$4"),0,0,200,100),MATCH(W$30,INDIRECT(""&amp;$S$29&amp;"!$A$4"):INDIRECT(""&amp;$S$29&amp;"!$AA$4"),0),FALSE)),"",VLOOKUP($K82,OFFSET(INDIRECT(""&amp;$S$29&amp;"!$A$4"),0,0,200,100),MATCH(W$30,INDIRECT(""&amp;$S$29&amp;"!$A$4"):INDIRECT(""&amp;$S$29&amp;"!$AA$4"),0),FALSE))</f>
        <v>1516.686749</v>
      </c>
      <c r="X82" s="90">
        <f ca="1">IF(ISERROR(VLOOKUP($K82,OFFSET(INDIRECT(""&amp;$S$29&amp;"!$A$4"),0,0,200,100),MATCH(X$30,INDIRECT(""&amp;$S$29&amp;"!$A$4"):INDIRECT(""&amp;$S$29&amp;"!$AA$4"),0),FALSE)),"",VLOOKUP($K82,OFFSET(INDIRECT(""&amp;$S$29&amp;"!$A$4"),0,0,200,100),MATCH(X$30,INDIRECT(""&amp;$S$29&amp;"!$A$4"):INDIRECT(""&amp;$S$29&amp;"!$AA$4"),0),FALSE))</f>
        <v>1432.575926</v>
      </c>
      <c r="Y82" s="90">
        <f ca="1">IF(ISERROR(VLOOKUP($K82,OFFSET(INDIRECT(""&amp;$S$29&amp;"!$A$4"),0,0,200,100),MATCH(Y$30,INDIRECT(""&amp;$S$29&amp;"!$A$4"):INDIRECT(""&amp;$S$29&amp;"!$AA$4"),0),FALSE)),"",VLOOKUP($K82,OFFSET(INDIRECT(""&amp;$S$29&amp;"!$A$4"),0,0,200,100),MATCH(Y$30,INDIRECT(""&amp;$S$29&amp;"!$A$4"):INDIRECT(""&amp;$S$29&amp;"!$AA$4"),0),FALSE))</f>
        <v>1958.657508</v>
      </c>
      <c r="Z82" s="90">
        <f ca="1">IF(ISERROR(VLOOKUP($K82,OFFSET(INDIRECT(""&amp;$S$29&amp;"!$A$4"),0,0,200,100),MATCH(Z$30,INDIRECT(""&amp;$S$29&amp;"!$A$4"):INDIRECT(""&amp;$S$29&amp;"!$AA$4"),0),FALSE)),"",VLOOKUP($K82,OFFSET(INDIRECT(""&amp;$S$29&amp;"!$A$4"),0,0,200,100),MATCH(Z$30,INDIRECT(""&amp;$S$29&amp;"!$A$4"):INDIRECT(""&amp;$S$29&amp;"!$AA$4"),0),FALSE))</f>
        <v>1654.1303909999999</v>
      </c>
      <c r="AA82" s="90">
        <f t="shared" ca="1" si="61"/>
        <v>1958.657508</v>
      </c>
      <c r="AB82" s="110"/>
      <c r="AC82" s="99">
        <f t="shared" ca="1" si="66"/>
        <v>2.3734756589272985E-3</v>
      </c>
      <c r="AD82" s="99">
        <f t="shared" ca="1" si="67"/>
        <v>2.419478830810221E-3</v>
      </c>
      <c r="AE82" s="99">
        <f t="shared" ca="1" si="68"/>
        <v>8.7144758762267502E-3</v>
      </c>
      <c r="AF82" s="99">
        <f t="shared" ca="1" si="69"/>
        <v>4.034186928068461E-3</v>
      </c>
      <c r="AG82" s="99">
        <f t="shared" ca="1" si="70"/>
        <v>3.3273761315680541E-3</v>
      </c>
      <c r="AH82" s="99">
        <f t="shared" ca="1" si="70"/>
        <v>3.3273761315680541E-3</v>
      </c>
      <c r="AI82" s="145"/>
      <c r="AJ82" s="99">
        <f t="shared" ca="1" si="71"/>
        <v>2.3285630822402195E-3</v>
      </c>
      <c r="AK82" s="99">
        <f t="shared" ca="1" si="72"/>
        <v>2.6947542167955084E-3</v>
      </c>
      <c r="AL82" s="99">
        <f t="shared" ca="1" si="73"/>
        <v>4.7983349808636507E-2</v>
      </c>
      <c r="AM82" s="99">
        <f t="shared" ca="1" si="74"/>
        <v>1.1909046254222065E-2</v>
      </c>
      <c r="AN82" s="99">
        <f t="shared" ca="1" si="75"/>
        <v>8.252381160442834E-3</v>
      </c>
      <c r="AO82" s="99">
        <f t="shared" ca="1" si="76"/>
        <v>8.6028420282891413E-3</v>
      </c>
      <c r="AP82" s="99">
        <f t="shared" ca="1" si="76"/>
        <v>8.9408278912282754E-3</v>
      </c>
      <c r="AQ82" s="99">
        <f t="shared" ca="1" si="76"/>
        <v>4.4735721792135965E-3</v>
      </c>
      <c r="AR82" s="99">
        <f t="shared" ca="1" si="76"/>
        <v>4.1345636627020052E-3</v>
      </c>
      <c r="AS82" s="99">
        <f t="shared" ca="1" si="76"/>
        <v>3.8852314259102058E-3</v>
      </c>
      <c r="AT82" s="99">
        <f t="shared" ca="1" si="77"/>
        <v>5.7909681685018701E-3</v>
      </c>
      <c r="AU82" s="99">
        <f t="shared" ca="1" si="77"/>
        <v>4.9116777889639486E-3</v>
      </c>
      <c r="AV82" s="99">
        <f t="shared" ca="1" si="78"/>
        <v>5.7909681685018701E-3</v>
      </c>
    </row>
    <row r="83" spans="1:48" s="108" customFormat="1" ht="15.95" customHeight="1">
      <c r="A83" s="113" t="s">
        <v>278</v>
      </c>
      <c r="B83" s="111" t="s">
        <v>176</v>
      </c>
      <c r="C83" s="90">
        <f ca="1">IF(ISERROR(VLOOKUP($B83,OFFSET(INDIRECT(""&amp;$B$29&amp;"!$A$4"),0,0,200,100),MATCH(C$30,INDIRECT(""&amp;$B$29&amp;"!$A$4"):INDIRECT(""&amp;$B$29&amp;"!$o$4"),0),FALSE)),"",VLOOKUP($B83,OFFSET(INDIRECT(""&amp;$B$29&amp;"!$A$4"),0,0,200,100),MATCH(C$30,INDIRECT(""&amp;$B$29&amp;"!$A$4"):INDIRECT(""&amp;$B$29&amp;"!$o$4"),0),FALSE))</f>
        <v>0</v>
      </c>
      <c r="D83" s="90">
        <f ca="1">IF(ISERROR(VLOOKUP($B83,OFFSET(INDIRECT(""&amp;$B$29&amp;"!$A$4"),0,0,200,100),MATCH(D$30,INDIRECT(""&amp;$B$29&amp;"!$A$4"):INDIRECT(""&amp;$B$29&amp;"!$o$4"),0),FALSE)),"",VLOOKUP($B83,OFFSET(INDIRECT(""&amp;$B$29&amp;"!$A$4"),0,0,200,100),MATCH(D$30,INDIRECT(""&amp;$B$29&amp;"!$A$4"):INDIRECT(""&amp;$B$29&amp;"!$o$4"),0),FALSE))</f>
        <v>0</v>
      </c>
      <c r="E83" s="90">
        <f ca="1">IF(ISERROR(VLOOKUP($B83,OFFSET(INDIRECT(""&amp;$B$29&amp;"!$A$4"),0,0,200,100),MATCH(E$30,INDIRECT(""&amp;$B$29&amp;"!$A$4"):INDIRECT(""&amp;$B$29&amp;"!$o$4"),0),FALSE)),"",VLOOKUP($B83,OFFSET(INDIRECT(""&amp;$B$29&amp;"!$A$4"),0,0,200,100),MATCH(E$30,INDIRECT(""&amp;$B$29&amp;"!$A$4"):INDIRECT(""&amp;$B$29&amp;"!$o$4"),0),FALSE))</f>
        <v>0</v>
      </c>
      <c r="F83" s="90">
        <f ca="1">IF(ISERROR(VLOOKUP($B83,OFFSET(INDIRECT(""&amp;$B$29&amp;"!$A$4"),0,0,200,100),MATCH(F$30,INDIRECT(""&amp;$B$29&amp;"!$A$4"):INDIRECT(""&amp;$B$29&amp;"!$o$4"),0),FALSE)),"",VLOOKUP($B83,OFFSET(INDIRECT(""&amp;$B$29&amp;"!$A$4"),0,0,200,100),MATCH(F$30,INDIRECT(""&amp;$B$29&amp;"!$A$4"):INDIRECT(""&amp;$B$29&amp;"!$o$4"),0),FALSE))</f>
        <v>0</v>
      </c>
      <c r="G83" s="90">
        <f ca="1">IF(ISERROR(VLOOKUP($B83,OFFSET(INDIRECT(""&amp;$B$29&amp;"!$A$4"),0,0,200,100),MATCH(G$30,INDIRECT(""&amp;$B$29&amp;"!$A$4"):INDIRECT(""&amp;$B$29&amp;"!$o$4"),0),FALSE)),"",VLOOKUP($B83,OFFSET(INDIRECT(""&amp;$B$29&amp;"!$A$4"),0,0,200,100),MATCH(G$30,INDIRECT(""&amp;$B$29&amp;"!$A$4"):INDIRECT(""&amp;$B$29&amp;"!$o$4"),0),FALSE))</f>
        <v>0</v>
      </c>
      <c r="H83" s="90">
        <f ca="1">IF(ISERROR(VLOOKUP($B83,OFFSET(INDIRECT(""&amp;$B$29&amp;"!$A$4"),0,0,200,100),MATCH(H$30,INDIRECT(""&amp;$B$29&amp;"!$A$4"):INDIRECT(""&amp;$B$29&amp;"!$o$4"),0),FALSE)),"",VLOOKUP($B83,OFFSET(INDIRECT(""&amp;$B$29&amp;"!$A$4"),0,0,200,100),MATCH(H$30,INDIRECT(""&amp;$B$29&amp;"!$A$4"):INDIRECT(""&amp;$B$29&amp;"!$o$4"),0),FALSE))</f>
        <v>0</v>
      </c>
      <c r="I83" s="90">
        <f ca="1">IF(ISERROR(VLOOKUP($B83,OFFSET(INDIRECT(""&amp;$B$29&amp;"!$A$4"),0,0,200,100),MATCH(I$30,INDIRECT(""&amp;$B$29&amp;"!$A$4"):INDIRECT(""&amp;$B$29&amp;"!$o$4"),0),FALSE)),"",VLOOKUP($B83,OFFSET(INDIRECT(""&amp;$B$29&amp;"!$A$4"),0,0,200,100),MATCH(I$30,INDIRECT(""&amp;$B$29&amp;"!$A$4"):INDIRECT(""&amp;$B$29&amp;"!$o$4"),0),FALSE))</f>
        <v>0</v>
      </c>
      <c r="J83" s="90">
        <f ca="1">IF(ISERROR(VLOOKUP($B83,OFFSET(INDIRECT(""&amp;$B$29&amp;"!$A$4"),0,0,200,100),MATCH(J$30,INDIRECT(""&amp;$B$29&amp;"!$A$4"):INDIRECT(""&amp;$B$29&amp;"!$o$4"),0),FALSE)),"",VLOOKUP($B83,OFFSET(INDIRECT(""&amp;$B$29&amp;"!$A$4"),0,0,200,100),MATCH(J$30,INDIRECT(""&amp;$B$29&amp;"!$A$4"):INDIRECT(""&amp;$B$29&amp;"!$o$4"),0),FALSE))</f>
        <v>0</v>
      </c>
      <c r="K83" s="109" t="s">
        <v>176</v>
      </c>
      <c r="L83" s="90">
        <f ca="1">IF(ISERROR(VLOOKUP($K83,OFFSET(INDIRECT(""&amp;$S$29&amp;"!$A$4"),0,0,200,100),MATCH(L$30,INDIRECT(""&amp;$S$29&amp;"!$A$4"):INDIRECT(""&amp;$S$29&amp;"!$AA$4"),0),FALSE)),"",VLOOKUP($K83,OFFSET(INDIRECT(""&amp;$S$29&amp;"!$A$4"),0,0,200,100),MATCH(L$30,INDIRECT(""&amp;$S$29&amp;"!$A$4"):INDIRECT(""&amp;$S$29&amp;"!$AA$4"),0),FALSE))</f>
        <v>-5065.1430659999996</v>
      </c>
      <c r="M83" s="90">
        <f ca="1">IF(ISERROR(VLOOKUP($K83,OFFSET(INDIRECT(""&amp;$S$29&amp;"!$A$4"),0,0,200,100),MATCH(M$30,INDIRECT(""&amp;$S$29&amp;"!$A$4"):INDIRECT(""&amp;$S$29&amp;"!$AA$4"),0),FALSE)),"",VLOOKUP($K83,OFFSET(INDIRECT(""&amp;$S$29&amp;"!$A$4"),0,0,200,100),MATCH(M$30,INDIRECT(""&amp;$S$29&amp;"!$A$4"):INDIRECT(""&amp;$S$29&amp;"!$AA$4"),0),FALSE))</f>
        <v>0</v>
      </c>
      <c r="N83" s="90">
        <f ca="1">IF(ISERROR(VLOOKUP($K83,OFFSET(INDIRECT(""&amp;$S$29&amp;"!$A$4"),0,0,200,100),MATCH(N$30,INDIRECT(""&amp;$S$29&amp;"!$A$4"):INDIRECT(""&amp;$S$29&amp;"!$AA$4"),0),FALSE)),"",VLOOKUP($K83,OFFSET(INDIRECT(""&amp;$S$29&amp;"!$A$4"),0,0,200,100),MATCH(N$30,INDIRECT(""&amp;$S$29&amp;"!$A$4"):INDIRECT(""&amp;$S$29&amp;"!$AA$4"),0),FALSE))</f>
        <v>0</v>
      </c>
      <c r="O83" s="90">
        <f ca="1">IF(ISERROR(VLOOKUP($K83,OFFSET(INDIRECT(""&amp;$S$29&amp;"!$A$4"),0,0,200,100),MATCH(O$30,INDIRECT(""&amp;$S$29&amp;"!$A$4"):INDIRECT(""&amp;$S$29&amp;"!$AA$4"),0),FALSE)),"",VLOOKUP($K83,OFFSET(INDIRECT(""&amp;$S$29&amp;"!$A$4"),0,0,200,100),MATCH(O$30,INDIRECT(""&amp;$S$29&amp;"!$A$4"):INDIRECT(""&amp;$S$29&amp;"!$AA$4"),0),FALSE))</f>
        <v>0</v>
      </c>
      <c r="P83" s="90">
        <f ca="1">IF(ISERROR(VLOOKUP($K83,OFFSET(INDIRECT(""&amp;$S$29&amp;"!$A$4"),0,0,200,100),MATCH(P$30,INDIRECT(""&amp;$S$29&amp;"!$A$4"):INDIRECT(""&amp;$S$29&amp;"!$AA$4"),0),FALSE)),"",VLOOKUP($K83,OFFSET(INDIRECT(""&amp;$S$29&amp;"!$A$4"),0,0,200,100),MATCH(P$30,INDIRECT(""&amp;$S$29&amp;"!$A$4"):INDIRECT(""&amp;$S$29&amp;"!$AA$4"),0),FALSE))</f>
        <v>0</v>
      </c>
      <c r="Q83" s="90">
        <f ca="1">IF(ISERROR(VLOOKUP($K83,OFFSET(INDIRECT(""&amp;$S$29&amp;"!$A$4"),0,0,200,100),MATCH(Q$30,INDIRECT(""&amp;$S$29&amp;"!$A$4"):INDIRECT(""&amp;$S$29&amp;"!$AA$4"),0),FALSE)),"",VLOOKUP($K83,OFFSET(INDIRECT(""&amp;$S$29&amp;"!$A$4"),0,0,200,100),MATCH(Q$30,INDIRECT(""&amp;$S$29&amp;"!$A$4"):INDIRECT(""&amp;$S$29&amp;"!$AA$4"),0),FALSE))</f>
        <v>0</v>
      </c>
      <c r="R83" s="90">
        <f ca="1">IF(ISERROR(VLOOKUP($K83,OFFSET(INDIRECT(""&amp;$S$29&amp;"!$A$4"),0,0,200,100),MATCH(R$30,INDIRECT(""&amp;$S$29&amp;"!$A$4"):INDIRECT(""&amp;$S$29&amp;"!$AA$4"),0),FALSE)),"",VLOOKUP($K83,OFFSET(INDIRECT(""&amp;$S$29&amp;"!$A$4"),0,0,200,100),MATCH(R$30,INDIRECT(""&amp;$S$29&amp;"!$A$4"):INDIRECT(""&amp;$S$29&amp;"!$AA$4"),0),FALSE))</f>
        <v>0</v>
      </c>
      <c r="S83" s="90">
        <f ca="1">IF(ISERROR(VLOOKUP($K83,OFFSET(INDIRECT(""&amp;$S$29&amp;"!$A$4"),0,0,200,100),MATCH(S$30,INDIRECT(""&amp;$S$29&amp;"!$A$4"):INDIRECT(""&amp;$S$29&amp;"!$AA$4"),0),FALSE)),"",VLOOKUP($K83,OFFSET(INDIRECT(""&amp;$S$29&amp;"!$A$4"),0,0,200,100),MATCH(S$30,INDIRECT(""&amp;$S$29&amp;"!$A$4"):INDIRECT(""&amp;$S$29&amp;"!$AA$4"),0),FALSE))</f>
        <v>0</v>
      </c>
      <c r="T83" s="90">
        <f ca="1">IF(ISERROR(VLOOKUP($K83,OFFSET(INDIRECT(""&amp;$S$29&amp;"!$A$4"),0,0,200,100),MATCH(T$30,INDIRECT(""&amp;$S$29&amp;"!$A$4"):INDIRECT(""&amp;$S$29&amp;"!$AA$4"),0),FALSE)),"",VLOOKUP($K83,OFFSET(INDIRECT(""&amp;$S$29&amp;"!$A$4"),0,0,200,100),MATCH(T$30,INDIRECT(""&amp;$S$29&amp;"!$A$4"):INDIRECT(""&amp;$S$29&amp;"!$AA$4"),0),FALSE))</f>
        <v>0</v>
      </c>
      <c r="U83" s="90">
        <f ca="1">IF(ISERROR(VLOOKUP($K83,OFFSET(INDIRECT(""&amp;$S$29&amp;"!$A$4"),0,0,200,100),MATCH(U$30,INDIRECT(""&amp;$S$29&amp;"!$A$4"):INDIRECT(""&amp;$S$29&amp;"!$AA$4"),0),FALSE)),"",VLOOKUP($K83,OFFSET(INDIRECT(""&amp;$S$29&amp;"!$A$4"),0,0,200,100),MATCH(U$30,INDIRECT(""&amp;$S$29&amp;"!$A$4"):INDIRECT(""&amp;$S$29&amp;"!$AA$4"),0),FALSE))</f>
        <v>0</v>
      </c>
      <c r="V83" s="90">
        <f ca="1">IF(ISERROR(VLOOKUP($K83,OFFSET(INDIRECT(""&amp;$S$29&amp;"!$A$4"),0,0,200,100),MATCH(V$30,INDIRECT(""&amp;$S$29&amp;"!$A$4"):INDIRECT(""&amp;$S$29&amp;"!$AA$4"),0),FALSE)),"",VLOOKUP($K83,OFFSET(INDIRECT(""&amp;$S$29&amp;"!$A$4"),0,0,200,100),MATCH(V$30,INDIRECT(""&amp;$S$29&amp;"!$A$4"):INDIRECT(""&amp;$S$29&amp;"!$AA$4"),0),FALSE))</f>
        <v>0</v>
      </c>
      <c r="W83" s="90">
        <f ca="1">IF(ISERROR(VLOOKUP($K83,OFFSET(INDIRECT(""&amp;$S$29&amp;"!$A$4"),0,0,200,100),MATCH(W$30,INDIRECT(""&amp;$S$29&amp;"!$A$4"):INDIRECT(""&amp;$S$29&amp;"!$AA$4"),0),FALSE)),"",VLOOKUP($K83,OFFSET(INDIRECT(""&amp;$S$29&amp;"!$A$4"),0,0,200,100),MATCH(W$30,INDIRECT(""&amp;$S$29&amp;"!$A$4"):INDIRECT(""&amp;$S$29&amp;"!$AA$4"),0),FALSE))</f>
        <v>0</v>
      </c>
      <c r="X83" s="90">
        <f ca="1">IF(ISERROR(VLOOKUP($K83,OFFSET(INDIRECT(""&amp;$S$29&amp;"!$A$4"),0,0,200,100),MATCH(X$30,INDIRECT(""&amp;$S$29&amp;"!$A$4"):INDIRECT(""&amp;$S$29&amp;"!$AA$4"),0),FALSE)),"",VLOOKUP($K83,OFFSET(INDIRECT(""&amp;$S$29&amp;"!$A$4"),0,0,200,100),MATCH(X$30,INDIRECT(""&amp;$S$29&amp;"!$A$4"):INDIRECT(""&amp;$S$29&amp;"!$AA$4"),0),FALSE))</f>
        <v>0</v>
      </c>
      <c r="Y83" s="90">
        <f ca="1">IF(ISERROR(VLOOKUP($K83,OFFSET(INDIRECT(""&amp;$S$29&amp;"!$A$4"),0,0,200,100),MATCH(Y$30,INDIRECT(""&amp;$S$29&amp;"!$A$4"):INDIRECT(""&amp;$S$29&amp;"!$AA$4"),0),FALSE)),"",VLOOKUP($K83,OFFSET(INDIRECT(""&amp;$S$29&amp;"!$A$4"),0,0,200,100),MATCH(Y$30,INDIRECT(""&amp;$S$29&amp;"!$A$4"):INDIRECT(""&amp;$S$29&amp;"!$AA$4"),0),FALSE))</f>
        <v>0</v>
      </c>
      <c r="Z83" s="90">
        <f ca="1">IF(ISERROR(VLOOKUP($K83,OFFSET(INDIRECT(""&amp;$S$29&amp;"!$A$4"),0,0,200,100),MATCH(Z$30,INDIRECT(""&amp;$S$29&amp;"!$A$4"):INDIRECT(""&amp;$S$29&amp;"!$AA$4"),0),FALSE)),"",VLOOKUP($K83,OFFSET(INDIRECT(""&amp;$S$29&amp;"!$A$4"),0,0,200,100),MATCH(Z$30,INDIRECT(""&amp;$S$29&amp;"!$A$4"):INDIRECT(""&amp;$S$29&amp;"!$AA$4"),0),FALSE))</f>
        <v>0</v>
      </c>
      <c r="AA83" s="90">
        <f t="shared" ca="1" si="61"/>
        <v>0</v>
      </c>
      <c r="AB83" s="110"/>
      <c r="AC83" s="99">
        <f t="shared" ca="1" si="66"/>
        <v>0</v>
      </c>
      <c r="AD83" s="99">
        <f t="shared" ca="1" si="67"/>
        <v>0</v>
      </c>
      <c r="AE83" s="99">
        <f t="shared" ca="1" si="68"/>
        <v>0</v>
      </c>
      <c r="AF83" s="99">
        <f t="shared" ca="1" si="69"/>
        <v>0</v>
      </c>
      <c r="AG83" s="99">
        <f t="shared" ca="1" si="70"/>
        <v>0</v>
      </c>
      <c r="AH83" s="99">
        <f t="shared" ca="1" si="70"/>
        <v>0</v>
      </c>
      <c r="AI83" s="145"/>
      <c r="AJ83" s="99">
        <f t="shared" ca="1" si="71"/>
        <v>0</v>
      </c>
      <c r="AK83" s="99">
        <f t="shared" ca="1" si="72"/>
        <v>0</v>
      </c>
      <c r="AL83" s="99">
        <f t="shared" ca="1" si="73"/>
        <v>0</v>
      </c>
      <c r="AM83" s="99">
        <f t="shared" ca="1" si="74"/>
        <v>0</v>
      </c>
      <c r="AN83" s="99">
        <f t="shared" ca="1" si="75"/>
        <v>0</v>
      </c>
      <c r="AO83" s="99">
        <f t="shared" ca="1" si="76"/>
        <v>0</v>
      </c>
      <c r="AP83" s="99">
        <f t="shared" ca="1" si="76"/>
        <v>0</v>
      </c>
      <c r="AQ83" s="99">
        <f t="shared" ca="1" si="76"/>
        <v>0</v>
      </c>
      <c r="AR83" s="99">
        <f t="shared" ca="1" si="76"/>
        <v>0</v>
      </c>
      <c r="AS83" s="99">
        <f t="shared" ca="1" si="76"/>
        <v>0</v>
      </c>
      <c r="AT83" s="99">
        <f t="shared" ca="1" si="77"/>
        <v>0</v>
      </c>
      <c r="AU83" s="99">
        <f t="shared" ca="1" si="77"/>
        <v>0</v>
      </c>
      <c r="AV83" s="99">
        <f t="shared" ca="1" si="78"/>
        <v>0</v>
      </c>
    </row>
    <row r="84" spans="1:48" s="112" customFormat="1" ht="15.95" customHeight="1">
      <c r="A84" s="85" t="s">
        <v>279</v>
      </c>
      <c r="B84" s="116" t="s">
        <v>177</v>
      </c>
      <c r="C84" s="76">
        <f ca="1">IF(ISERROR(VLOOKUP($B84,OFFSET(INDIRECT(""&amp;$B$29&amp;"!$A$4"),0,0,200,100),MATCH(C$30,INDIRECT(""&amp;$B$29&amp;"!$A$4"):INDIRECT(""&amp;$B$29&amp;"!$o$4"),0),FALSE)),"",VLOOKUP($B84,OFFSET(INDIRECT(""&amp;$B$29&amp;"!$A$4"),0,0,200,100),MATCH(C$30,INDIRECT(""&amp;$B$29&amp;"!$A$4"):INDIRECT(""&amp;$B$29&amp;"!$o$4"),0),FALSE))</f>
        <v>1635.671891</v>
      </c>
      <c r="D84" s="76">
        <f ca="1">IF(ISERROR(VLOOKUP($B84,OFFSET(INDIRECT(""&amp;$B$29&amp;"!$A$4"),0,0,200,100),MATCH(D$30,INDIRECT(""&amp;$B$29&amp;"!$A$4"):INDIRECT(""&amp;$B$29&amp;"!$o$4"),0),FALSE)),"",VLOOKUP($B84,OFFSET(INDIRECT(""&amp;$B$29&amp;"!$A$4"),0,0,200,100),MATCH(D$30,INDIRECT(""&amp;$B$29&amp;"!$A$4"):INDIRECT(""&amp;$B$29&amp;"!$o$4"),0),FALSE))</f>
        <v>1701.2458730000001</v>
      </c>
      <c r="E84" s="76">
        <f ca="1">IF(ISERROR(VLOOKUP($B84,OFFSET(INDIRECT(""&amp;$B$29&amp;"!$A$4"),0,0,200,100),MATCH(E$30,INDIRECT(""&amp;$B$29&amp;"!$A$4"):INDIRECT(""&amp;$B$29&amp;"!$o$4"),0),FALSE)),"",VLOOKUP($B84,OFFSET(INDIRECT(""&amp;$B$29&amp;"!$A$4"),0,0,200,100),MATCH(E$30,INDIRECT(""&amp;$B$29&amp;"!$A$4"):INDIRECT(""&amp;$B$29&amp;"!$o$4"),0),FALSE))</f>
        <v>1790.5766149999999</v>
      </c>
      <c r="F84" s="76">
        <f ca="1">IF(ISERROR(VLOOKUP($B84,OFFSET(INDIRECT(""&amp;$B$29&amp;"!$A$4"),0,0,200,100),MATCH(F$30,INDIRECT(""&amp;$B$29&amp;"!$A$4"):INDIRECT(""&amp;$B$29&amp;"!$o$4"),0),FALSE)),"",VLOOKUP($B84,OFFSET(INDIRECT(""&amp;$B$29&amp;"!$A$4"),0,0,200,100),MATCH(F$30,INDIRECT(""&amp;$B$29&amp;"!$A$4"):INDIRECT(""&amp;$B$29&amp;"!$o$4"),0),FALSE))</f>
        <v>1856.690126</v>
      </c>
      <c r="G84" s="76">
        <f ca="1">IF(ISERROR(VLOOKUP($B84,OFFSET(INDIRECT(""&amp;$B$29&amp;"!$A$4"),0,0,200,100),MATCH(G$30,INDIRECT(""&amp;$B$29&amp;"!$A$4"):INDIRECT(""&amp;$B$29&amp;"!$o$4"),0),FALSE)),"",VLOOKUP($B84,OFFSET(INDIRECT(""&amp;$B$29&amp;"!$A$4"),0,0,200,100),MATCH(G$30,INDIRECT(""&amp;$B$29&amp;"!$A$4"):INDIRECT(""&amp;$B$29&amp;"!$o$4"),0),FALSE))</f>
        <v>2006.8447759999999</v>
      </c>
      <c r="H84" s="76">
        <f ca="1">IF(ISERROR(VLOOKUP($B84,OFFSET(INDIRECT(""&amp;$B$29&amp;"!$A$4"),0,0,200,100),MATCH(H$30,INDIRECT(""&amp;$B$29&amp;"!$A$4"):INDIRECT(""&amp;$B$29&amp;"!$o$4"),0),FALSE)),"",VLOOKUP($B84,OFFSET(INDIRECT(""&amp;$B$29&amp;"!$A$4"),0,0,200,100),MATCH(H$30,INDIRECT(""&amp;$B$29&amp;"!$A$4"):INDIRECT(""&amp;$B$29&amp;"!$o$4"),0),FALSE))</f>
        <v>0</v>
      </c>
      <c r="I84" s="76">
        <f ca="1">IF(ISERROR(VLOOKUP($B84,OFFSET(INDIRECT(""&amp;$B$29&amp;"!$A$4"),0,0,200,100),MATCH(I$30,INDIRECT(""&amp;$B$29&amp;"!$A$4"):INDIRECT(""&amp;$B$29&amp;"!$o$4"),0),FALSE)),"",VLOOKUP($B84,OFFSET(INDIRECT(""&amp;$B$29&amp;"!$A$4"),0,0,200,100),MATCH(I$30,INDIRECT(""&amp;$B$29&amp;"!$A$4"):INDIRECT(""&amp;$B$29&amp;"!$o$4"),0),FALSE))</f>
        <v>0</v>
      </c>
      <c r="J84" s="76">
        <f ca="1">IF(ISERROR(VLOOKUP($B84,OFFSET(INDIRECT(""&amp;$B$29&amp;"!$A$4"),0,0,200,100),MATCH(J$30,INDIRECT(""&amp;$B$29&amp;"!$A$4"):INDIRECT(""&amp;$B$29&amp;"!$o$4"),0),FALSE)),"",VLOOKUP($B84,OFFSET(INDIRECT(""&amp;$B$29&amp;"!$A$4"),0,0,200,100),MATCH(J$30,INDIRECT(""&amp;$B$29&amp;"!$A$4"):INDIRECT(""&amp;$B$29&amp;"!$o$4"),0),FALSE))</f>
        <v>0</v>
      </c>
      <c r="K84" s="114" t="s">
        <v>177</v>
      </c>
      <c r="L84" s="76">
        <f ca="1">IF(ISERROR(VLOOKUP($K84,OFFSET(INDIRECT(""&amp;$S$29&amp;"!$A$4"),0,0,200,100),MATCH(L$30,INDIRECT(""&amp;$S$29&amp;"!$A$4"):INDIRECT(""&amp;$S$29&amp;"!$AA$4"),0),FALSE)),"",VLOOKUP($K84,OFFSET(INDIRECT(""&amp;$S$29&amp;"!$A$4"),0,0,200,100),MATCH(L$30,INDIRECT(""&amp;$S$29&amp;"!$A$4"):INDIRECT(""&amp;$S$29&amp;"!$AA$4"),0),FALSE))</f>
        <v>1761.89049</v>
      </c>
      <c r="M84" s="76">
        <f ca="1">IF(ISERROR(VLOOKUP($K84,OFFSET(INDIRECT(""&amp;$S$29&amp;"!$A$4"),0,0,200,100),MATCH(M$30,INDIRECT(""&amp;$S$29&amp;"!$A$4"):INDIRECT(""&amp;$S$29&amp;"!$AA$4"),0),FALSE)),"",VLOOKUP($K84,OFFSET(INDIRECT(""&amp;$S$29&amp;"!$A$4"),0,0,200,100),MATCH(M$30,INDIRECT(""&amp;$S$29&amp;"!$A$4"):INDIRECT(""&amp;$S$29&amp;"!$AA$4"),0),FALSE))</f>
        <v>1757.3790899999999</v>
      </c>
      <c r="N84" s="76">
        <f ca="1">IF(ISERROR(VLOOKUP($K84,OFFSET(INDIRECT(""&amp;$S$29&amp;"!$A$4"),0,0,200,100),MATCH(N$30,INDIRECT(""&amp;$S$29&amp;"!$A$4"):INDIRECT(""&amp;$S$29&amp;"!$AA$4"),0),FALSE)),"",VLOOKUP($K84,OFFSET(INDIRECT(""&amp;$S$29&amp;"!$A$4"),0,0,200,100),MATCH(N$30,INDIRECT(""&amp;$S$29&amp;"!$A$4"):INDIRECT(""&amp;$S$29&amp;"!$AA$4"),0),FALSE))</f>
        <v>1752.86769</v>
      </c>
      <c r="O84" s="76">
        <f ca="1">IF(ISERROR(VLOOKUP($K84,OFFSET(INDIRECT(""&amp;$S$29&amp;"!$A$4"),0,0,200,100),MATCH(O$30,INDIRECT(""&amp;$S$29&amp;"!$A$4"):INDIRECT(""&amp;$S$29&amp;"!$AA$4"),0),FALSE)),"",VLOOKUP($K84,OFFSET(INDIRECT(""&amp;$S$29&amp;"!$A$4"),0,0,200,100),MATCH(O$30,INDIRECT(""&amp;$S$29&amp;"!$A$4"):INDIRECT(""&amp;$S$29&amp;"!$AA$4"),0),FALSE))</f>
        <v>1856.690126</v>
      </c>
      <c r="P84" s="76">
        <f ca="1">IF(ISERROR(VLOOKUP($K84,OFFSET(INDIRECT(""&amp;$S$29&amp;"!$A$4"),0,0,200,100),MATCH(P$30,INDIRECT(""&amp;$S$29&amp;"!$A$4"):INDIRECT(""&amp;$S$29&amp;"!$AA$4"),0),FALSE)),"",VLOOKUP($K84,OFFSET(INDIRECT(""&amp;$S$29&amp;"!$A$4"),0,0,200,100),MATCH(P$30,INDIRECT(""&amp;$S$29&amp;"!$A$4"):INDIRECT(""&amp;$S$29&amp;"!$AA$4"),0),FALSE))</f>
        <v>1840.0351760000001</v>
      </c>
      <c r="Q84" s="76">
        <f ca="1">IF(ISERROR(VLOOKUP($K84,OFFSET(INDIRECT(""&amp;$S$29&amp;"!$A$4"),0,0,200,100),MATCH(Q$30,INDIRECT(""&amp;$S$29&amp;"!$A$4"):INDIRECT(""&amp;$S$29&amp;"!$AA$4"),0),FALSE)),"",VLOOKUP($K84,OFFSET(INDIRECT(""&amp;$S$29&amp;"!$A$4"),0,0,200,100),MATCH(Q$30,INDIRECT(""&amp;$S$29&amp;"!$A$4"):INDIRECT(""&amp;$S$29&amp;"!$AA$4"),0),FALSE))</f>
        <v>1840.0351760000001</v>
      </c>
      <c r="R84" s="76">
        <f ca="1">IF(ISERROR(VLOOKUP($K84,OFFSET(INDIRECT(""&amp;$S$29&amp;"!$A$4"),0,0,200,100),MATCH(R$30,INDIRECT(""&amp;$S$29&amp;"!$A$4"):INDIRECT(""&amp;$S$29&amp;"!$AA$4"),0),FALSE)),"",VLOOKUP($K84,OFFSET(INDIRECT(""&amp;$S$29&amp;"!$A$4"),0,0,200,100),MATCH(R$30,INDIRECT(""&amp;$S$29&amp;"!$A$4"):INDIRECT(""&amp;$S$29&amp;"!$AA$4"),0),FALSE))</f>
        <v>1840.0351760000001</v>
      </c>
      <c r="S84" s="76">
        <f ca="1">IF(ISERROR(VLOOKUP($K84,OFFSET(INDIRECT(""&amp;$S$29&amp;"!$A$4"),0,0,200,100),MATCH(S$30,INDIRECT(""&amp;$S$29&amp;"!$A$4"):INDIRECT(""&amp;$S$29&amp;"!$AA$4"),0),FALSE)),"",VLOOKUP($K84,OFFSET(INDIRECT(""&amp;$S$29&amp;"!$A$4"),0,0,200,100),MATCH(S$30,INDIRECT(""&amp;$S$29&amp;"!$A$4"):INDIRECT(""&amp;$S$29&amp;"!$AA$4"),0),FALSE))</f>
        <v>2006.8447759999999</v>
      </c>
      <c r="T84" s="76">
        <f ca="1">IF(ISERROR(VLOOKUP($K84,OFFSET(INDIRECT(""&amp;$S$29&amp;"!$A$4"),0,0,200,100),MATCH(T$30,INDIRECT(""&amp;$S$29&amp;"!$A$4"):INDIRECT(""&amp;$S$29&amp;"!$AA$4"),0),FALSE)),"",VLOOKUP($K84,OFFSET(INDIRECT(""&amp;$S$29&amp;"!$A$4"),0,0,200,100),MATCH(T$30,INDIRECT(""&amp;$S$29&amp;"!$A$4"):INDIRECT(""&amp;$S$29&amp;"!$AA$4"),0),FALSE))</f>
        <v>1995.125976</v>
      </c>
      <c r="U84" s="76">
        <f ca="1">IF(ISERROR(VLOOKUP($K84,OFFSET(INDIRECT(""&amp;$S$29&amp;"!$A$4"),0,0,200,100),MATCH(U$30,INDIRECT(""&amp;$S$29&amp;"!$A$4"):INDIRECT(""&amp;$S$29&amp;"!$AA$4"),0),FALSE)),"",VLOOKUP($K84,OFFSET(INDIRECT(""&amp;$S$29&amp;"!$A$4"),0,0,200,100),MATCH(U$30,INDIRECT(""&amp;$S$29&amp;"!$A$4"):INDIRECT(""&amp;$S$29&amp;"!$AA$4"),0),FALSE))</f>
        <v>1985.3259760000001</v>
      </c>
      <c r="V84" s="76">
        <f ca="1">IF(ISERROR(VLOOKUP($K84,OFFSET(INDIRECT(""&amp;$S$29&amp;"!$A$4"),0,0,200,100),MATCH(V$30,INDIRECT(""&amp;$S$29&amp;"!$A$4"):INDIRECT(""&amp;$S$29&amp;"!$AA$4"),0),FALSE)),"",VLOOKUP($K84,OFFSET(INDIRECT(""&amp;$S$29&amp;"!$A$4"),0,0,200,100),MATCH(V$30,INDIRECT(""&amp;$S$29&amp;"!$A$4"):INDIRECT(""&amp;$S$29&amp;"!$AA$4"),0),FALSE))</f>
        <v>1962.2679760000001</v>
      </c>
      <c r="W84" s="76">
        <f ca="1">IF(ISERROR(VLOOKUP($K84,OFFSET(INDIRECT(""&amp;$S$29&amp;"!$A$4"),0,0,200,100),MATCH(W$30,INDIRECT(""&amp;$S$29&amp;"!$A$4"):INDIRECT(""&amp;$S$29&amp;"!$AA$4"),0),FALSE)),"",VLOOKUP($K84,OFFSET(INDIRECT(""&amp;$S$29&amp;"!$A$4"),0,0,200,100),MATCH(W$30,INDIRECT(""&amp;$S$29&amp;"!$A$4"):INDIRECT(""&amp;$S$29&amp;"!$AA$4"),0),FALSE))</f>
        <v>0</v>
      </c>
      <c r="X84" s="76">
        <f ca="1">IF(ISERROR(VLOOKUP($K84,OFFSET(INDIRECT(""&amp;$S$29&amp;"!$A$4"),0,0,200,100),MATCH(X$30,INDIRECT(""&amp;$S$29&amp;"!$A$4"):INDIRECT(""&amp;$S$29&amp;"!$AA$4"),0),FALSE)),"",VLOOKUP($K84,OFFSET(INDIRECT(""&amp;$S$29&amp;"!$A$4"),0,0,200,100),MATCH(X$30,INDIRECT(""&amp;$S$29&amp;"!$A$4"):INDIRECT(""&amp;$S$29&amp;"!$AA$4"),0),FALSE))</f>
        <v>0</v>
      </c>
      <c r="Y84" s="76">
        <f ca="1">IF(ISERROR(VLOOKUP($K84,OFFSET(INDIRECT(""&amp;$S$29&amp;"!$A$4"),0,0,200,100),MATCH(Y$30,INDIRECT(""&amp;$S$29&amp;"!$A$4"):INDIRECT(""&amp;$S$29&amp;"!$AA$4"),0),FALSE)),"",VLOOKUP($K84,OFFSET(INDIRECT(""&amp;$S$29&amp;"!$A$4"),0,0,200,100),MATCH(Y$30,INDIRECT(""&amp;$S$29&amp;"!$A$4"):INDIRECT(""&amp;$S$29&amp;"!$AA$4"),0),FALSE))</f>
        <v>0</v>
      </c>
      <c r="Z84" s="76">
        <f ca="1">IF(ISERROR(VLOOKUP($K84,OFFSET(INDIRECT(""&amp;$S$29&amp;"!$A$4"),0,0,200,100),MATCH(Z$30,INDIRECT(""&amp;$S$29&amp;"!$A$4"):INDIRECT(""&amp;$S$29&amp;"!$AA$4"),0),FALSE)),"",VLOOKUP($K84,OFFSET(INDIRECT(""&amp;$S$29&amp;"!$A$4"),0,0,200,100),MATCH(Z$30,INDIRECT(""&amp;$S$29&amp;"!$A$4"):INDIRECT(""&amp;$S$29&amp;"!$AA$4"),0),FALSE))</f>
        <v>0</v>
      </c>
      <c r="AA84" s="76">
        <f t="shared" ca="1" si="61"/>
        <v>0</v>
      </c>
      <c r="AB84" s="115"/>
      <c r="AC84" s="87">
        <f t="shared" ca="1" si="66"/>
        <v>5.1330302840403045E-3</v>
      </c>
      <c r="AD84" s="87">
        <f t="shared" ca="1" si="67"/>
        <v>4.9239645767749059E-3</v>
      </c>
      <c r="AE84" s="87">
        <f t="shared" ca="1" si="68"/>
        <v>5.2584199399663585E-3</v>
      </c>
      <c r="AF84" s="87">
        <f t="shared" ca="1" si="69"/>
        <v>0</v>
      </c>
      <c r="AG84" s="87">
        <f t="shared" ca="1" si="70"/>
        <v>0</v>
      </c>
      <c r="AH84" s="87">
        <f t="shared" ca="1" si="70"/>
        <v>0</v>
      </c>
      <c r="AI84" s="144"/>
      <c r="AJ84" s="87">
        <f t="shared" ca="1" si="71"/>
        <v>4.7389388101804729E-3</v>
      </c>
      <c r="AK84" s="87">
        <f t="shared" ca="1" si="72"/>
        <v>4.7316302901802779E-3</v>
      </c>
      <c r="AL84" s="87">
        <f t="shared" ca="1" si="73"/>
        <v>4.4473199145302787E-3</v>
      </c>
      <c r="AM84" s="87">
        <f t="shared" ca="1" si="74"/>
        <v>4.6303234152237759E-3</v>
      </c>
      <c r="AN84" s="87">
        <f t="shared" ca="1" si="75"/>
        <v>4.9795864103148501E-3</v>
      </c>
      <c r="AO84" s="87">
        <f t="shared" ca="1" si="76"/>
        <v>5.2600223860389452E-3</v>
      </c>
      <c r="AP84" s="87">
        <f t="shared" ca="1" si="76"/>
        <v>5.3861602437969471E-3</v>
      </c>
      <c r="AQ84" s="87">
        <f t="shared" ca="1" si="76"/>
        <v>5.4354420274815131E-3</v>
      </c>
      <c r="AR84" s="87">
        <f t="shared" ca="1" si="76"/>
        <v>0</v>
      </c>
      <c r="AS84" s="87">
        <f t="shared" ca="1" si="76"/>
        <v>0</v>
      </c>
      <c r="AT84" s="87">
        <f t="shared" ca="1" si="77"/>
        <v>0</v>
      </c>
      <c r="AU84" s="87">
        <f t="shared" ca="1" si="77"/>
        <v>0</v>
      </c>
      <c r="AV84" s="87">
        <f t="shared" ca="1" si="78"/>
        <v>0</v>
      </c>
    </row>
    <row r="85" spans="1:48" s="108" customFormat="1" ht="15.95" customHeight="1">
      <c r="A85" s="113" t="s">
        <v>280</v>
      </c>
      <c r="B85" s="111" t="s">
        <v>178</v>
      </c>
      <c r="C85" s="90">
        <f ca="1">IF(ISERROR(VLOOKUP($B85,OFFSET(INDIRECT(""&amp;$B$29&amp;"!$A$4"),0,0,200,100),MATCH(C$30,INDIRECT(""&amp;$B$29&amp;"!$A$4"):INDIRECT(""&amp;$B$29&amp;"!$o$4"),0),FALSE)),"",VLOOKUP($B85,OFFSET(INDIRECT(""&amp;$B$29&amp;"!$A$4"),0,0,200,100),MATCH(C$30,INDIRECT(""&amp;$B$29&amp;"!$A$4"):INDIRECT(""&amp;$B$29&amp;"!$o$4"),0),FALSE))</f>
        <v>0</v>
      </c>
      <c r="D85" s="90">
        <f ca="1">IF(ISERROR(VLOOKUP($B85,OFFSET(INDIRECT(""&amp;$B$29&amp;"!$A$4"),0,0,200,100),MATCH(D$30,INDIRECT(""&amp;$B$29&amp;"!$A$4"):INDIRECT(""&amp;$B$29&amp;"!$o$4"),0),FALSE)),"",VLOOKUP($B85,OFFSET(INDIRECT(""&amp;$B$29&amp;"!$A$4"),0,0,200,100),MATCH(D$30,INDIRECT(""&amp;$B$29&amp;"!$A$4"):INDIRECT(""&amp;$B$29&amp;"!$o$4"),0),FALSE))</f>
        <v>0</v>
      </c>
      <c r="E85" s="90">
        <f ca="1">IF(ISERROR(VLOOKUP($B85,OFFSET(INDIRECT(""&amp;$B$29&amp;"!$A$4"),0,0,200,100),MATCH(E$30,INDIRECT(""&amp;$B$29&amp;"!$A$4"):INDIRECT(""&amp;$B$29&amp;"!$o$4"),0),FALSE)),"",VLOOKUP($B85,OFFSET(INDIRECT(""&amp;$B$29&amp;"!$A$4"),0,0,200,100),MATCH(E$30,INDIRECT(""&amp;$B$29&amp;"!$A$4"):INDIRECT(""&amp;$B$29&amp;"!$o$4"),0),FALSE))</f>
        <v>0</v>
      </c>
      <c r="F85" s="90">
        <f ca="1">IF(ISERROR(VLOOKUP($B85,OFFSET(INDIRECT(""&amp;$B$29&amp;"!$A$4"),0,0,200,100),MATCH(F$30,INDIRECT(""&amp;$B$29&amp;"!$A$4"):INDIRECT(""&amp;$B$29&amp;"!$o$4"),0),FALSE)),"",VLOOKUP($B85,OFFSET(INDIRECT(""&amp;$B$29&amp;"!$A$4"),0,0,200,100),MATCH(F$30,INDIRECT(""&amp;$B$29&amp;"!$A$4"):INDIRECT(""&amp;$B$29&amp;"!$o$4"),0),FALSE))</f>
        <v>0</v>
      </c>
      <c r="G85" s="90">
        <f ca="1">IF(ISERROR(VLOOKUP($B85,OFFSET(INDIRECT(""&amp;$B$29&amp;"!$A$4"),0,0,200,100),MATCH(G$30,INDIRECT(""&amp;$B$29&amp;"!$A$4"):INDIRECT(""&amp;$B$29&amp;"!$o$4"),0),FALSE)),"",VLOOKUP($B85,OFFSET(INDIRECT(""&amp;$B$29&amp;"!$A$4"),0,0,200,100),MATCH(G$30,INDIRECT(""&amp;$B$29&amp;"!$A$4"):INDIRECT(""&amp;$B$29&amp;"!$o$4"),0),FALSE))</f>
        <v>0</v>
      </c>
      <c r="H85" s="90">
        <f ca="1">IF(ISERROR(VLOOKUP($B85,OFFSET(INDIRECT(""&amp;$B$29&amp;"!$A$4"),0,0,200,100),MATCH(H$30,INDIRECT(""&amp;$B$29&amp;"!$A$4"):INDIRECT(""&amp;$B$29&amp;"!$o$4"),0),FALSE)),"",VLOOKUP($B85,OFFSET(INDIRECT(""&amp;$B$29&amp;"!$A$4"),0,0,200,100),MATCH(H$30,INDIRECT(""&amp;$B$29&amp;"!$A$4"):INDIRECT(""&amp;$B$29&amp;"!$o$4"),0),FALSE))</f>
        <v>0</v>
      </c>
      <c r="I85" s="90">
        <f ca="1">IF(ISERROR(VLOOKUP($B85,OFFSET(INDIRECT(""&amp;$B$29&amp;"!$A$4"),0,0,200,100),MATCH(I$30,INDIRECT(""&amp;$B$29&amp;"!$A$4"):INDIRECT(""&amp;$B$29&amp;"!$o$4"),0),FALSE)),"",VLOOKUP($B85,OFFSET(INDIRECT(""&amp;$B$29&amp;"!$A$4"),0,0,200,100),MATCH(I$30,INDIRECT(""&amp;$B$29&amp;"!$A$4"):INDIRECT(""&amp;$B$29&amp;"!$o$4"),0),FALSE))</f>
        <v>0</v>
      </c>
      <c r="J85" s="90">
        <f ca="1">IF(ISERROR(VLOOKUP($B85,OFFSET(INDIRECT(""&amp;$B$29&amp;"!$A$4"),0,0,200,100),MATCH(J$30,INDIRECT(""&amp;$B$29&amp;"!$A$4"):INDIRECT(""&amp;$B$29&amp;"!$o$4"),0),FALSE)),"",VLOOKUP($B85,OFFSET(INDIRECT(""&amp;$B$29&amp;"!$A$4"),0,0,200,100),MATCH(J$30,INDIRECT(""&amp;$B$29&amp;"!$A$4"):INDIRECT(""&amp;$B$29&amp;"!$o$4"),0),FALSE))</f>
        <v>0</v>
      </c>
      <c r="K85" s="109" t="s">
        <v>178</v>
      </c>
      <c r="L85" s="90">
        <f ca="1">IF(ISERROR(VLOOKUP($K85,OFFSET(INDIRECT(""&amp;$S$29&amp;"!$A$4"),0,0,200,100),MATCH(L$30,INDIRECT(""&amp;$S$29&amp;"!$A$4"):INDIRECT(""&amp;$S$29&amp;"!$AA$4"),0),FALSE)),"",VLOOKUP($K85,OFFSET(INDIRECT(""&amp;$S$29&amp;"!$A$4"),0,0,200,100),MATCH(L$30,INDIRECT(""&amp;$S$29&amp;"!$A$4"):INDIRECT(""&amp;$S$29&amp;"!$AA$4"),0),FALSE))</f>
        <v>0</v>
      </c>
      <c r="M85" s="90">
        <f ca="1">IF(ISERROR(VLOOKUP($K85,OFFSET(INDIRECT(""&amp;$S$29&amp;"!$A$4"),0,0,200,100),MATCH(M$30,INDIRECT(""&amp;$S$29&amp;"!$A$4"):INDIRECT(""&amp;$S$29&amp;"!$AA$4"),0),FALSE)),"",VLOOKUP($K85,OFFSET(INDIRECT(""&amp;$S$29&amp;"!$A$4"),0,0,200,100),MATCH(M$30,INDIRECT(""&amp;$S$29&amp;"!$A$4"):INDIRECT(""&amp;$S$29&amp;"!$AA$4"),0),FALSE))</f>
        <v>0</v>
      </c>
      <c r="N85" s="90">
        <f ca="1">IF(ISERROR(VLOOKUP($K85,OFFSET(INDIRECT(""&amp;$S$29&amp;"!$A$4"),0,0,200,100),MATCH(N$30,INDIRECT(""&amp;$S$29&amp;"!$A$4"):INDIRECT(""&amp;$S$29&amp;"!$AA$4"),0),FALSE)),"",VLOOKUP($K85,OFFSET(INDIRECT(""&amp;$S$29&amp;"!$A$4"),0,0,200,100),MATCH(N$30,INDIRECT(""&amp;$S$29&amp;"!$A$4"):INDIRECT(""&amp;$S$29&amp;"!$AA$4"),0),FALSE))</f>
        <v>0</v>
      </c>
      <c r="O85" s="90">
        <f ca="1">IF(ISERROR(VLOOKUP($K85,OFFSET(INDIRECT(""&amp;$S$29&amp;"!$A$4"),0,0,200,100),MATCH(O$30,INDIRECT(""&amp;$S$29&amp;"!$A$4"):INDIRECT(""&amp;$S$29&amp;"!$AA$4"),0),FALSE)),"",VLOOKUP($K85,OFFSET(INDIRECT(""&amp;$S$29&amp;"!$A$4"),0,0,200,100),MATCH(O$30,INDIRECT(""&amp;$S$29&amp;"!$A$4"):INDIRECT(""&amp;$S$29&amp;"!$AA$4"),0),FALSE))</f>
        <v>0</v>
      </c>
      <c r="P85" s="90">
        <f ca="1">IF(ISERROR(VLOOKUP($K85,OFFSET(INDIRECT(""&amp;$S$29&amp;"!$A$4"),0,0,200,100),MATCH(P$30,INDIRECT(""&amp;$S$29&amp;"!$A$4"):INDIRECT(""&amp;$S$29&amp;"!$AA$4"),0),FALSE)),"",VLOOKUP($K85,OFFSET(INDIRECT(""&amp;$S$29&amp;"!$A$4"),0,0,200,100),MATCH(P$30,INDIRECT(""&amp;$S$29&amp;"!$A$4"):INDIRECT(""&amp;$S$29&amp;"!$AA$4"),0),FALSE))</f>
        <v>0</v>
      </c>
      <c r="Q85" s="90">
        <f ca="1">IF(ISERROR(VLOOKUP($K85,OFFSET(INDIRECT(""&amp;$S$29&amp;"!$A$4"),0,0,200,100),MATCH(Q$30,INDIRECT(""&amp;$S$29&amp;"!$A$4"):INDIRECT(""&amp;$S$29&amp;"!$AA$4"),0),FALSE)),"",VLOOKUP($K85,OFFSET(INDIRECT(""&amp;$S$29&amp;"!$A$4"),0,0,200,100),MATCH(Q$30,INDIRECT(""&amp;$S$29&amp;"!$A$4"):INDIRECT(""&amp;$S$29&amp;"!$AA$4"),0),FALSE))</f>
        <v>0</v>
      </c>
      <c r="R85" s="90">
        <f ca="1">IF(ISERROR(VLOOKUP($K85,OFFSET(INDIRECT(""&amp;$S$29&amp;"!$A$4"),0,0,200,100),MATCH(R$30,INDIRECT(""&amp;$S$29&amp;"!$A$4"):INDIRECT(""&amp;$S$29&amp;"!$AA$4"),0),FALSE)),"",VLOOKUP($K85,OFFSET(INDIRECT(""&amp;$S$29&amp;"!$A$4"),0,0,200,100),MATCH(R$30,INDIRECT(""&amp;$S$29&amp;"!$A$4"):INDIRECT(""&amp;$S$29&amp;"!$AA$4"),0),FALSE))</f>
        <v>0</v>
      </c>
      <c r="S85" s="90">
        <f ca="1">IF(ISERROR(VLOOKUP($K85,OFFSET(INDIRECT(""&amp;$S$29&amp;"!$A$4"),0,0,200,100),MATCH(S$30,INDIRECT(""&amp;$S$29&amp;"!$A$4"):INDIRECT(""&amp;$S$29&amp;"!$AA$4"),0),FALSE)),"",VLOOKUP($K85,OFFSET(INDIRECT(""&amp;$S$29&amp;"!$A$4"),0,0,200,100),MATCH(S$30,INDIRECT(""&amp;$S$29&amp;"!$A$4"):INDIRECT(""&amp;$S$29&amp;"!$AA$4"),0),FALSE))</f>
        <v>0</v>
      </c>
      <c r="T85" s="90">
        <f ca="1">IF(ISERROR(VLOOKUP($K85,OFFSET(INDIRECT(""&amp;$S$29&amp;"!$A$4"),0,0,200,100),MATCH(T$30,INDIRECT(""&amp;$S$29&amp;"!$A$4"):INDIRECT(""&amp;$S$29&amp;"!$AA$4"),0),FALSE)),"",VLOOKUP($K85,OFFSET(INDIRECT(""&amp;$S$29&amp;"!$A$4"),0,0,200,100),MATCH(T$30,INDIRECT(""&amp;$S$29&amp;"!$A$4"):INDIRECT(""&amp;$S$29&amp;"!$AA$4"),0),FALSE))</f>
        <v>0</v>
      </c>
      <c r="U85" s="90">
        <f ca="1">IF(ISERROR(VLOOKUP($K85,OFFSET(INDIRECT(""&amp;$S$29&amp;"!$A$4"),0,0,200,100),MATCH(U$30,INDIRECT(""&amp;$S$29&amp;"!$A$4"):INDIRECT(""&amp;$S$29&amp;"!$AA$4"),0),FALSE)),"",VLOOKUP($K85,OFFSET(INDIRECT(""&amp;$S$29&amp;"!$A$4"),0,0,200,100),MATCH(U$30,INDIRECT(""&amp;$S$29&amp;"!$A$4"):INDIRECT(""&amp;$S$29&amp;"!$AA$4"),0),FALSE))</f>
        <v>0</v>
      </c>
      <c r="V85" s="90">
        <f ca="1">IF(ISERROR(VLOOKUP($K85,OFFSET(INDIRECT(""&amp;$S$29&amp;"!$A$4"),0,0,200,100),MATCH(V$30,INDIRECT(""&amp;$S$29&amp;"!$A$4"):INDIRECT(""&amp;$S$29&amp;"!$AA$4"),0),FALSE)),"",VLOOKUP($K85,OFFSET(INDIRECT(""&amp;$S$29&amp;"!$A$4"),0,0,200,100),MATCH(V$30,INDIRECT(""&amp;$S$29&amp;"!$A$4"):INDIRECT(""&amp;$S$29&amp;"!$AA$4"),0),FALSE))</f>
        <v>0</v>
      </c>
      <c r="W85" s="90">
        <f ca="1">IF(ISERROR(VLOOKUP($K85,OFFSET(INDIRECT(""&amp;$S$29&amp;"!$A$4"),0,0,200,100),MATCH(W$30,INDIRECT(""&amp;$S$29&amp;"!$A$4"):INDIRECT(""&amp;$S$29&amp;"!$AA$4"),0),FALSE)),"",VLOOKUP($K85,OFFSET(INDIRECT(""&amp;$S$29&amp;"!$A$4"),0,0,200,100),MATCH(W$30,INDIRECT(""&amp;$S$29&amp;"!$A$4"):INDIRECT(""&amp;$S$29&amp;"!$AA$4"),0),FALSE))</f>
        <v>0</v>
      </c>
      <c r="X85" s="90">
        <f ca="1">IF(ISERROR(VLOOKUP($K85,OFFSET(INDIRECT(""&amp;$S$29&amp;"!$A$4"),0,0,200,100),MATCH(X$30,INDIRECT(""&amp;$S$29&amp;"!$A$4"):INDIRECT(""&amp;$S$29&amp;"!$AA$4"),0),FALSE)),"",VLOOKUP($K85,OFFSET(INDIRECT(""&amp;$S$29&amp;"!$A$4"),0,0,200,100),MATCH(X$30,INDIRECT(""&amp;$S$29&amp;"!$A$4"):INDIRECT(""&amp;$S$29&amp;"!$AA$4"),0),FALSE))</f>
        <v>0</v>
      </c>
      <c r="Y85" s="90">
        <f ca="1">IF(ISERROR(VLOOKUP($K85,OFFSET(INDIRECT(""&amp;$S$29&amp;"!$A$4"),0,0,200,100),MATCH(Y$30,INDIRECT(""&amp;$S$29&amp;"!$A$4"):INDIRECT(""&amp;$S$29&amp;"!$AA$4"),0),FALSE)),"",VLOOKUP($K85,OFFSET(INDIRECT(""&amp;$S$29&amp;"!$A$4"),0,0,200,100),MATCH(Y$30,INDIRECT(""&amp;$S$29&amp;"!$A$4"):INDIRECT(""&amp;$S$29&amp;"!$AA$4"),0),FALSE))</f>
        <v>0</v>
      </c>
      <c r="Z85" s="90">
        <f ca="1">IF(ISERROR(VLOOKUP($K85,OFFSET(INDIRECT(""&amp;$S$29&amp;"!$A$4"),0,0,200,100),MATCH(Z$30,INDIRECT(""&amp;$S$29&amp;"!$A$4"):INDIRECT(""&amp;$S$29&amp;"!$AA$4"),0),FALSE)),"",VLOOKUP($K85,OFFSET(INDIRECT(""&amp;$S$29&amp;"!$A$4"),0,0,200,100),MATCH(Z$30,INDIRECT(""&amp;$S$29&amp;"!$A$4"):INDIRECT(""&amp;$S$29&amp;"!$AA$4"),0),FALSE))</f>
        <v>0</v>
      </c>
      <c r="AA85" s="90">
        <f t="shared" ca="1" si="61"/>
        <v>0</v>
      </c>
      <c r="AB85" s="110"/>
      <c r="AC85" s="99">
        <f t="shared" ca="1" si="66"/>
        <v>0</v>
      </c>
      <c r="AD85" s="99">
        <f t="shared" ca="1" si="67"/>
        <v>0</v>
      </c>
      <c r="AE85" s="99">
        <f t="shared" ca="1" si="68"/>
        <v>0</v>
      </c>
      <c r="AF85" s="99">
        <f t="shared" ca="1" si="69"/>
        <v>0</v>
      </c>
      <c r="AG85" s="99">
        <f t="shared" ca="1" si="70"/>
        <v>0</v>
      </c>
      <c r="AH85" s="99">
        <f t="shared" ca="1" si="70"/>
        <v>0</v>
      </c>
      <c r="AI85" s="145"/>
      <c r="AJ85" s="99">
        <f t="shared" ca="1" si="71"/>
        <v>0</v>
      </c>
      <c r="AK85" s="99">
        <f t="shared" ca="1" si="72"/>
        <v>0</v>
      </c>
      <c r="AL85" s="99">
        <f t="shared" ca="1" si="73"/>
        <v>0</v>
      </c>
      <c r="AM85" s="99">
        <f t="shared" ca="1" si="74"/>
        <v>0</v>
      </c>
      <c r="AN85" s="99">
        <f t="shared" ca="1" si="75"/>
        <v>0</v>
      </c>
      <c r="AO85" s="99">
        <f t="shared" ca="1" si="76"/>
        <v>0</v>
      </c>
      <c r="AP85" s="99">
        <f t="shared" ca="1" si="76"/>
        <v>0</v>
      </c>
      <c r="AQ85" s="99">
        <f t="shared" ca="1" si="76"/>
        <v>0</v>
      </c>
      <c r="AR85" s="99">
        <f t="shared" ca="1" si="76"/>
        <v>0</v>
      </c>
      <c r="AS85" s="99">
        <f t="shared" ca="1" si="76"/>
        <v>0</v>
      </c>
      <c r="AT85" s="99">
        <f t="shared" ca="1" si="77"/>
        <v>0</v>
      </c>
      <c r="AU85" s="99">
        <f t="shared" ca="1" si="77"/>
        <v>0</v>
      </c>
      <c r="AV85" s="99">
        <f t="shared" ca="1" si="78"/>
        <v>0</v>
      </c>
    </row>
    <row r="86" spans="1:48" s="108" customFormat="1" ht="15.95" customHeight="1">
      <c r="A86" s="113" t="s">
        <v>281</v>
      </c>
      <c r="B86" s="111" t="s">
        <v>179</v>
      </c>
      <c r="C86" s="90">
        <f ca="1">IF(ISERROR(VLOOKUP($B86,OFFSET(INDIRECT(""&amp;$B$29&amp;"!$A$4"),0,0,200,100),MATCH(C$30,INDIRECT(""&amp;$B$29&amp;"!$A$4"):INDIRECT(""&amp;$B$29&amp;"!$o$4"),0),FALSE)),"",VLOOKUP($B86,OFFSET(INDIRECT(""&amp;$B$29&amp;"!$A$4"),0,0,200,100),MATCH(C$30,INDIRECT(""&amp;$B$29&amp;"!$A$4"):INDIRECT(""&amp;$B$29&amp;"!$o$4"),0),FALSE))</f>
        <v>0</v>
      </c>
      <c r="D86" s="90">
        <f ca="1">IF(ISERROR(VLOOKUP($B86,OFFSET(INDIRECT(""&amp;$B$29&amp;"!$A$4"),0,0,200,100),MATCH(D$30,INDIRECT(""&amp;$B$29&amp;"!$A$4"):INDIRECT(""&amp;$B$29&amp;"!$o$4"),0),FALSE)),"",VLOOKUP($B86,OFFSET(INDIRECT(""&amp;$B$29&amp;"!$A$4"),0,0,200,100),MATCH(D$30,INDIRECT(""&amp;$B$29&amp;"!$A$4"):INDIRECT(""&amp;$B$29&amp;"!$o$4"),0),FALSE))</f>
        <v>0</v>
      </c>
      <c r="E86" s="90">
        <f ca="1">IF(ISERROR(VLOOKUP($B86,OFFSET(INDIRECT(""&amp;$B$29&amp;"!$A$4"),0,0,200,100),MATCH(E$30,INDIRECT(""&amp;$B$29&amp;"!$A$4"):INDIRECT(""&amp;$B$29&amp;"!$o$4"),0),FALSE)),"",VLOOKUP($B86,OFFSET(INDIRECT(""&amp;$B$29&amp;"!$A$4"),0,0,200,100),MATCH(E$30,INDIRECT(""&amp;$B$29&amp;"!$A$4"):INDIRECT(""&amp;$B$29&amp;"!$o$4"),0),FALSE))</f>
        <v>0</v>
      </c>
      <c r="F86" s="90">
        <f ca="1">IF(ISERROR(VLOOKUP($B86,OFFSET(INDIRECT(""&amp;$B$29&amp;"!$A$4"),0,0,200,100),MATCH(F$30,INDIRECT(""&amp;$B$29&amp;"!$A$4"):INDIRECT(""&amp;$B$29&amp;"!$o$4"),0),FALSE)),"",VLOOKUP($B86,OFFSET(INDIRECT(""&amp;$B$29&amp;"!$A$4"),0,0,200,100),MATCH(F$30,INDIRECT(""&amp;$B$29&amp;"!$A$4"):INDIRECT(""&amp;$B$29&amp;"!$o$4"),0),FALSE))</f>
        <v>0</v>
      </c>
      <c r="G86" s="90">
        <f ca="1">IF(ISERROR(VLOOKUP($B86,OFFSET(INDIRECT(""&amp;$B$29&amp;"!$A$4"),0,0,200,100),MATCH(G$30,INDIRECT(""&amp;$B$29&amp;"!$A$4"):INDIRECT(""&amp;$B$29&amp;"!$o$4"),0),FALSE)),"",VLOOKUP($B86,OFFSET(INDIRECT(""&amp;$B$29&amp;"!$A$4"),0,0,200,100),MATCH(G$30,INDIRECT(""&amp;$B$29&amp;"!$A$4"):INDIRECT(""&amp;$B$29&amp;"!$o$4"),0),FALSE))</f>
        <v>0</v>
      </c>
      <c r="H86" s="90">
        <f ca="1">IF(ISERROR(VLOOKUP($B86,OFFSET(INDIRECT(""&amp;$B$29&amp;"!$A$4"),0,0,200,100),MATCH(H$30,INDIRECT(""&amp;$B$29&amp;"!$A$4"):INDIRECT(""&amp;$B$29&amp;"!$o$4"),0),FALSE)),"",VLOOKUP($B86,OFFSET(INDIRECT(""&amp;$B$29&amp;"!$A$4"),0,0,200,100),MATCH(H$30,INDIRECT(""&amp;$B$29&amp;"!$A$4"):INDIRECT(""&amp;$B$29&amp;"!$o$4"),0),FALSE))</f>
        <v>0</v>
      </c>
      <c r="I86" s="90">
        <f ca="1">IF(ISERROR(VLOOKUP($B86,OFFSET(INDIRECT(""&amp;$B$29&amp;"!$A$4"),0,0,200,100),MATCH(I$30,INDIRECT(""&amp;$B$29&amp;"!$A$4"):INDIRECT(""&amp;$B$29&amp;"!$o$4"),0),FALSE)),"",VLOOKUP($B86,OFFSET(INDIRECT(""&amp;$B$29&amp;"!$A$4"),0,0,200,100),MATCH(I$30,INDIRECT(""&amp;$B$29&amp;"!$A$4"):INDIRECT(""&amp;$B$29&amp;"!$o$4"),0),FALSE))</f>
        <v>0</v>
      </c>
      <c r="J86" s="90">
        <f ca="1">IF(ISERROR(VLOOKUP($B86,OFFSET(INDIRECT(""&amp;$B$29&amp;"!$A$4"),0,0,200,100),MATCH(J$30,INDIRECT(""&amp;$B$29&amp;"!$A$4"):INDIRECT(""&amp;$B$29&amp;"!$o$4"),0),FALSE)),"",VLOOKUP($B86,OFFSET(INDIRECT(""&amp;$B$29&amp;"!$A$4"),0,0,200,100),MATCH(J$30,INDIRECT(""&amp;$B$29&amp;"!$A$4"):INDIRECT(""&amp;$B$29&amp;"!$o$4"),0),FALSE))</f>
        <v>0</v>
      </c>
      <c r="K86" s="109" t="s">
        <v>179</v>
      </c>
      <c r="L86" s="90">
        <f ca="1">IF(ISERROR(VLOOKUP($K86,OFFSET(INDIRECT(""&amp;$S$29&amp;"!$A$4"),0,0,200,100),MATCH(L$30,INDIRECT(""&amp;$S$29&amp;"!$A$4"):INDIRECT(""&amp;$S$29&amp;"!$AA$4"),0),FALSE)),"",VLOOKUP($K86,OFFSET(INDIRECT(""&amp;$S$29&amp;"!$A$4"),0,0,200,100),MATCH(L$30,INDIRECT(""&amp;$S$29&amp;"!$A$4"):INDIRECT(""&amp;$S$29&amp;"!$AA$4"),0),FALSE))</f>
        <v>0</v>
      </c>
      <c r="M86" s="90">
        <f ca="1">IF(ISERROR(VLOOKUP($K86,OFFSET(INDIRECT(""&amp;$S$29&amp;"!$A$4"),0,0,200,100),MATCH(M$30,INDIRECT(""&amp;$S$29&amp;"!$A$4"):INDIRECT(""&amp;$S$29&amp;"!$AA$4"),0),FALSE)),"",VLOOKUP($K86,OFFSET(INDIRECT(""&amp;$S$29&amp;"!$A$4"),0,0,200,100),MATCH(M$30,INDIRECT(""&amp;$S$29&amp;"!$A$4"):INDIRECT(""&amp;$S$29&amp;"!$AA$4"),0),FALSE))</f>
        <v>0</v>
      </c>
      <c r="N86" s="90">
        <f ca="1">IF(ISERROR(VLOOKUP($K86,OFFSET(INDIRECT(""&amp;$S$29&amp;"!$A$4"),0,0,200,100),MATCH(N$30,INDIRECT(""&amp;$S$29&amp;"!$A$4"):INDIRECT(""&amp;$S$29&amp;"!$AA$4"),0),FALSE)),"",VLOOKUP($K86,OFFSET(INDIRECT(""&amp;$S$29&amp;"!$A$4"),0,0,200,100),MATCH(N$30,INDIRECT(""&amp;$S$29&amp;"!$A$4"):INDIRECT(""&amp;$S$29&amp;"!$AA$4"),0),FALSE))</f>
        <v>0</v>
      </c>
      <c r="O86" s="90">
        <f ca="1">IF(ISERROR(VLOOKUP($K86,OFFSET(INDIRECT(""&amp;$S$29&amp;"!$A$4"),0,0,200,100),MATCH(O$30,INDIRECT(""&amp;$S$29&amp;"!$A$4"):INDIRECT(""&amp;$S$29&amp;"!$AA$4"),0),FALSE)),"",VLOOKUP($K86,OFFSET(INDIRECT(""&amp;$S$29&amp;"!$A$4"),0,0,200,100),MATCH(O$30,INDIRECT(""&amp;$S$29&amp;"!$A$4"):INDIRECT(""&amp;$S$29&amp;"!$AA$4"),0),FALSE))</f>
        <v>0</v>
      </c>
      <c r="P86" s="90">
        <f ca="1">IF(ISERROR(VLOOKUP($K86,OFFSET(INDIRECT(""&amp;$S$29&amp;"!$A$4"),0,0,200,100),MATCH(P$30,INDIRECT(""&amp;$S$29&amp;"!$A$4"):INDIRECT(""&amp;$S$29&amp;"!$AA$4"),0),FALSE)),"",VLOOKUP($K86,OFFSET(INDIRECT(""&amp;$S$29&amp;"!$A$4"),0,0,200,100),MATCH(P$30,INDIRECT(""&amp;$S$29&amp;"!$A$4"):INDIRECT(""&amp;$S$29&amp;"!$AA$4"),0),FALSE))</f>
        <v>0</v>
      </c>
      <c r="Q86" s="90">
        <f ca="1">IF(ISERROR(VLOOKUP($K86,OFFSET(INDIRECT(""&amp;$S$29&amp;"!$A$4"),0,0,200,100),MATCH(Q$30,INDIRECT(""&amp;$S$29&amp;"!$A$4"):INDIRECT(""&amp;$S$29&amp;"!$AA$4"),0),FALSE)),"",VLOOKUP($K86,OFFSET(INDIRECT(""&amp;$S$29&amp;"!$A$4"),0,0,200,100),MATCH(Q$30,INDIRECT(""&amp;$S$29&amp;"!$A$4"):INDIRECT(""&amp;$S$29&amp;"!$AA$4"),0),FALSE))</f>
        <v>0</v>
      </c>
      <c r="R86" s="90">
        <f ca="1">IF(ISERROR(VLOOKUP($K86,OFFSET(INDIRECT(""&amp;$S$29&amp;"!$A$4"),0,0,200,100),MATCH(R$30,INDIRECT(""&amp;$S$29&amp;"!$A$4"):INDIRECT(""&amp;$S$29&amp;"!$AA$4"),0),FALSE)),"",VLOOKUP($K86,OFFSET(INDIRECT(""&amp;$S$29&amp;"!$A$4"),0,0,200,100),MATCH(R$30,INDIRECT(""&amp;$S$29&amp;"!$A$4"):INDIRECT(""&amp;$S$29&amp;"!$AA$4"),0),FALSE))</f>
        <v>0</v>
      </c>
      <c r="S86" s="90">
        <f ca="1">IF(ISERROR(VLOOKUP($K86,OFFSET(INDIRECT(""&amp;$S$29&amp;"!$A$4"),0,0,200,100),MATCH(S$30,INDIRECT(""&amp;$S$29&amp;"!$A$4"):INDIRECT(""&amp;$S$29&amp;"!$AA$4"),0),FALSE)),"",VLOOKUP($K86,OFFSET(INDIRECT(""&amp;$S$29&amp;"!$A$4"),0,0,200,100),MATCH(S$30,INDIRECT(""&amp;$S$29&amp;"!$A$4"):INDIRECT(""&amp;$S$29&amp;"!$AA$4"),0),FALSE))</f>
        <v>0</v>
      </c>
      <c r="T86" s="90">
        <f ca="1">IF(ISERROR(VLOOKUP($K86,OFFSET(INDIRECT(""&amp;$S$29&amp;"!$A$4"),0,0,200,100),MATCH(T$30,INDIRECT(""&amp;$S$29&amp;"!$A$4"):INDIRECT(""&amp;$S$29&amp;"!$AA$4"),0),FALSE)),"",VLOOKUP($K86,OFFSET(INDIRECT(""&amp;$S$29&amp;"!$A$4"),0,0,200,100),MATCH(T$30,INDIRECT(""&amp;$S$29&amp;"!$A$4"):INDIRECT(""&amp;$S$29&amp;"!$AA$4"),0),FALSE))</f>
        <v>0</v>
      </c>
      <c r="U86" s="90">
        <f ca="1">IF(ISERROR(VLOOKUP($K86,OFFSET(INDIRECT(""&amp;$S$29&amp;"!$A$4"),0,0,200,100),MATCH(U$30,INDIRECT(""&amp;$S$29&amp;"!$A$4"):INDIRECT(""&amp;$S$29&amp;"!$AA$4"),0),FALSE)),"",VLOOKUP($K86,OFFSET(INDIRECT(""&amp;$S$29&amp;"!$A$4"),0,0,200,100),MATCH(U$30,INDIRECT(""&amp;$S$29&amp;"!$A$4"):INDIRECT(""&amp;$S$29&amp;"!$AA$4"),0),FALSE))</f>
        <v>0</v>
      </c>
      <c r="V86" s="90">
        <f ca="1">IF(ISERROR(VLOOKUP($K86,OFFSET(INDIRECT(""&amp;$S$29&amp;"!$A$4"),0,0,200,100),MATCH(V$30,INDIRECT(""&amp;$S$29&amp;"!$A$4"):INDIRECT(""&amp;$S$29&amp;"!$AA$4"),0),FALSE)),"",VLOOKUP($K86,OFFSET(INDIRECT(""&amp;$S$29&amp;"!$A$4"),0,0,200,100),MATCH(V$30,INDIRECT(""&amp;$S$29&amp;"!$A$4"):INDIRECT(""&amp;$S$29&amp;"!$AA$4"),0),FALSE))</f>
        <v>0</v>
      </c>
      <c r="W86" s="90">
        <f ca="1">IF(ISERROR(VLOOKUP($K86,OFFSET(INDIRECT(""&amp;$S$29&amp;"!$A$4"),0,0,200,100),MATCH(W$30,INDIRECT(""&amp;$S$29&amp;"!$A$4"):INDIRECT(""&amp;$S$29&amp;"!$AA$4"),0),FALSE)),"",VLOOKUP($K86,OFFSET(INDIRECT(""&amp;$S$29&amp;"!$A$4"),0,0,200,100),MATCH(W$30,INDIRECT(""&amp;$S$29&amp;"!$A$4"):INDIRECT(""&amp;$S$29&amp;"!$AA$4"),0),FALSE))</f>
        <v>0</v>
      </c>
      <c r="X86" s="90">
        <f ca="1">IF(ISERROR(VLOOKUP($K86,OFFSET(INDIRECT(""&amp;$S$29&amp;"!$A$4"),0,0,200,100),MATCH(X$30,INDIRECT(""&amp;$S$29&amp;"!$A$4"):INDIRECT(""&amp;$S$29&amp;"!$AA$4"),0),FALSE)),"",VLOOKUP($K86,OFFSET(INDIRECT(""&amp;$S$29&amp;"!$A$4"),0,0,200,100),MATCH(X$30,INDIRECT(""&amp;$S$29&amp;"!$A$4"):INDIRECT(""&amp;$S$29&amp;"!$AA$4"),0),FALSE))</f>
        <v>0</v>
      </c>
      <c r="Y86" s="90">
        <f ca="1">IF(ISERROR(VLOOKUP($K86,OFFSET(INDIRECT(""&amp;$S$29&amp;"!$A$4"),0,0,200,100),MATCH(Y$30,INDIRECT(""&amp;$S$29&amp;"!$A$4"):INDIRECT(""&amp;$S$29&amp;"!$AA$4"),0),FALSE)),"",VLOOKUP($K86,OFFSET(INDIRECT(""&amp;$S$29&amp;"!$A$4"),0,0,200,100),MATCH(Y$30,INDIRECT(""&amp;$S$29&amp;"!$A$4"):INDIRECT(""&amp;$S$29&amp;"!$AA$4"),0),FALSE))</f>
        <v>0</v>
      </c>
      <c r="Z86" s="90">
        <f ca="1">IF(ISERROR(VLOOKUP($K86,OFFSET(INDIRECT(""&amp;$S$29&amp;"!$A$4"),0,0,200,100),MATCH(Z$30,INDIRECT(""&amp;$S$29&amp;"!$A$4"):INDIRECT(""&amp;$S$29&amp;"!$AA$4"),0),FALSE)),"",VLOOKUP($K86,OFFSET(INDIRECT(""&amp;$S$29&amp;"!$A$4"),0,0,200,100),MATCH(Z$30,INDIRECT(""&amp;$S$29&amp;"!$A$4"):INDIRECT(""&amp;$S$29&amp;"!$AA$4"),0),FALSE))</f>
        <v>0</v>
      </c>
      <c r="AA86" s="90">
        <f t="shared" ca="1" si="61"/>
        <v>0</v>
      </c>
      <c r="AB86" s="110"/>
      <c r="AC86" s="99">
        <f t="shared" ca="1" si="66"/>
        <v>0</v>
      </c>
      <c r="AD86" s="99">
        <f t="shared" ca="1" si="67"/>
        <v>0</v>
      </c>
      <c r="AE86" s="99">
        <f t="shared" ca="1" si="68"/>
        <v>0</v>
      </c>
      <c r="AF86" s="99">
        <f t="shared" ca="1" si="69"/>
        <v>0</v>
      </c>
      <c r="AG86" s="99">
        <f t="shared" ca="1" si="70"/>
        <v>0</v>
      </c>
      <c r="AH86" s="99">
        <f t="shared" ca="1" si="70"/>
        <v>0</v>
      </c>
      <c r="AI86" s="145"/>
      <c r="AJ86" s="99">
        <f t="shared" ca="1" si="71"/>
        <v>0</v>
      </c>
      <c r="AK86" s="99">
        <f t="shared" ca="1" si="72"/>
        <v>0</v>
      </c>
      <c r="AL86" s="99">
        <f t="shared" ca="1" si="73"/>
        <v>0</v>
      </c>
      <c r="AM86" s="99">
        <f t="shared" ca="1" si="74"/>
        <v>0</v>
      </c>
      <c r="AN86" s="99">
        <f t="shared" ca="1" si="75"/>
        <v>0</v>
      </c>
      <c r="AO86" s="99">
        <f t="shared" ca="1" si="76"/>
        <v>0</v>
      </c>
      <c r="AP86" s="99">
        <f t="shared" ca="1" si="76"/>
        <v>0</v>
      </c>
      <c r="AQ86" s="99">
        <f t="shared" ca="1" si="76"/>
        <v>0</v>
      </c>
      <c r="AR86" s="99">
        <f t="shared" ca="1" si="76"/>
        <v>0</v>
      </c>
      <c r="AS86" s="99">
        <f t="shared" ca="1" si="76"/>
        <v>0</v>
      </c>
      <c r="AT86" s="99">
        <f t="shared" ca="1" si="77"/>
        <v>0</v>
      </c>
      <c r="AU86" s="99">
        <f t="shared" ca="1" si="77"/>
        <v>0</v>
      </c>
      <c r="AV86" s="99">
        <f t="shared" ca="1" si="78"/>
        <v>0</v>
      </c>
    </row>
    <row r="87" spans="1:48" s="108" customFormat="1" ht="15.95" customHeight="1">
      <c r="A87" s="113" t="s">
        <v>282</v>
      </c>
      <c r="B87" s="111" t="s">
        <v>180</v>
      </c>
      <c r="C87" s="90">
        <f ca="1">IF(ISERROR(VLOOKUP($B87,OFFSET(INDIRECT(""&amp;$B$29&amp;"!$A$4"),0,0,200,100),MATCH(C$30,INDIRECT(""&amp;$B$29&amp;"!$A$4"):INDIRECT(""&amp;$B$29&amp;"!$o$4"),0),FALSE)),"",VLOOKUP($B87,OFFSET(INDIRECT(""&amp;$B$29&amp;"!$A$4"),0,0,200,100),MATCH(C$30,INDIRECT(""&amp;$B$29&amp;"!$A$4"):INDIRECT(""&amp;$B$29&amp;"!$o$4"),0),FALSE))</f>
        <v>0</v>
      </c>
      <c r="D87" s="90">
        <f ca="1">IF(ISERROR(VLOOKUP($B87,OFFSET(INDIRECT(""&amp;$B$29&amp;"!$A$4"),0,0,200,100),MATCH(D$30,INDIRECT(""&amp;$B$29&amp;"!$A$4"):INDIRECT(""&amp;$B$29&amp;"!$o$4"),0),FALSE)),"",VLOOKUP($B87,OFFSET(INDIRECT(""&amp;$B$29&amp;"!$A$4"),0,0,200,100),MATCH(D$30,INDIRECT(""&amp;$B$29&amp;"!$A$4"):INDIRECT(""&amp;$B$29&amp;"!$o$4"),0),FALSE))</f>
        <v>0</v>
      </c>
      <c r="E87" s="90">
        <f ca="1">IF(ISERROR(VLOOKUP($B87,OFFSET(INDIRECT(""&amp;$B$29&amp;"!$A$4"),0,0,200,100),MATCH(E$30,INDIRECT(""&amp;$B$29&amp;"!$A$4"):INDIRECT(""&amp;$B$29&amp;"!$o$4"),0),FALSE)),"",VLOOKUP($B87,OFFSET(INDIRECT(""&amp;$B$29&amp;"!$A$4"),0,0,200,100),MATCH(E$30,INDIRECT(""&amp;$B$29&amp;"!$A$4"):INDIRECT(""&amp;$B$29&amp;"!$o$4"),0),FALSE))</f>
        <v>0</v>
      </c>
      <c r="F87" s="90">
        <f ca="1">IF(ISERROR(VLOOKUP($B87,OFFSET(INDIRECT(""&amp;$B$29&amp;"!$A$4"),0,0,200,100),MATCH(F$30,INDIRECT(""&amp;$B$29&amp;"!$A$4"):INDIRECT(""&amp;$B$29&amp;"!$o$4"),0),FALSE)),"",VLOOKUP($B87,OFFSET(INDIRECT(""&amp;$B$29&amp;"!$A$4"),0,0,200,100),MATCH(F$30,INDIRECT(""&amp;$B$29&amp;"!$A$4"):INDIRECT(""&amp;$B$29&amp;"!$o$4"),0),FALSE))</f>
        <v>0</v>
      </c>
      <c r="G87" s="90">
        <f ca="1">IF(ISERROR(VLOOKUP($B87,OFFSET(INDIRECT(""&amp;$B$29&amp;"!$A$4"),0,0,200,100),MATCH(G$30,INDIRECT(""&amp;$B$29&amp;"!$A$4"):INDIRECT(""&amp;$B$29&amp;"!$o$4"),0),FALSE)),"",VLOOKUP($B87,OFFSET(INDIRECT(""&amp;$B$29&amp;"!$A$4"),0,0,200,100),MATCH(G$30,INDIRECT(""&amp;$B$29&amp;"!$A$4"):INDIRECT(""&amp;$B$29&amp;"!$o$4"),0),FALSE))</f>
        <v>0</v>
      </c>
      <c r="H87" s="90">
        <f ca="1">IF(ISERROR(VLOOKUP($B87,OFFSET(INDIRECT(""&amp;$B$29&amp;"!$A$4"),0,0,200,100),MATCH(H$30,INDIRECT(""&amp;$B$29&amp;"!$A$4"):INDIRECT(""&amp;$B$29&amp;"!$o$4"),0),FALSE)),"",VLOOKUP($B87,OFFSET(INDIRECT(""&amp;$B$29&amp;"!$A$4"),0,0,200,100),MATCH(H$30,INDIRECT(""&amp;$B$29&amp;"!$A$4"):INDIRECT(""&amp;$B$29&amp;"!$o$4"),0),FALSE))</f>
        <v>0</v>
      </c>
      <c r="I87" s="90">
        <f ca="1">IF(ISERROR(VLOOKUP($B87,OFFSET(INDIRECT(""&amp;$B$29&amp;"!$A$4"),0,0,200,100),MATCH(I$30,INDIRECT(""&amp;$B$29&amp;"!$A$4"):INDIRECT(""&amp;$B$29&amp;"!$o$4"),0),FALSE)),"",VLOOKUP($B87,OFFSET(INDIRECT(""&amp;$B$29&amp;"!$A$4"),0,0,200,100),MATCH(I$30,INDIRECT(""&amp;$B$29&amp;"!$A$4"):INDIRECT(""&amp;$B$29&amp;"!$o$4"),0),FALSE))</f>
        <v>0</v>
      </c>
      <c r="J87" s="90">
        <f ca="1">IF(ISERROR(VLOOKUP($B87,OFFSET(INDIRECT(""&amp;$B$29&amp;"!$A$4"),0,0,200,100),MATCH(J$30,INDIRECT(""&amp;$B$29&amp;"!$A$4"):INDIRECT(""&amp;$B$29&amp;"!$o$4"),0),FALSE)),"",VLOOKUP($B87,OFFSET(INDIRECT(""&amp;$B$29&amp;"!$A$4"),0,0,200,100),MATCH(J$30,INDIRECT(""&amp;$B$29&amp;"!$A$4"):INDIRECT(""&amp;$B$29&amp;"!$o$4"),0),FALSE))</f>
        <v>0</v>
      </c>
      <c r="K87" s="109" t="s">
        <v>180</v>
      </c>
      <c r="L87" s="90">
        <f ca="1">IF(ISERROR(VLOOKUP($K87,OFFSET(INDIRECT(""&amp;$S$29&amp;"!$A$4"),0,0,200,100),MATCH(L$30,INDIRECT(""&amp;$S$29&amp;"!$A$4"):INDIRECT(""&amp;$S$29&amp;"!$AA$4"),0),FALSE)),"",VLOOKUP($K87,OFFSET(INDIRECT(""&amp;$S$29&amp;"!$A$4"),0,0,200,100),MATCH(L$30,INDIRECT(""&amp;$S$29&amp;"!$A$4"):INDIRECT(""&amp;$S$29&amp;"!$AA$4"),0),FALSE))</f>
        <v>0</v>
      </c>
      <c r="M87" s="90">
        <f ca="1">IF(ISERROR(VLOOKUP($K87,OFFSET(INDIRECT(""&amp;$S$29&amp;"!$A$4"),0,0,200,100),MATCH(M$30,INDIRECT(""&amp;$S$29&amp;"!$A$4"):INDIRECT(""&amp;$S$29&amp;"!$AA$4"),0),FALSE)),"",VLOOKUP($K87,OFFSET(INDIRECT(""&amp;$S$29&amp;"!$A$4"),0,0,200,100),MATCH(M$30,INDIRECT(""&amp;$S$29&amp;"!$A$4"):INDIRECT(""&amp;$S$29&amp;"!$AA$4"),0),FALSE))</f>
        <v>0</v>
      </c>
      <c r="N87" s="90">
        <f ca="1">IF(ISERROR(VLOOKUP($K87,OFFSET(INDIRECT(""&amp;$S$29&amp;"!$A$4"),0,0,200,100),MATCH(N$30,INDIRECT(""&amp;$S$29&amp;"!$A$4"):INDIRECT(""&amp;$S$29&amp;"!$AA$4"),0),FALSE)),"",VLOOKUP($K87,OFFSET(INDIRECT(""&amp;$S$29&amp;"!$A$4"),0,0,200,100),MATCH(N$30,INDIRECT(""&amp;$S$29&amp;"!$A$4"):INDIRECT(""&amp;$S$29&amp;"!$AA$4"),0),FALSE))</f>
        <v>0</v>
      </c>
      <c r="O87" s="90">
        <f ca="1">IF(ISERROR(VLOOKUP($K87,OFFSET(INDIRECT(""&amp;$S$29&amp;"!$A$4"),0,0,200,100),MATCH(O$30,INDIRECT(""&amp;$S$29&amp;"!$A$4"):INDIRECT(""&amp;$S$29&amp;"!$AA$4"),0),FALSE)),"",VLOOKUP($K87,OFFSET(INDIRECT(""&amp;$S$29&amp;"!$A$4"),0,0,200,100),MATCH(O$30,INDIRECT(""&amp;$S$29&amp;"!$A$4"):INDIRECT(""&amp;$S$29&amp;"!$AA$4"),0),FALSE))</f>
        <v>0</v>
      </c>
      <c r="P87" s="90">
        <f ca="1">IF(ISERROR(VLOOKUP($K87,OFFSET(INDIRECT(""&amp;$S$29&amp;"!$A$4"),0,0,200,100),MATCH(P$30,INDIRECT(""&amp;$S$29&amp;"!$A$4"):INDIRECT(""&amp;$S$29&amp;"!$AA$4"),0),FALSE)),"",VLOOKUP($K87,OFFSET(INDIRECT(""&amp;$S$29&amp;"!$A$4"),0,0,200,100),MATCH(P$30,INDIRECT(""&amp;$S$29&amp;"!$A$4"):INDIRECT(""&amp;$S$29&amp;"!$AA$4"),0),FALSE))</f>
        <v>0</v>
      </c>
      <c r="Q87" s="90">
        <f ca="1">IF(ISERROR(VLOOKUP($K87,OFFSET(INDIRECT(""&amp;$S$29&amp;"!$A$4"),0,0,200,100),MATCH(Q$30,INDIRECT(""&amp;$S$29&amp;"!$A$4"):INDIRECT(""&amp;$S$29&amp;"!$AA$4"),0),FALSE)),"",VLOOKUP($K87,OFFSET(INDIRECT(""&amp;$S$29&amp;"!$A$4"),0,0,200,100),MATCH(Q$30,INDIRECT(""&amp;$S$29&amp;"!$A$4"):INDIRECT(""&amp;$S$29&amp;"!$AA$4"),0),FALSE))</f>
        <v>0</v>
      </c>
      <c r="R87" s="90">
        <f ca="1">IF(ISERROR(VLOOKUP($K87,OFFSET(INDIRECT(""&amp;$S$29&amp;"!$A$4"),0,0,200,100),MATCH(R$30,INDIRECT(""&amp;$S$29&amp;"!$A$4"):INDIRECT(""&amp;$S$29&amp;"!$AA$4"),0),FALSE)),"",VLOOKUP($K87,OFFSET(INDIRECT(""&amp;$S$29&amp;"!$A$4"),0,0,200,100),MATCH(R$30,INDIRECT(""&amp;$S$29&amp;"!$A$4"):INDIRECT(""&amp;$S$29&amp;"!$AA$4"),0),FALSE))</f>
        <v>0</v>
      </c>
      <c r="S87" s="90">
        <f ca="1">IF(ISERROR(VLOOKUP($K87,OFFSET(INDIRECT(""&amp;$S$29&amp;"!$A$4"),0,0,200,100),MATCH(S$30,INDIRECT(""&amp;$S$29&amp;"!$A$4"):INDIRECT(""&amp;$S$29&amp;"!$AA$4"),0),FALSE)),"",VLOOKUP($K87,OFFSET(INDIRECT(""&amp;$S$29&amp;"!$A$4"),0,0,200,100),MATCH(S$30,INDIRECT(""&amp;$S$29&amp;"!$A$4"):INDIRECT(""&amp;$S$29&amp;"!$AA$4"),0),FALSE))</f>
        <v>0</v>
      </c>
      <c r="T87" s="90">
        <f ca="1">IF(ISERROR(VLOOKUP($K87,OFFSET(INDIRECT(""&amp;$S$29&amp;"!$A$4"),0,0,200,100),MATCH(T$30,INDIRECT(""&amp;$S$29&amp;"!$A$4"):INDIRECT(""&amp;$S$29&amp;"!$AA$4"),0),FALSE)),"",VLOOKUP($K87,OFFSET(INDIRECT(""&amp;$S$29&amp;"!$A$4"),0,0,200,100),MATCH(T$30,INDIRECT(""&amp;$S$29&amp;"!$A$4"):INDIRECT(""&amp;$S$29&amp;"!$AA$4"),0),FALSE))</f>
        <v>0</v>
      </c>
      <c r="U87" s="90">
        <f ca="1">IF(ISERROR(VLOOKUP($K87,OFFSET(INDIRECT(""&amp;$S$29&amp;"!$A$4"),0,0,200,100),MATCH(U$30,INDIRECT(""&amp;$S$29&amp;"!$A$4"):INDIRECT(""&amp;$S$29&amp;"!$AA$4"),0),FALSE)),"",VLOOKUP($K87,OFFSET(INDIRECT(""&amp;$S$29&amp;"!$A$4"),0,0,200,100),MATCH(U$30,INDIRECT(""&amp;$S$29&amp;"!$A$4"):INDIRECT(""&amp;$S$29&amp;"!$AA$4"),0),FALSE))</f>
        <v>0</v>
      </c>
      <c r="V87" s="90">
        <f ca="1">IF(ISERROR(VLOOKUP($K87,OFFSET(INDIRECT(""&amp;$S$29&amp;"!$A$4"),0,0,200,100),MATCH(V$30,INDIRECT(""&amp;$S$29&amp;"!$A$4"):INDIRECT(""&amp;$S$29&amp;"!$AA$4"),0),FALSE)),"",VLOOKUP($K87,OFFSET(INDIRECT(""&amp;$S$29&amp;"!$A$4"),0,0,200,100),MATCH(V$30,INDIRECT(""&amp;$S$29&amp;"!$A$4"):INDIRECT(""&amp;$S$29&amp;"!$AA$4"),0),FALSE))</f>
        <v>0</v>
      </c>
      <c r="W87" s="90">
        <f ca="1">IF(ISERROR(VLOOKUP($K87,OFFSET(INDIRECT(""&amp;$S$29&amp;"!$A$4"),0,0,200,100),MATCH(W$30,INDIRECT(""&amp;$S$29&amp;"!$A$4"):INDIRECT(""&amp;$S$29&amp;"!$AA$4"),0),FALSE)),"",VLOOKUP($K87,OFFSET(INDIRECT(""&amp;$S$29&amp;"!$A$4"),0,0,200,100),MATCH(W$30,INDIRECT(""&amp;$S$29&amp;"!$A$4"):INDIRECT(""&amp;$S$29&amp;"!$AA$4"),0),FALSE))</f>
        <v>0</v>
      </c>
      <c r="X87" s="90">
        <f ca="1">IF(ISERROR(VLOOKUP($K87,OFFSET(INDIRECT(""&amp;$S$29&amp;"!$A$4"),0,0,200,100),MATCH(X$30,INDIRECT(""&amp;$S$29&amp;"!$A$4"):INDIRECT(""&amp;$S$29&amp;"!$AA$4"),0),FALSE)),"",VLOOKUP($K87,OFFSET(INDIRECT(""&amp;$S$29&amp;"!$A$4"),0,0,200,100),MATCH(X$30,INDIRECT(""&amp;$S$29&amp;"!$A$4"):INDIRECT(""&amp;$S$29&amp;"!$AA$4"),0),FALSE))</f>
        <v>0</v>
      </c>
      <c r="Y87" s="90">
        <f ca="1">IF(ISERROR(VLOOKUP($K87,OFFSET(INDIRECT(""&amp;$S$29&amp;"!$A$4"),0,0,200,100),MATCH(Y$30,INDIRECT(""&amp;$S$29&amp;"!$A$4"):INDIRECT(""&amp;$S$29&amp;"!$AA$4"),0),FALSE)),"",VLOOKUP($K87,OFFSET(INDIRECT(""&amp;$S$29&amp;"!$A$4"),0,0,200,100),MATCH(Y$30,INDIRECT(""&amp;$S$29&amp;"!$A$4"):INDIRECT(""&amp;$S$29&amp;"!$AA$4"),0),FALSE))</f>
        <v>0</v>
      </c>
      <c r="Z87" s="90">
        <f ca="1">IF(ISERROR(VLOOKUP($K87,OFFSET(INDIRECT(""&amp;$S$29&amp;"!$A$4"),0,0,200,100),MATCH(Z$30,INDIRECT(""&amp;$S$29&amp;"!$A$4"):INDIRECT(""&amp;$S$29&amp;"!$AA$4"),0),FALSE)),"",VLOOKUP($K87,OFFSET(INDIRECT(""&amp;$S$29&amp;"!$A$4"),0,0,200,100),MATCH(Z$30,INDIRECT(""&amp;$S$29&amp;"!$A$4"):INDIRECT(""&amp;$S$29&amp;"!$AA$4"),0),FALSE))</f>
        <v>0</v>
      </c>
      <c r="AA87" s="90">
        <f t="shared" ca="1" si="61"/>
        <v>0</v>
      </c>
      <c r="AB87" s="110"/>
      <c r="AC87" s="99">
        <f t="shared" ca="1" si="66"/>
        <v>0</v>
      </c>
      <c r="AD87" s="99">
        <f t="shared" ca="1" si="67"/>
        <v>0</v>
      </c>
      <c r="AE87" s="99">
        <f t="shared" ca="1" si="68"/>
        <v>0</v>
      </c>
      <c r="AF87" s="99">
        <f t="shared" ca="1" si="69"/>
        <v>0</v>
      </c>
      <c r="AG87" s="99">
        <f t="shared" ref="AG87:AH102" ca="1" si="79">IF(I87="","",I87/I$31)</f>
        <v>0</v>
      </c>
      <c r="AH87" s="99">
        <f t="shared" ca="1" si="79"/>
        <v>0</v>
      </c>
      <c r="AI87" s="145"/>
      <c r="AJ87" s="99">
        <f t="shared" ca="1" si="71"/>
        <v>0</v>
      </c>
      <c r="AK87" s="99">
        <f t="shared" ca="1" si="72"/>
        <v>0</v>
      </c>
      <c r="AL87" s="99">
        <f t="shared" ca="1" si="73"/>
        <v>0</v>
      </c>
      <c r="AM87" s="99">
        <f t="shared" ca="1" si="74"/>
        <v>0</v>
      </c>
      <c r="AN87" s="99">
        <f t="shared" ca="1" si="75"/>
        <v>0</v>
      </c>
      <c r="AO87" s="99">
        <f t="shared" ref="AO87:AS102" ca="1" si="80">IF(T87="","",T87/T$31)</f>
        <v>0</v>
      </c>
      <c r="AP87" s="99">
        <f t="shared" ca="1" si="80"/>
        <v>0</v>
      </c>
      <c r="AQ87" s="99">
        <f t="shared" ca="1" si="80"/>
        <v>0</v>
      </c>
      <c r="AR87" s="99">
        <f t="shared" ca="1" si="80"/>
        <v>0</v>
      </c>
      <c r="AS87" s="99">
        <f t="shared" ca="1" si="80"/>
        <v>0</v>
      </c>
      <c r="AT87" s="99">
        <f t="shared" ca="1" si="77"/>
        <v>0</v>
      </c>
      <c r="AU87" s="99">
        <f t="shared" ca="1" si="77"/>
        <v>0</v>
      </c>
      <c r="AV87" s="99">
        <f t="shared" ca="1" si="78"/>
        <v>0</v>
      </c>
    </row>
    <row r="88" spans="1:48" s="108" customFormat="1" ht="15.95" customHeight="1">
      <c r="A88" s="113" t="s">
        <v>283</v>
      </c>
      <c r="B88" s="111" t="s">
        <v>181</v>
      </c>
      <c r="C88" s="90">
        <f ca="1">IF(ISERROR(VLOOKUP($B88,OFFSET(INDIRECT(""&amp;$B$29&amp;"!$A$4"),0,0,200,100),MATCH(C$30,INDIRECT(""&amp;$B$29&amp;"!$A$4"):INDIRECT(""&amp;$B$29&amp;"!$o$4"),0),FALSE)),"",VLOOKUP($B88,OFFSET(INDIRECT(""&amp;$B$29&amp;"!$A$4"),0,0,200,100),MATCH(C$30,INDIRECT(""&amp;$B$29&amp;"!$A$4"):INDIRECT(""&amp;$B$29&amp;"!$o$4"),0),FALSE))</f>
        <v>0</v>
      </c>
      <c r="D88" s="90">
        <f ca="1">IF(ISERROR(VLOOKUP($B88,OFFSET(INDIRECT(""&amp;$B$29&amp;"!$A$4"),0,0,200,100),MATCH(D$30,INDIRECT(""&amp;$B$29&amp;"!$A$4"):INDIRECT(""&amp;$B$29&amp;"!$o$4"),0),FALSE)),"",VLOOKUP($B88,OFFSET(INDIRECT(""&amp;$B$29&amp;"!$A$4"),0,0,200,100),MATCH(D$30,INDIRECT(""&amp;$B$29&amp;"!$A$4"):INDIRECT(""&amp;$B$29&amp;"!$o$4"),0),FALSE))</f>
        <v>0</v>
      </c>
      <c r="E88" s="90">
        <f ca="1">IF(ISERROR(VLOOKUP($B88,OFFSET(INDIRECT(""&amp;$B$29&amp;"!$A$4"),0,0,200,100),MATCH(E$30,INDIRECT(""&amp;$B$29&amp;"!$A$4"):INDIRECT(""&amp;$B$29&amp;"!$o$4"),0),FALSE)),"",VLOOKUP($B88,OFFSET(INDIRECT(""&amp;$B$29&amp;"!$A$4"),0,0,200,100),MATCH(E$30,INDIRECT(""&amp;$B$29&amp;"!$A$4"):INDIRECT(""&amp;$B$29&amp;"!$o$4"),0),FALSE))</f>
        <v>0</v>
      </c>
      <c r="F88" s="90">
        <f ca="1">IF(ISERROR(VLOOKUP($B88,OFFSET(INDIRECT(""&amp;$B$29&amp;"!$A$4"),0,0,200,100),MATCH(F$30,INDIRECT(""&amp;$B$29&amp;"!$A$4"):INDIRECT(""&amp;$B$29&amp;"!$o$4"),0),FALSE)),"",VLOOKUP($B88,OFFSET(INDIRECT(""&amp;$B$29&amp;"!$A$4"),0,0,200,100),MATCH(F$30,INDIRECT(""&amp;$B$29&amp;"!$A$4"):INDIRECT(""&amp;$B$29&amp;"!$o$4"),0),FALSE))</f>
        <v>0</v>
      </c>
      <c r="G88" s="90">
        <f ca="1">IF(ISERROR(VLOOKUP($B88,OFFSET(INDIRECT(""&amp;$B$29&amp;"!$A$4"),0,0,200,100),MATCH(G$30,INDIRECT(""&amp;$B$29&amp;"!$A$4"):INDIRECT(""&amp;$B$29&amp;"!$o$4"),0),FALSE)),"",VLOOKUP($B88,OFFSET(INDIRECT(""&amp;$B$29&amp;"!$A$4"),0,0,200,100),MATCH(G$30,INDIRECT(""&amp;$B$29&amp;"!$A$4"):INDIRECT(""&amp;$B$29&amp;"!$o$4"),0),FALSE))</f>
        <v>0</v>
      </c>
      <c r="H88" s="90">
        <f ca="1">IF(ISERROR(VLOOKUP($B88,OFFSET(INDIRECT(""&amp;$B$29&amp;"!$A$4"),0,0,200,100),MATCH(H$30,INDIRECT(""&amp;$B$29&amp;"!$A$4"):INDIRECT(""&amp;$B$29&amp;"!$o$4"),0),FALSE)),"",VLOOKUP($B88,OFFSET(INDIRECT(""&amp;$B$29&amp;"!$A$4"),0,0,200,100),MATCH(H$30,INDIRECT(""&amp;$B$29&amp;"!$A$4"):INDIRECT(""&amp;$B$29&amp;"!$o$4"),0),FALSE))</f>
        <v>0</v>
      </c>
      <c r="I88" s="90">
        <f ca="1">IF(ISERROR(VLOOKUP($B88,OFFSET(INDIRECT(""&amp;$B$29&amp;"!$A$4"),0,0,200,100),MATCH(I$30,INDIRECT(""&amp;$B$29&amp;"!$A$4"):INDIRECT(""&amp;$B$29&amp;"!$o$4"),0),FALSE)),"",VLOOKUP($B88,OFFSET(INDIRECT(""&amp;$B$29&amp;"!$A$4"),0,0,200,100),MATCH(I$30,INDIRECT(""&amp;$B$29&amp;"!$A$4"):INDIRECT(""&amp;$B$29&amp;"!$o$4"),0),FALSE))</f>
        <v>0</v>
      </c>
      <c r="J88" s="90">
        <f ca="1">IF(ISERROR(VLOOKUP($B88,OFFSET(INDIRECT(""&amp;$B$29&amp;"!$A$4"),0,0,200,100),MATCH(J$30,INDIRECT(""&amp;$B$29&amp;"!$A$4"):INDIRECT(""&amp;$B$29&amp;"!$o$4"),0),FALSE)),"",VLOOKUP($B88,OFFSET(INDIRECT(""&amp;$B$29&amp;"!$A$4"),0,0,200,100),MATCH(J$30,INDIRECT(""&amp;$B$29&amp;"!$A$4"):INDIRECT(""&amp;$B$29&amp;"!$o$4"),0),FALSE))</f>
        <v>0</v>
      </c>
      <c r="K88" s="109" t="s">
        <v>181</v>
      </c>
      <c r="L88" s="90">
        <f ca="1">IF(ISERROR(VLOOKUP($K88,OFFSET(INDIRECT(""&amp;$S$29&amp;"!$A$4"),0,0,200,100),MATCH(L$30,INDIRECT(""&amp;$S$29&amp;"!$A$4"):INDIRECT(""&amp;$S$29&amp;"!$AA$4"),0),FALSE)),"",VLOOKUP($K88,OFFSET(INDIRECT(""&amp;$S$29&amp;"!$A$4"),0,0,200,100),MATCH(L$30,INDIRECT(""&amp;$S$29&amp;"!$A$4"):INDIRECT(""&amp;$S$29&amp;"!$AA$4"),0),FALSE))</f>
        <v>0</v>
      </c>
      <c r="M88" s="90">
        <f ca="1">IF(ISERROR(VLOOKUP($K88,OFFSET(INDIRECT(""&amp;$S$29&amp;"!$A$4"),0,0,200,100),MATCH(M$30,INDIRECT(""&amp;$S$29&amp;"!$A$4"):INDIRECT(""&amp;$S$29&amp;"!$AA$4"),0),FALSE)),"",VLOOKUP($K88,OFFSET(INDIRECT(""&amp;$S$29&amp;"!$A$4"),0,0,200,100),MATCH(M$30,INDIRECT(""&amp;$S$29&amp;"!$A$4"):INDIRECT(""&amp;$S$29&amp;"!$AA$4"),0),FALSE))</f>
        <v>0</v>
      </c>
      <c r="N88" s="90">
        <f ca="1">IF(ISERROR(VLOOKUP($K88,OFFSET(INDIRECT(""&amp;$S$29&amp;"!$A$4"),0,0,200,100),MATCH(N$30,INDIRECT(""&amp;$S$29&amp;"!$A$4"):INDIRECT(""&amp;$S$29&amp;"!$AA$4"),0),FALSE)),"",VLOOKUP($K88,OFFSET(INDIRECT(""&amp;$S$29&amp;"!$A$4"),0,0,200,100),MATCH(N$30,INDIRECT(""&amp;$S$29&amp;"!$A$4"):INDIRECT(""&amp;$S$29&amp;"!$AA$4"),0),FALSE))</f>
        <v>0</v>
      </c>
      <c r="O88" s="90">
        <f ca="1">IF(ISERROR(VLOOKUP($K88,OFFSET(INDIRECT(""&amp;$S$29&amp;"!$A$4"),0,0,200,100),MATCH(O$30,INDIRECT(""&amp;$S$29&amp;"!$A$4"):INDIRECT(""&amp;$S$29&amp;"!$AA$4"),0),FALSE)),"",VLOOKUP($K88,OFFSET(INDIRECT(""&amp;$S$29&amp;"!$A$4"),0,0,200,100),MATCH(O$30,INDIRECT(""&amp;$S$29&amp;"!$A$4"):INDIRECT(""&amp;$S$29&amp;"!$AA$4"),0),FALSE))</f>
        <v>0</v>
      </c>
      <c r="P88" s="90">
        <f ca="1">IF(ISERROR(VLOOKUP($K88,OFFSET(INDIRECT(""&amp;$S$29&amp;"!$A$4"),0,0,200,100),MATCH(P$30,INDIRECT(""&amp;$S$29&amp;"!$A$4"):INDIRECT(""&amp;$S$29&amp;"!$AA$4"),0),FALSE)),"",VLOOKUP($K88,OFFSET(INDIRECT(""&amp;$S$29&amp;"!$A$4"),0,0,200,100),MATCH(P$30,INDIRECT(""&amp;$S$29&amp;"!$A$4"):INDIRECT(""&amp;$S$29&amp;"!$AA$4"),0),FALSE))</f>
        <v>0</v>
      </c>
      <c r="Q88" s="90">
        <f ca="1">IF(ISERROR(VLOOKUP($K88,OFFSET(INDIRECT(""&amp;$S$29&amp;"!$A$4"),0,0,200,100),MATCH(Q$30,INDIRECT(""&amp;$S$29&amp;"!$A$4"):INDIRECT(""&amp;$S$29&amp;"!$AA$4"),0),FALSE)),"",VLOOKUP($K88,OFFSET(INDIRECT(""&amp;$S$29&amp;"!$A$4"),0,0,200,100),MATCH(Q$30,INDIRECT(""&amp;$S$29&amp;"!$A$4"):INDIRECT(""&amp;$S$29&amp;"!$AA$4"),0),FALSE))</f>
        <v>0</v>
      </c>
      <c r="R88" s="90">
        <f ca="1">IF(ISERROR(VLOOKUP($K88,OFFSET(INDIRECT(""&amp;$S$29&amp;"!$A$4"),0,0,200,100),MATCH(R$30,INDIRECT(""&amp;$S$29&amp;"!$A$4"):INDIRECT(""&amp;$S$29&amp;"!$AA$4"),0),FALSE)),"",VLOOKUP($K88,OFFSET(INDIRECT(""&amp;$S$29&amp;"!$A$4"),0,0,200,100),MATCH(R$30,INDIRECT(""&amp;$S$29&amp;"!$A$4"):INDIRECT(""&amp;$S$29&amp;"!$AA$4"),0),FALSE))</f>
        <v>0</v>
      </c>
      <c r="S88" s="90">
        <f ca="1">IF(ISERROR(VLOOKUP($K88,OFFSET(INDIRECT(""&amp;$S$29&amp;"!$A$4"),0,0,200,100),MATCH(S$30,INDIRECT(""&amp;$S$29&amp;"!$A$4"):INDIRECT(""&amp;$S$29&amp;"!$AA$4"),0),FALSE)),"",VLOOKUP($K88,OFFSET(INDIRECT(""&amp;$S$29&amp;"!$A$4"),0,0,200,100),MATCH(S$30,INDIRECT(""&amp;$S$29&amp;"!$A$4"):INDIRECT(""&amp;$S$29&amp;"!$AA$4"),0),FALSE))</f>
        <v>0</v>
      </c>
      <c r="T88" s="90">
        <f ca="1">IF(ISERROR(VLOOKUP($K88,OFFSET(INDIRECT(""&amp;$S$29&amp;"!$A$4"),0,0,200,100),MATCH(T$30,INDIRECT(""&amp;$S$29&amp;"!$A$4"):INDIRECT(""&amp;$S$29&amp;"!$AA$4"),0),FALSE)),"",VLOOKUP($K88,OFFSET(INDIRECT(""&amp;$S$29&amp;"!$A$4"),0,0,200,100),MATCH(T$30,INDIRECT(""&amp;$S$29&amp;"!$A$4"):INDIRECT(""&amp;$S$29&amp;"!$AA$4"),0),FALSE))</f>
        <v>0</v>
      </c>
      <c r="U88" s="90">
        <f ca="1">IF(ISERROR(VLOOKUP($K88,OFFSET(INDIRECT(""&amp;$S$29&amp;"!$A$4"),0,0,200,100),MATCH(U$30,INDIRECT(""&amp;$S$29&amp;"!$A$4"):INDIRECT(""&amp;$S$29&amp;"!$AA$4"),0),FALSE)),"",VLOOKUP($K88,OFFSET(INDIRECT(""&amp;$S$29&amp;"!$A$4"),0,0,200,100),MATCH(U$30,INDIRECT(""&amp;$S$29&amp;"!$A$4"):INDIRECT(""&amp;$S$29&amp;"!$AA$4"),0),FALSE))</f>
        <v>0</v>
      </c>
      <c r="V88" s="90">
        <f ca="1">IF(ISERROR(VLOOKUP($K88,OFFSET(INDIRECT(""&amp;$S$29&amp;"!$A$4"),0,0,200,100),MATCH(V$30,INDIRECT(""&amp;$S$29&amp;"!$A$4"):INDIRECT(""&amp;$S$29&amp;"!$AA$4"),0),FALSE)),"",VLOOKUP($K88,OFFSET(INDIRECT(""&amp;$S$29&amp;"!$A$4"),0,0,200,100),MATCH(V$30,INDIRECT(""&amp;$S$29&amp;"!$A$4"):INDIRECT(""&amp;$S$29&amp;"!$AA$4"),0),FALSE))</f>
        <v>0</v>
      </c>
      <c r="W88" s="90">
        <f ca="1">IF(ISERROR(VLOOKUP($K88,OFFSET(INDIRECT(""&amp;$S$29&amp;"!$A$4"),0,0,200,100),MATCH(W$30,INDIRECT(""&amp;$S$29&amp;"!$A$4"):INDIRECT(""&amp;$S$29&amp;"!$AA$4"),0),FALSE)),"",VLOOKUP($K88,OFFSET(INDIRECT(""&amp;$S$29&amp;"!$A$4"),0,0,200,100),MATCH(W$30,INDIRECT(""&amp;$S$29&amp;"!$A$4"):INDIRECT(""&amp;$S$29&amp;"!$AA$4"),0),FALSE))</f>
        <v>0</v>
      </c>
      <c r="X88" s="90">
        <f ca="1">IF(ISERROR(VLOOKUP($K88,OFFSET(INDIRECT(""&amp;$S$29&amp;"!$A$4"),0,0,200,100),MATCH(X$30,INDIRECT(""&amp;$S$29&amp;"!$A$4"):INDIRECT(""&amp;$S$29&amp;"!$AA$4"),0),FALSE)),"",VLOOKUP($K88,OFFSET(INDIRECT(""&amp;$S$29&amp;"!$A$4"),0,0,200,100),MATCH(X$30,INDIRECT(""&amp;$S$29&amp;"!$A$4"):INDIRECT(""&amp;$S$29&amp;"!$AA$4"),0),FALSE))</f>
        <v>0</v>
      </c>
      <c r="Y88" s="90">
        <f ca="1">IF(ISERROR(VLOOKUP($K88,OFFSET(INDIRECT(""&amp;$S$29&amp;"!$A$4"),0,0,200,100),MATCH(Y$30,INDIRECT(""&amp;$S$29&amp;"!$A$4"):INDIRECT(""&amp;$S$29&amp;"!$AA$4"),0),FALSE)),"",VLOOKUP($K88,OFFSET(INDIRECT(""&amp;$S$29&amp;"!$A$4"),0,0,200,100),MATCH(Y$30,INDIRECT(""&amp;$S$29&amp;"!$A$4"):INDIRECT(""&amp;$S$29&amp;"!$AA$4"),0),FALSE))</f>
        <v>0</v>
      </c>
      <c r="Z88" s="90">
        <f ca="1">IF(ISERROR(VLOOKUP($K88,OFFSET(INDIRECT(""&amp;$S$29&amp;"!$A$4"),0,0,200,100),MATCH(Z$30,INDIRECT(""&amp;$S$29&amp;"!$A$4"):INDIRECT(""&amp;$S$29&amp;"!$AA$4"),0),FALSE)),"",VLOOKUP($K88,OFFSET(INDIRECT(""&amp;$S$29&amp;"!$A$4"),0,0,200,100),MATCH(Z$30,INDIRECT(""&amp;$S$29&amp;"!$A$4"):INDIRECT(""&amp;$S$29&amp;"!$AA$4"),0),FALSE))</f>
        <v>0</v>
      </c>
      <c r="AA88" s="90">
        <f t="shared" ca="1" si="61"/>
        <v>0</v>
      </c>
      <c r="AB88" s="110"/>
      <c r="AC88" s="99">
        <f t="shared" ca="1" si="66"/>
        <v>0</v>
      </c>
      <c r="AD88" s="99">
        <f t="shared" ca="1" si="67"/>
        <v>0</v>
      </c>
      <c r="AE88" s="99">
        <f t="shared" ca="1" si="68"/>
        <v>0</v>
      </c>
      <c r="AF88" s="99">
        <f t="shared" ca="1" si="69"/>
        <v>0</v>
      </c>
      <c r="AG88" s="99">
        <f t="shared" ca="1" si="79"/>
        <v>0</v>
      </c>
      <c r="AH88" s="99">
        <f t="shared" ca="1" si="79"/>
        <v>0</v>
      </c>
      <c r="AI88" s="145"/>
      <c r="AJ88" s="99">
        <f t="shared" ca="1" si="71"/>
        <v>0</v>
      </c>
      <c r="AK88" s="99">
        <f t="shared" ca="1" si="72"/>
        <v>0</v>
      </c>
      <c r="AL88" s="99">
        <f t="shared" ca="1" si="73"/>
        <v>0</v>
      </c>
      <c r="AM88" s="99">
        <f t="shared" ca="1" si="74"/>
        <v>0</v>
      </c>
      <c r="AN88" s="99">
        <f t="shared" ca="1" si="75"/>
        <v>0</v>
      </c>
      <c r="AO88" s="99">
        <f t="shared" ca="1" si="80"/>
        <v>0</v>
      </c>
      <c r="AP88" s="99">
        <f t="shared" ca="1" si="80"/>
        <v>0</v>
      </c>
      <c r="AQ88" s="99">
        <f t="shared" ca="1" si="80"/>
        <v>0</v>
      </c>
      <c r="AR88" s="99">
        <f t="shared" ca="1" si="80"/>
        <v>0</v>
      </c>
      <c r="AS88" s="99">
        <f t="shared" ca="1" si="80"/>
        <v>0</v>
      </c>
      <c r="AT88" s="99">
        <f t="shared" ca="1" si="77"/>
        <v>0</v>
      </c>
      <c r="AU88" s="99">
        <f t="shared" ca="1" si="77"/>
        <v>0</v>
      </c>
      <c r="AV88" s="99">
        <f t="shared" ca="1" si="78"/>
        <v>0</v>
      </c>
    </row>
    <row r="89" spans="1:48" s="108" customFormat="1" ht="15.95" customHeight="1">
      <c r="A89" s="113" t="s">
        <v>284</v>
      </c>
      <c r="B89" s="111" t="s">
        <v>182</v>
      </c>
      <c r="C89" s="90">
        <f ca="1">IF(ISERROR(VLOOKUP($B89,OFFSET(INDIRECT(""&amp;$B$29&amp;"!$A$4"),0,0,200,100),MATCH(C$30,INDIRECT(""&amp;$B$29&amp;"!$A$4"):INDIRECT(""&amp;$B$29&amp;"!$o$4"),0),FALSE)),"",VLOOKUP($B89,OFFSET(INDIRECT(""&amp;$B$29&amp;"!$A$4"),0,0,200,100),MATCH(C$30,INDIRECT(""&amp;$B$29&amp;"!$A$4"):INDIRECT(""&amp;$B$29&amp;"!$o$4"),0),FALSE))</f>
        <v>0</v>
      </c>
      <c r="D89" s="90">
        <f ca="1">IF(ISERROR(VLOOKUP($B89,OFFSET(INDIRECT(""&amp;$B$29&amp;"!$A$4"),0,0,200,100),MATCH(D$30,INDIRECT(""&amp;$B$29&amp;"!$A$4"):INDIRECT(""&amp;$B$29&amp;"!$o$4"),0),FALSE)),"",VLOOKUP($B89,OFFSET(INDIRECT(""&amp;$B$29&amp;"!$A$4"),0,0,200,100),MATCH(D$30,INDIRECT(""&amp;$B$29&amp;"!$A$4"):INDIRECT(""&amp;$B$29&amp;"!$o$4"),0),FALSE))</f>
        <v>0</v>
      </c>
      <c r="E89" s="90">
        <f ca="1">IF(ISERROR(VLOOKUP($B89,OFFSET(INDIRECT(""&amp;$B$29&amp;"!$A$4"),0,0,200,100),MATCH(E$30,INDIRECT(""&amp;$B$29&amp;"!$A$4"):INDIRECT(""&amp;$B$29&amp;"!$o$4"),0),FALSE)),"",VLOOKUP($B89,OFFSET(INDIRECT(""&amp;$B$29&amp;"!$A$4"),0,0,200,100),MATCH(E$30,INDIRECT(""&amp;$B$29&amp;"!$A$4"):INDIRECT(""&amp;$B$29&amp;"!$o$4"),0),FALSE))</f>
        <v>0</v>
      </c>
      <c r="F89" s="90">
        <f ca="1">IF(ISERROR(VLOOKUP($B89,OFFSET(INDIRECT(""&amp;$B$29&amp;"!$A$4"),0,0,200,100),MATCH(F$30,INDIRECT(""&amp;$B$29&amp;"!$A$4"):INDIRECT(""&amp;$B$29&amp;"!$o$4"),0),FALSE)),"",VLOOKUP($B89,OFFSET(INDIRECT(""&amp;$B$29&amp;"!$A$4"),0,0,200,100),MATCH(F$30,INDIRECT(""&amp;$B$29&amp;"!$A$4"):INDIRECT(""&amp;$B$29&amp;"!$o$4"),0),FALSE))</f>
        <v>0</v>
      </c>
      <c r="G89" s="90">
        <f ca="1">IF(ISERROR(VLOOKUP($B89,OFFSET(INDIRECT(""&amp;$B$29&amp;"!$A$4"),0,0,200,100),MATCH(G$30,INDIRECT(""&amp;$B$29&amp;"!$A$4"):INDIRECT(""&amp;$B$29&amp;"!$o$4"),0),FALSE)),"",VLOOKUP($B89,OFFSET(INDIRECT(""&amp;$B$29&amp;"!$A$4"),0,0,200,100),MATCH(G$30,INDIRECT(""&amp;$B$29&amp;"!$A$4"):INDIRECT(""&amp;$B$29&amp;"!$o$4"),0),FALSE))</f>
        <v>0</v>
      </c>
      <c r="H89" s="90">
        <f ca="1">IF(ISERROR(VLOOKUP($B89,OFFSET(INDIRECT(""&amp;$B$29&amp;"!$A$4"),0,0,200,100),MATCH(H$30,INDIRECT(""&amp;$B$29&amp;"!$A$4"):INDIRECT(""&amp;$B$29&amp;"!$o$4"),0),FALSE)),"",VLOOKUP($B89,OFFSET(INDIRECT(""&amp;$B$29&amp;"!$A$4"),0,0,200,100),MATCH(H$30,INDIRECT(""&amp;$B$29&amp;"!$A$4"):INDIRECT(""&amp;$B$29&amp;"!$o$4"),0),FALSE))</f>
        <v>0</v>
      </c>
      <c r="I89" s="90">
        <f ca="1">IF(ISERROR(VLOOKUP($B89,OFFSET(INDIRECT(""&amp;$B$29&amp;"!$A$4"),0,0,200,100),MATCH(I$30,INDIRECT(""&amp;$B$29&amp;"!$A$4"):INDIRECT(""&amp;$B$29&amp;"!$o$4"),0),FALSE)),"",VLOOKUP($B89,OFFSET(INDIRECT(""&amp;$B$29&amp;"!$A$4"),0,0,200,100),MATCH(I$30,INDIRECT(""&amp;$B$29&amp;"!$A$4"):INDIRECT(""&amp;$B$29&amp;"!$o$4"),0),FALSE))</f>
        <v>0</v>
      </c>
      <c r="J89" s="90">
        <f ca="1">IF(ISERROR(VLOOKUP($B89,OFFSET(INDIRECT(""&amp;$B$29&amp;"!$A$4"),0,0,200,100),MATCH(J$30,INDIRECT(""&amp;$B$29&amp;"!$A$4"):INDIRECT(""&amp;$B$29&amp;"!$o$4"),0),FALSE)),"",VLOOKUP($B89,OFFSET(INDIRECT(""&amp;$B$29&amp;"!$A$4"),0,0,200,100),MATCH(J$30,INDIRECT(""&amp;$B$29&amp;"!$A$4"):INDIRECT(""&amp;$B$29&amp;"!$o$4"),0),FALSE))</f>
        <v>0</v>
      </c>
      <c r="K89" s="109" t="s">
        <v>182</v>
      </c>
      <c r="L89" s="90">
        <f ca="1">IF(ISERROR(VLOOKUP($K89,OFFSET(INDIRECT(""&amp;$S$29&amp;"!$A$4"),0,0,200,100),MATCH(L$30,INDIRECT(""&amp;$S$29&amp;"!$A$4"):INDIRECT(""&amp;$S$29&amp;"!$AA$4"),0),FALSE)),"",VLOOKUP($K89,OFFSET(INDIRECT(""&amp;$S$29&amp;"!$A$4"),0,0,200,100),MATCH(L$30,INDIRECT(""&amp;$S$29&amp;"!$A$4"):INDIRECT(""&amp;$S$29&amp;"!$AA$4"),0),FALSE))</f>
        <v>0</v>
      </c>
      <c r="M89" s="90">
        <f ca="1">IF(ISERROR(VLOOKUP($K89,OFFSET(INDIRECT(""&amp;$S$29&amp;"!$A$4"),0,0,200,100),MATCH(M$30,INDIRECT(""&amp;$S$29&amp;"!$A$4"):INDIRECT(""&amp;$S$29&amp;"!$AA$4"),0),FALSE)),"",VLOOKUP($K89,OFFSET(INDIRECT(""&amp;$S$29&amp;"!$A$4"),0,0,200,100),MATCH(M$30,INDIRECT(""&amp;$S$29&amp;"!$A$4"):INDIRECT(""&amp;$S$29&amp;"!$AA$4"),0),FALSE))</f>
        <v>0</v>
      </c>
      <c r="N89" s="90">
        <f ca="1">IF(ISERROR(VLOOKUP($K89,OFFSET(INDIRECT(""&amp;$S$29&amp;"!$A$4"),0,0,200,100),MATCH(N$30,INDIRECT(""&amp;$S$29&amp;"!$A$4"):INDIRECT(""&amp;$S$29&amp;"!$AA$4"),0),FALSE)),"",VLOOKUP($K89,OFFSET(INDIRECT(""&amp;$S$29&amp;"!$A$4"),0,0,200,100),MATCH(N$30,INDIRECT(""&amp;$S$29&amp;"!$A$4"):INDIRECT(""&amp;$S$29&amp;"!$AA$4"),0),FALSE))</f>
        <v>0</v>
      </c>
      <c r="O89" s="90">
        <f ca="1">IF(ISERROR(VLOOKUP($K89,OFFSET(INDIRECT(""&amp;$S$29&amp;"!$A$4"),0,0,200,100),MATCH(O$30,INDIRECT(""&amp;$S$29&amp;"!$A$4"):INDIRECT(""&amp;$S$29&amp;"!$AA$4"),0),FALSE)),"",VLOOKUP($K89,OFFSET(INDIRECT(""&amp;$S$29&amp;"!$A$4"),0,0,200,100),MATCH(O$30,INDIRECT(""&amp;$S$29&amp;"!$A$4"):INDIRECT(""&amp;$S$29&amp;"!$AA$4"),0),FALSE))</f>
        <v>0</v>
      </c>
      <c r="P89" s="90">
        <f ca="1">IF(ISERROR(VLOOKUP($K89,OFFSET(INDIRECT(""&amp;$S$29&amp;"!$A$4"),0,0,200,100),MATCH(P$30,INDIRECT(""&amp;$S$29&amp;"!$A$4"):INDIRECT(""&amp;$S$29&amp;"!$AA$4"),0),FALSE)),"",VLOOKUP($K89,OFFSET(INDIRECT(""&amp;$S$29&amp;"!$A$4"),0,0,200,100),MATCH(P$30,INDIRECT(""&amp;$S$29&amp;"!$A$4"):INDIRECT(""&amp;$S$29&amp;"!$AA$4"),0),FALSE))</f>
        <v>0</v>
      </c>
      <c r="Q89" s="90">
        <f ca="1">IF(ISERROR(VLOOKUP($K89,OFFSET(INDIRECT(""&amp;$S$29&amp;"!$A$4"),0,0,200,100),MATCH(Q$30,INDIRECT(""&amp;$S$29&amp;"!$A$4"):INDIRECT(""&amp;$S$29&amp;"!$AA$4"),0),FALSE)),"",VLOOKUP($K89,OFFSET(INDIRECT(""&amp;$S$29&amp;"!$A$4"),0,0,200,100),MATCH(Q$30,INDIRECT(""&amp;$S$29&amp;"!$A$4"):INDIRECT(""&amp;$S$29&amp;"!$AA$4"),0),FALSE))</f>
        <v>0</v>
      </c>
      <c r="R89" s="90">
        <f ca="1">IF(ISERROR(VLOOKUP($K89,OFFSET(INDIRECT(""&amp;$S$29&amp;"!$A$4"),0,0,200,100),MATCH(R$30,INDIRECT(""&amp;$S$29&amp;"!$A$4"):INDIRECT(""&amp;$S$29&amp;"!$AA$4"),0),FALSE)),"",VLOOKUP($K89,OFFSET(INDIRECT(""&amp;$S$29&amp;"!$A$4"),0,0,200,100),MATCH(R$30,INDIRECT(""&amp;$S$29&amp;"!$A$4"):INDIRECT(""&amp;$S$29&amp;"!$AA$4"),0),FALSE))</f>
        <v>0</v>
      </c>
      <c r="S89" s="90">
        <f ca="1">IF(ISERROR(VLOOKUP($K89,OFFSET(INDIRECT(""&amp;$S$29&amp;"!$A$4"),0,0,200,100),MATCH(S$30,INDIRECT(""&amp;$S$29&amp;"!$A$4"):INDIRECT(""&amp;$S$29&amp;"!$AA$4"),0),FALSE)),"",VLOOKUP($K89,OFFSET(INDIRECT(""&amp;$S$29&amp;"!$A$4"),0,0,200,100),MATCH(S$30,INDIRECT(""&amp;$S$29&amp;"!$A$4"):INDIRECT(""&amp;$S$29&amp;"!$AA$4"),0),FALSE))</f>
        <v>0</v>
      </c>
      <c r="T89" s="90">
        <f ca="1">IF(ISERROR(VLOOKUP($K89,OFFSET(INDIRECT(""&amp;$S$29&amp;"!$A$4"),0,0,200,100),MATCH(T$30,INDIRECT(""&amp;$S$29&amp;"!$A$4"):INDIRECT(""&amp;$S$29&amp;"!$AA$4"),0),FALSE)),"",VLOOKUP($K89,OFFSET(INDIRECT(""&amp;$S$29&amp;"!$A$4"),0,0,200,100),MATCH(T$30,INDIRECT(""&amp;$S$29&amp;"!$A$4"):INDIRECT(""&amp;$S$29&amp;"!$AA$4"),0),FALSE))</f>
        <v>0</v>
      </c>
      <c r="U89" s="90">
        <f ca="1">IF(ISERROR(VLOOKUP($K89,OFFSET(INDIRECT(""&amp;$S$29&amp;"!$A$4"),0,0,200,100),MATCH(U$30,INDIRECT(""&amp;$S$29&amp;"!$A$4"):INDIRECT(""&amp;$S$29&amp;"!$AA$4"),0),FALSE)),"",VLOOKUP($K89,OFFSET(INDIRECT(""&amp;$S$29&amp;"!$A$4"),0,0,200,100),MATCH(U$30,INDIRECT(""&amp;$S$29&amp;"!$A$4"):INDIRECT(""&amp;$S$29&amp;"!$AA$4"),0),FALSE))</f>
        <v>0</v>
      </c>
      <c r="V89" s="90">
        <f ca="1">IF(ISERROR(VLOOKUP($K89,OFFSET(INDIRECT(""&amp;$S$29&amp;"!$A$4"),0,0,200,100),MATCH(V$30,INDIRECT(""&amp;$S$29&amp;"!$A$4"):INDIRECT(""&amp;$S$29&amp;"!$AA$4"),0),FALSE)),"",VLOOKUP($K89,OFFSET(INDIRECT(""&amp;$S$29&amp;"!$A$4"),0,0,200,100),MATCH(V$30,INDIRECT(""&amp;$S$29&amp;"!$A$4"):INDIRECT(""&amp;$S$29&amp;"!$AA$4"),0),FALSE))</f>
        <v>0</v>
      </c>
      <c r="W89" s="90">
        <f ca="1">IF(ISERROR(VLOOKUP($K89,OFFSET(INDIRECT(""&amp;$S$29&amp;"!$A$4"),0,0,200,100),MATCH(W$30,INDIRECT(""&amp;$S$29&amp;"!$A$4"):INDIRECT(""&amp;$S$29&amp;"!$AA$4"),0),FALSE)),"",VLOOKUP($K89,OFFSET(INDIRECT(""&amp;$S$29&amp;"!$A$4"),0,0,200,100),MATCH(W$30,INDIRECT(""&amp;$S$29&amp;"!$A$4"):INDIRECT(""&amp;$S$29&amp;"!$AA$4"),0),FALSE))</f>
        <v>0</v>
      </c>
      <c r="X89" s="90">
        <f ca="1">IF(ISERROR(VLOOKUP($K89,OFFSET(INDIRECT(""&amp;$S$29&amp;"!$A$4"),0,0,200,100),MATCH(X$30,INDIRECT(""&amp;$S$29&amp;"!$A$4"):INDIRECT(""&amp;$S$29&amp;"!$AA$4"),0),FALSE)),"",VLOOKUP($K89,OFFSET(INDIRECT(""&amp;$S$29&amp;"!$A$4"),0,0,200,100),MATCH(X$30,INDIRECT(""&amp;$S$29&amp;"!$A$4"):INDIRECT(""&amp;$S$29&amp;"!$AA$4"),0),FALSE))</f>
        <v>0</v>
      </c>
      <c r="Y89" s="90">
        <f ca="1">IF(ISERROR(VLOOKUP($K89,OFFSET(INDIRECT(""&amp;$S$29&amp;"!$A$4"),0,0,200,100),MATCH(Y$30,INDIRECT(""&amp;$S$29&amp;"!$A$4"):INDIRECT(""&amp;$S$29&amp;"!$AA$4"),0),FALSE)),"",VLOOKUP($K89,OFFSET(INDIRECT(""&amp;$S$29&amp;"!$A$4"),0,0,200,100),MATCH(Y$30,INDIRECT(""&amp;$S$29&amp;"!$A$4"):INDIRECT(""&amp;$S$29&amp;"!$AA$4"),0),FALSE))</f>
        <v>0</v>
      </c>
      <c r="Z89" s="90">
        <f ca="1">IF(ISERROR(VLOOKUP($K89,OFFSET(INDIRECT(""&amp;$S$29&amp;"!$A$4"),0,0,200,100),MATCH(Z$30,INDIRECT(""&amp;$S$29&amp;"!$A$4"):INDIRECT(""&amp;$S$29&amp;"!$AA$4"),0),FALSE)),"",VLOOKUP($K89,OFFSET(INDIRECT(""&amp;$S$29&amp;"!$A$4"),0,0,200,100),MATCH(Z$30,INDIRECT(""&amp;$S$29&amp;"!$A$4"):INDIRECT(""&amp;$S$29&amp;"!$AA$4"),0),FALSE))</f>
        <v>0</v>
      </c>
      <c r="AA89" s="90">
        <f t="shared" ca="1" si="61"/>
        <v>0</v>
      </c>
      <c r="AB89" s="110"/>
      <c r="AC89" s="99">
        <f t="shared" ca="1" si="66"/>
        <v>0</v>
      </c>
      <c r="AD89" s="99">
        <f t="shared" ca="1" si="67"/>
        <v>0</v>
      </c>
      <c r="AE89" s="99">
        <f t="shared" ca="1" si="68"/>
        <v>0</v>
      </c>
      <c r="AF89" s="99">
        <f t="shared" ca="1" si="69"/>
        <v>0</v>
      </c>
      <c r="AG89" s="99">
        <f t="shared" ca="1" si="79"/>
        <v>0</v>
      </c>
      <c r="AH89" s="99">
        <f t="shared" ca="1" si="79"/>
        <v>0</v>
      </c>
      <c r="AI89" s="145"/>
      <c r="AJ89" s="99">
        <f t="shared" ca="1" si="71"/>
        <v>0</v>
      </c>
      <c r="AK89" s="99">
        <f t="shared" ca="1" si="72"/>
        <v>0</v>
      </c>
      <c r="AL89" s="99">
        <f t="shared" ca="1" si="73"/>
        <v>0</v>
      </c>
      <c r="AM89" s="99">
        <f t="shared" ca="1" si="74"/>
        <v>0</v>
      </c>
      <c r="AN89" s="99">
        <f t="shared" ca="1" si="75"/>
        <v>0</v>
      </c>
      <c r="AO89" s="99">
        <f t="shared" ca="1" si="80"/>
        <v>0</v>
      </c>
      <c r="AP89" s="99">
        <f t="shared" ca="1" si="80"/>
        <v>0</v>
      </c>
      <c r="AQ89" s="99">
        <f t="shared" ca="1" si="80"/>
        <v>0</v>
      </c>
      <c r="AR89" s="99">
        <f t="shared" ca="1" si="80"/>
        <v>0</v>
      </c>
      <c r="AS89" s="99">
        <f t="shared" ca="1" si="80"/>
        <v>0</v>
      </c>
      <c r="AT89" s="99">
        <f t="shared" ca="1" si="77"/>
        <v>0</v>
      </c>
      <c r="AU89" s="99">
        <f t="shared" ca="1" si="77"/>
        <v>0</v>
      </c>
      <c r="AV89" s="99">
        <f t="shared" ca="1" si="78"/>
        <v>0</v>
      </c>
    </row>
    <row r="90" spans="1:48" s="108" customFormat="1" ht="15.95" customHeight="1">
      <c r="A90" s="113" t="s">
        <v>285</v>
      </c>
      <c r="B90" s="111" t="s">
        <v>183</v>
      </c>
      <c r="C90" s="90">
        <f ca="1">IF(ISERROR(VLOOKUP($B90,OFFSET(INDIRECT(""&amp;$B$29&amp;"!$A$4"),0,0,200,100),MATCH(C$30,INDIRECT(""&amp;$B$29&amp;"!$A$4"):INDIRECT(""&amp;$B$29&amp;"!$o$4"),0),FALSE)),"",VLOOKUP($B90,OFFSET(INDIRECT(""&amp;$B$29&amp;"!$A$4"),0,0,200,100),MATCH(C$30,INDIRECT(""&amp;$B$29&amp;"!$A$4"):INDIRECT(""&amp;$B$29&amp;"!$o$4"),0),FALSE))</f>
        <v>1635.671891</v>
      </c>
      <c r="D90" s="90">
        <f ca="1">IF(ISERROR(VLOOKUP($B90,OFFSET(INDIRECT(""&amp;$B$29&amp;"!$A$4"),0,0,200,100),MATCH(D$30,INDIRECT(""&amp;$B$29&amp;"!$A$4"):INDIRECT(""&amp;$B$29&amp;"!$o$4"),0),FALSE)),"",VLOOKUP($B90,OFFSET(INDIRECT(""&amp;$B$29&amp;"!$A$4"),0,0,200,100),MATCH(D$30,INDIRECT(""&amp;$B$29&amp;"!$A$4"):INDIRECT(""&amp;$B$29&amp;"!$o$4"),0),FALSE))</f>
        <v>1701.2458730000001</v>
      </c>
      <c r="E90" s="90">
        <f ca="1">IF(ISERROR(VLOOKUP($B90,OFFSET(INDIRECT(""&amp;$B$29&amp;"!$A$4"),0,0,200,100),MATCH(E$30,INDIRECT(""&amp;$B$29&amp;"!$A$4"):INDIRECT(""&amp;$B$29&amp;"!$o$4"),0),FALSE)),"",VLOOKUP($B90,OFFSET(INDIRECT(""&amp;$B$29&amp;"!$A$4"),0,0,200,100),MATCH(E$30,INDIRECT(""&amp;$B$29&amp;"!$A$4"):INDIRECT(""&amp;$B$29&amp;"!$o$4"),0),FALSE))</f>
        <v>1790.5766149999999</v>
      </c>
      <c r="F90" s="90">
        <f ca="1">IF(ISERROR(VLOOKUP($B90,OFFSET(INDIRECT(""&amp;$B$29&amp;"!$A$4"),0,0,200,100),MATCH(F$30,INDIRECT(""&amp;$B$29&amp;"!$A$4"):INDIRECT(""&amp;$B$29&amp;"!$o$4"),0),FALSE)),"",VLOOKUP($B90,OFFSET(INDIRECT(""&amp;$B$29&amp;"!$A$4"),0,0,200,100),MATCH(F$30,INDIRECT(""&amp;$B$29&amp;"!$A$4"):INDIRECT(""&amp;$B$29&amp;"!$o$4"),0),FALSE))</f>
        <v>1856.690126</v>
      </c>
      <c r="G90" s="90">
        <f ca="1">IF(ISERROR(VLOOKUP($B90,OFFSET(INDIRECT(""&amp;$B$29&amp;"!$A$4"),0,0,200,100),MATCH(G$30,INDIRECT(""&amp;$B$29&amp;"!$A$4"):INDIRECT(""&amp;$B$29&amp;"!$o$4"),0),FALSE)),"",VLOOKUP($B90,OFFSET(INDIRECT(""&amp;$B$29&amp;"!$A$4"),0,0,200,100),MATCH(G$30,INDIRECT(""&amp;$B$29&amp;"!$A$4"):INDIRECT(""&amp;$B$29&amp;"!$o$4"),0),FALSE))</f>
        <v>2006.8447759999999</v>
      </c>
      <c r="H90" s="90">
        <f ca="1">IF(ISERROR(VLOOKUP($B90,OFFSET(INDIRECT(""&amp;$B$29&amp;"!$A$4"),0,0,200,100),MATCH(H$30,INDIRECT(""&amp;$B$29&amp;"!$A$4"):INDIRECT(""&amp;$B$29&amp;"!$o$4"),0),FALSE)),"",VLOOKUP($B90,OFFSET(INDIRECT(""&amp;$B$29&amp;"!$A$4"),0,0,200,100),MATCH(H$30,INDIRECT(""&amp;$B$29&amp;"!$A$4"):INDIRECT(""&amp;$B$29&amp;"!$o$4"),0),FALSE))</f>
        <v>0</v>
      </c>
      <c r="I90" s="90">
        <f ca="1">IF(ISERROR(VLOOKUP($B90,OFFSET(INDIRECT(""&amp;$B$29&amp;"!$A$4"),0,0,200,100),MATCH(I$30,INDIRECT(""&amp;$B$29&amp;"!$A$4"):INDIRECT(""&amp;$B$29&amp;"!$o$4"),0),FALSE)),"",VLOOKUP($B90,OFFSET(INDIRECT(""&amp;$B$29&amp;"!$A$4"),0,0,200,100),MATCH(I$30,INDIRECT(""&amp;$B$29&amp;"!$A$4"):INDIRECT(""&amp;$B$29&amp;"!$o$4"),0),FALSE))</f>
        <v>0</v>
      </c>
      <c r="J90" s="90">
        <f ca="1">IF(ISERROR(VLOOKUP($B90,OFFSET(INDIRECT(""&amp;$B$29&amp;"!$A$4"),0,0,200,100),MATCH(J$30,INDIRECT(""&amp;$B$29&amp;"!$A$4"):INDIRECT(""&amp;$B$29&amp;"!$o$4"),0),FALSE)),"",VLOOKUP($B90,OFFSET(INDIRECT(""&amp;$B$29&amp;"!$A$4"),0,0,200,100),MATCH(J$30,INDIRECT(""&amp;$B$29&amp;"!$A$4"):INDIRECT(""&amp;$B$29&amp;"!$o$4"),0),FALSE))</f>
        <v>0</v>
      </c>
      <c r="K90" s="109" t="s">
        <v>183</v>
      </c>
      <c r="L90" s="90">
        <f ca="1">IF(ISERROR(VLOOKUP($K90,OFFSET(INDIRECT(""&amp;$S$29&amp;"!$A$4"),0,0,200,100),MATCH(L$30,INDIRECT(""&amp;$S$29&amp;"!$A$4"):INDIRECT(""&amp;$S$29&amp;"!$AA$4"),0),FALSE)),"",VLOOKUP($K90,OFFSET(INDIRECT(""&amp;$S$29&amp;"!$A$4"),0,0,200,100),MATCH(L$30,INDIRECT(""&amp;$S$29&amp;"!$A$4"):INDIRECT(""&amp;$S$29&amp;"!$AA$4"),0),FALSE))</f>
        <v>1761.89049</v>
      </c>
      <c r="M90" s="90">
        <f ca="1">IF(ISERROR(VLOOKUP($K90,OFFSET(INDIRECT(""&amp;$S$29&amp;"!$A$4"),0,0,200,100),MATCH(M$30,INDIRECT(""&amp;$S$29&amp;"!$A$4"):INDIRECT(""&amp;$S$29&amp;"!$AA$4"),0),FALSE)),"",VLOOKUP($K90,OFFSET(INDIRECT(""&amp;$S$29&amp;"!$A$4"),0,0,200,100),MATCH(M$30,INDIRECT(""&amp;$S$29&amp;"!$A$4"):INDIRECT(""&amp;$S$29&amp;"!$AA$4"),0),FALSE))</f>
        <v>1757.3790899999999</v>
      </c>
      <c r="N90" s="90">
        <f ca="1">IF(ISERROR(VLOOKUP($K90,OFFSET(INDIRECT(""&amp;$S$29&amp;"!$A$4"),0,0,200,100),MATCH(N$30,INDIRECT(""&amp;$S$29&amp;"!$A$4"):INDIRECT(""&amp;$S$29&amp;"!$AA$4"),0),FALSE)),"",VLOOKUP($K90,OFFSET(INDIRECT(""&amp;$S$29&amp;"!$A$4"),0,0,200,100),MATCH(N$30,INDIRECT(""&amp;$S$29&amp;"!$A$4"):INDIRECT(""&amp;$S$29&amp;"!$AA$4"),0),FALSE))</f>
        <v>1752.86769</v>
      </c>
      <c r="O90" s="90">
        <f ca="1">IF(ISERROR(VLOOKUP($K90,OFFSET(INDIRECT(""&amp;$S$29&amp;"!$A$4"),0,0,200,100),MATCH(O$30,INDIRECT(""&amp;$S$29&amp;"!$A$4"):INDIRECT(""&amp;$S$29&amp;"!$AA$4"),0),FALSE)),"",VLOOKUP($K90,OFFSET(INDIRECT(""&amp;$S$29&amp;"!$A$4"),0,0,200,100),MATCH(O$30,INDIRECT(""&amp;$S$29&amp;"!$A$4"):INDIRECT(""&amp;$S$29&amp;"!$AA$4"),0),FALSE))</f>
        <v>1856.690126</v>
      </c>
      <c r="P90" s="90">
        <f ca="1">IF(ISERROR(VLOOKUP($K90,OFFSET(INDIRECT(""&amp;$S$29&amp;"!$A$4"),0,0,200,100),MATCH(P$30,INDIRECT(""&amp;$S$29&amp;"!$A$4"):INDIRECT(""&amp;$S$29&amp;"!$AA$4"),0),FALSE)),"",VLOOKUP($K90,OFFSET(INDIRECT(""&amp;$S$29&amp;"!$A$4"),0,0,200,100),MATCH(P$30,INDIRECT(""&amp;$S$29&amp;"!$A$4"):INDIRECT(""&amp;$S$29&amp;"!$AA$4"),0),FALSE))</f>
        <v>1840.0351760000001</v>
      </c>
      <c r="Q90" s="90">
        <f ca="1">IF(ISERROR(VLOOKUP($K90,OFFSET(INDIRECT(""&amp;$S$29&amp;"!$A$4"),0,0,200,100),MATCH(Q$30,INDIRECT(""&amp;$S$29&amp;"!$A$4"):INDIRECT(""&amp;$S$29&amp;"!$AA$4"),0),FALSE)),"",VLOOKUP($K90,OFFSET(INDIRECT(""&amp;$S$29&amp;"!$A$4"),0,0,200,100),MATCH(Q$30,INDIRECT(""&amp;$S$29&amp;"!$A$4"):INDIRECT(""&amp;$S$29&amp;"!$AA$4"),0),FALSE))</f>
        <v>1840.0351760000001</v>
      </c>
      <c r="R90" s="90">
        <f ca="1">IF(ISERROR(VLOOKUP($K90,OFFSET(INDIRECT(""&amp;$S$29&amp;"!$A$4"),0,0,200,100),MATCH(R$30,INDIRECT(""&amp;$S$29&amp;"!$A$4"):INDIRECT(""&amp;$S$29&amp;"!$AA$4"),0),FALSE)),"",VLOOKUP($K90,OFFSET(INDIRECT(""&amp;$S$29&amp;"!$A$4"),0,0,200,100),MATCH(R$30,INDIRECT(""&amp;$S$29&amp;"!$A$4"):INDIRECT(""&amp;$S$29&amp;"!$AA$4"),0),FALSE))</f>
        <v>1840.0351760000001</v>
      </c>
      <c r="S90" s="90">
        <f ca="1">IF(ISERROR(VLOOKUP($K90,OFFSET(INDIRECT(""&amp;$S$29&amp;"!$A$4"),0,0,200,100),MATCH(S$30,INDIRECT(""&amp;$S$29&amp;"!$A$4"):INDIRECT(""&amp;$S$29&amp;"!$AA$4"),0),FALSE)),"",VLOOKUP($K90,OFFSET(INDIRECT(""&amp;$S$29&amp;"!$A$4"),0,0,200,100),MATCH(S$30,INDIRECT(""&amp;$S$29&amp;"!$A$4"):INDIRECT(""&amp;$S$29&amp;"!$AA$4"),0),FALSE))</f>
        <v>2006.8447759999999</v>
      </c>
      <c r="T90" s="90">
        <f ca="1">IF(ISERROR(VLOOKUP($K90,OFFSET(INDIRECT(""&amp;$S$29&amp;"!$A$4"),0,0,200,100),MATCH(T$30,INDIRECT(""&amp;$S$29&amp;"!$A$4"):INDIRECT(""&amp;$S$29&amp;"!$AA$4"),0),FALSE)),"",VLOOKUP($K90,OFFSET(INDIRECT(""&amp;$S$29&amp;"!$A$4"),0,0,200,100),MATCH(T$30,INDIRECT(""&amp;$S$29&amp;"!$A$4"):INDIRECT(""&amp;$S$29&amp;"!$AA$4"),0),FALSE))</f>
        <v>1995.125976</v>
      </c>
      <c r="U90" s="90">
        <f ca="1">IF(ISERROR(VLOOKUP($K90,OFFSET(INDIRECT(""&amp;$S$29&amp;"!$A$4"),0,0,200,100),MATCH(U$30,INDIRECT(""&amp;$S$29&amp;"!$A$4"):INDIRECT(""&amp;$S$29&amp;"!$AA$4"),0),FALSE)),"",VLOOKUP($K90,OFFSET(INDIRECT(""&amp;$S$29&amp;"!$A$4"),0,0,200,100),MATCH(U$30,INDIRECT(""&amp;$S$29&amp;"!$A$4"):INDIRECT(""&amp;$S$29&amp;"!$AA$4"),0),FALSE))</f>
        <v>1985.3259760000001</v>
      </c>
      <c r="V90" s="90">
        <f ca="1">IF(ISERROR(VLOOKUP($K90,OFFSET(INDIRECT(""&amp;$S$29&amp;"!$A$4"),0,0,200,100),MATCH(V$30,INDIRECT(""&amp;$S$29&amp;"!$A$4"):INDIRECT(""&amp;$S$29&amp;"!$AA$4"),0),FALSE)),"",VLOOKUP($K90,OFFSET(INDIRECT(""&amp;$S$29&amp;"!$A$4"),0,0,200,100),MATCH(V$30,INDIRECT(""&amp;$S$29&amp;"!$A$4"):INDIRECT(""&amp;$S$29&amp;"!$AA$4"),0),FALSE))</f>
        <v>1962.2679760000001</v>
      </c>
      <c r="W90" s="90">
        <f ca="1">IF(ISERROR(VLOOKUP($K90,OFFSET(INDIRECT(""&amp;$S$29&amp;"!$A$4"),0,0,200,100),MATCH(W$30,INDIRECT(""&amp;$S$29&amp;"!$A$4"):INDIRECT(""&amp;$S$29&amp;"!$AA$4"),0),FALSE)),"",VLOOKUP($K90,OFFSET(INDIRECT(""&amp;$S$29&amp;"!$A$4"),0,0,200,100),MATCH(W$30,INDIRECT(""&amp;$S$29&amp;"!$A$4"):INDIRECT(""&amp;$S$29&amp;"!$AA$4"),0),FALSE))</f>
        <v>0</v>
      </c>
      <c r="X90" s="90">
        <f ca="1">IF(ISERROR(VLOOKUP($K90,OFFSET(INDIRECT(""&amp;$S$29&amp;"!$A$4"),0,0,200,100),MATCH(X$30,INDIRECT(""&amp;$S$29&amp;"!$A$4"):INDIRECT(""&amp;$S$29&amp;"!$AA$4"),0),FALSE)),"",VLOOKUP($K90,OFFSET(INDIRECT(""&amp;$S$29&amp;"!$A$4"),0,0,200,100),MATCH(X$30,INDIRECT(""&amp;$S$29&amp;"!$A$4"):INDIRECT(""&amp;$S$29&amp;"!$AA$4"),0),FALSE))</f>
        <v>0</v>
      </c>
      <c r="Y90" s="90">
        <f ca="1">IF(ISERROR(VLOOKUP($K90,OFFSET(INDIRECT(""&amp;$S$29&amp;"!$A$4"),0,0,200,100),MATCH(Y$30,INDIRECT(""&amp;$S$29&amp;"!$A$4"):INDIRECT(""&amp;$S$29&amp;"!$AA$4"),0),FALSE)),"",VLOOKUP($K90,OFFSET(INDIRECT(""&amp;$S$29&amp;"!$A$4"),0,0,200,100),MATCH(Y$30,INDIRECT(""&amp;$S$29&amp;"!$A$4"):INDIRECT(""&amp;$S$29&amp;"!$AA$4"),0),FALSE))</f>
        <v>0</v>
      </c>
      <c r="Z90" s="90">
        <f ca="1">IF(ISERROR(VLOOKUP($K90,OFFSET(INDIRECT(""&amp;$S$29&amp;"!$A$4"),0,0,200,100),MATCH(Z$30,INDIRECT(""&amp;$S$29&amp;"!$A$4"):INDIRECT(""&amp;$S$29&amp;"!$AA$4"),0),FALSE)),"",VLOOKUP($K90,OFFSET(INDIRECT(""&amp;$S$29&amp;"!$A$4"),0,0,200,100),MATCH(Z$30,INDIRECT(""&amp;$S$29&amp;"!$A$4"):INDIRECT(""&amp;$S$29&amp;"!$AA$4"),0),FALSE))</f>
        <v>0</v>
      </c>
      <c r="AA90" s="90">
        <f t="shared" ca="1" si="61"/>
        <v>0</v>
      </c>
      <c r="AB90" s="110"/>
      <c r="AC90" s="99">
        <f t="shared" ca="1" si="66"/>
        <v>5.1330302840403045E-3</v>
      </c>
      <c r="AD90" s="99">
        <f t="shared" ca="1" si="67"/>
        <v>4.9239645767749059E-3</v>
      </c>
      <c r="AE90" s="99">
        <f t="shared" ca="1" si="68"/>
        <v>5.2584199399663585E-3</v>
      </c>
      <c r="AF90" s="99">
        <f t="shared" ca="1" si="69"/>
        <v>0</v>
      </c>
      <c r="AG90" s="99">
        <f t="shared" ca="1" si="79"/>
        <v>0</v>
      </c>
      <c r="AH90" s="99">
        <f t="shared" ca="1" si="79"/>
        <v>0</v>
      </c>
      <c r="AI90" s="145"/>
      <c r="AJ90" s="99">
        <f t="shared" ca="1" si="71"/>
        <v>4.7389388101804729E-3</v>
      </c>
      <c r="AK90" s="99">
        <f t="shared" ca="1" si="72"/>
        <v>4.7316302901802779E-3</v>
      </c>
      <c r="AL90" s="99">
        <f t="shared" ca="1" si="73"/>
        <v>4.4473199145302787E-3</v>
      </c>
      <c r="AM90" s="99">
        <f t="shared" ca="1" si="74"/>
        <v>4.6303234152237759E-3</v>
      </c>
      <c r="AN90" s="99">
        <f t="shared" ca="1" si="75"/>
        <v>4.9795864103148501E-3</v>
      </c>
      <c r="AO90" s="99">
        <f t="shared" ca="1" si="80"/>
        <v>5.2600223860389452E-3</v>
      </c>
      <c r="AP90" s="99">
        <f t="shared" ca="1" si="80"/>
        <v>5.3861602437969471E-3</v>
      </c>
      <c r="AQ90" s="99">
        <f t="shared" ca="1" si="80"/>
        <v>5.4354420274815131E-3</v>
      </c>
      <c r="AR90" s="99">
        <f t="shared" ca="1" si="80"/>
        <v>0</v>
      </c>
      <c r="AS90" s="99">
        <f t="shared" ca="1" si="80"/>
        <v>0</v>
      </c>
      <c r="AT90" s="99">
        <f t="shared" ca="1" si="77"/>
        <v>0</v>
      </c>
      <c r="AU90" s="99">
        <f t="shared" ca="1" si="77"/>
        <v>0</v>
      </c>
      <c r="AV90" s="99">
        <f t="shared" ca="1" si="78"/>
        <v>0</v>
      </c>
    </row>
    <row r="91" spans="1:48" s="108" customFormat="1" ht="15.95" customHeight="1">
      <c r="A91" s="113" t="s">
        <v>286</v>
      </c>
      <c r="B91" s="111" t="s">
        <v>184</v>
      </c>
      <c r="C91" s="90">
        <f ca="1">IF(ISERROR(VLOOKUP($B91,OFFSET(INDIRECT(""&amp;$B$29&amp;"!$A$4"),0,0,200,100),MATCH(C$30,INDIRECT(""&amp;$B$29&amp;"!$A$4"):INDIRECT(""&amp;$B$29&amp;"!$o$4"),0),FALSE)),"",VLOOKUP($B91,OFFSET(INDIRECT(""&amp;$B$29&amp;"!$A$4"),0,0,200,100),MATCH(C$30,INDIRECT(""&amp;$B$29&amp;"!$A$4"):INDIRECT(""&amp;$B$29&amp;"!$o$4"),0),FALSE))</f>
        <v>0</v>
      </c>
      <c r="D91" s="90">
        <f ca="1">IF(ISERROR(VLOOKUP($B91,OFFSET(INDIRECT(""&amp;$B$29&amp;"!$A$4"),0,0,200,100),MATCH(D$30,INDIRECT(""&amp;$B$29&amp;"!$A$4"):INDIRECT(""&amp;$B$29&amp;"!$o$4"),0),FALSE)),"",VLOOKUP($B91,OFFSET(INDIRECT(""&amp;$B$29&amp;"!$A$4"),0,0,200,100),MATCH(D$30,INDIRECT(""&amp;$B$29&amp;"!$A$4"):INDIRECT(""&amp;$B$29&amp;"!$o$4"),0),FALSE))</f>
        <v>0</v>
      </c>
      <c r="E91" s="90">
        <f ca="1">IF(ISERROR(VLOOKUP($B91,OFFSET(INDIRECT(""&amp;$B$29&amp;"!$A$4"),0,0,200,100),MATCH(E$30,INDIRECT(""&amp;$B$29&amp;"!$A$4"):INDIRECT(""&amp;$B$29&amp;"!$o$4"),0),FALSE)),"",VLOOKUP($B91,OFFSET(INDIRECT(""&amp;$B$29&amp;"!$A$4"),0,0,200,100),MATCH(E$30,INDIRECT(""&amp;$B$29&amp;"!$A$4"):INDIRECT(""&amp;$B$29&amp;"!$o$4"),0),FALSE))</f>
        <v>0</v>
      </c>
      <c r="F91" s="90">
        <f ca="1">IF(ISERROR(VLOOKUP($B91,OFFSET(INDIRECT(""&amp;$B$29&amp;"!$A$4"),0,0,200,100),MATCH(F$30,INDIRECT(""&amp;$B$29&amp;"!$A$4"):INDIRECT(""&amp;$B$29&amp;"!$o$4"),0),FALSE)),"",VLOOKUP($B91,OFFSET(INDIRECT(""&amp;$B$29&amp;"!$A$4"),0,0,200,100),MATCH(F$30,INDIRECT(""&amp;$B$29&amp;"!$A$4"):INDIRECT(""&amp;$B$29&amp;"!$o$4"),0),FALSE))</f>
        <v>0</v>
      </c>
      <c r="G91" s="90">
        <f ca="1">IF(ISERROR(VLOOKUP($B91,OFFSET(INDIRECT(""&amp;$B$29&amp;"!$A$4"),0,0,200,100),MATCH(G$30,INDIRECT(""&amp;$B$29&amp;"!$A$4"):INDIRECT(""&amp;$B$29&amp;"!$o$4"),0),FALSE)),"",VLOOKUP($B91,OFFSET(INDIRECT(""&amp;$B$29&amp;"!$A$4"),0,0,200,100),MATCH(G$30,INDIRECT(""&amp;$B$29&amp;"!$A$4"):INDIRECT(""&amp;$B$29&amp;"!$o$4"),0),FALSE))</f>
        <v>0</v>
      </c>
      <c r="H91" s="90">
        <f ca="1">IF(ISERROR(VLOOKUP($B91,OFFSET(INDIRECT(""&amp;$B$29&amp;"!$A$4"),0,0,200,100),MATCH(H$30,INDIRECT(""&amp;$B$29&amp;"!$A$4"):INDIRECT(""&amp;$B$29&amp;"!$o$4"),0),FALSE)),"",VLOOKUP($B91,OFFSET(INDIRECT(""&amp;$B$29&amp;"!$A$4"),0,0,200,100),MATCH(H$30,INDIRECT(""&amp;$B$29&amp;"!$A$4"):INDIRECT(""&amp;$B$29&amp;"!$o$4"),0),FALSE))</f>
        <v>0</v>
      </c>
      <c r="I91" s="90">
        <f ca="1">IF(ISERROR(VLOOKUP($B91,OFFSET(INDIRECT(""&amp;$B$29&amp;"!$A$4"),0,0,200,100),MATCH(I$30,INDIRECT(""&amp;$B$29&amp;"!$A$4"):INDIRECT(""&amp;$B$29&amp;"!$o$4"),0),FALSE)),"",VLOOKUP($B91,OFFSET(INDIRECT(""&amp;$B$29&amp;"!$A$4"),0,0,200,100),MATCH(I$30,INDIRECT(""&amp;$B$29&amp;"!$A$4"):INDIRECT(""&amp;$B$29&amp;"!$o$4"),0),FALSE))</f>
        <v>0</v>
      </c>
      <c r="J91" s="90">
        <f ca="1">IF(ISERROR(VLOOKUP($B91,OFFSET(INDIRECT(""&amp;$B$29&amp;"!$A$4"),0,0,200,100),MATCH(J$30,INDIRECT(""&amp;$B$29&amp;"!$A$4"):INDIRECT(""&amp;$B$29&amp;"!$o$4"),0),FALSE)),"",VLOOKUP($B91,OFFSET(INDIRECT(""&amp;$B$29&amp;"!$A$4"),0,0,200,100),MATCH(J$30,INDIRECT(""&amp;$B$29&amp;"!$A$4"):INDIRECT(""&amp;$B$29&amp;"!$o$4"),0),FALSE))</f>
        <v>0</v>
      </c>
      <c r="K91" s="109" t="s">
        <v>184</v>
      </c>
      <c r="L91" s="90">
        <f ca="1">IF(ISERROR(VLOOKUP($K91,OFFSET(INDIRECT(""&amp;$S$29&amp;"!$A$4"),0,0,200,100),MATCH(L$30,INDIRECT(""&amp;$S$29&amp;"!$A$4"):INDIRECT(""&amp;$S$29&amp;"!$AA$4"),0),FALSE)),"",VLOOKUP($K91,OFFSET(INDIRECT(""&amp;$S$29&amp;"!$A$4"),0,0,200,100),MATCH(L$30,INDIRECT(""&amp;$S$29&amp;"!$A$4"):INDIRECT(""&amp;$S$29&amp;"!$AA$4"),0),FALSE))</f>
        <v>0</v>
      </c>
      <c r="M91" s="90">
        <f ca="1">IF(ISERROR(VLOOKUP($K91,OFFSET(INDIRECT(""&amp;$S$29&amp;"!$A$4"),0,0,200,100),MATCH(M$30,INDIRECT(""&amp;$S$29&amp;"!$A$4"):INDIRECT(""&amp;$S$29&amp;"!$AA$4"),0),FALSE)),"",VLOOKUP($K91,OFFSET(INDIRECT(""&amp;$S$29&amp;"!$A$4"),0,0,200,100),MATCH(M$30,INDIRECT(""&amp;$S$29&amp;"!$A$4"):INDIRECT(""&amp;$S$29&amp;"!$AA$4"),0),FALSE))</f>
        <v>0</v>
      </c>
      <c r="N91" s="90">
        <f ca="1">IF(ISERROR(VLOOKUP($K91,OFFSET(INDIRECT(""&amp;$S$29&amp;"!$A$4"),0,0,200,100),MATCH(N$30,INDIRECT(""&amp;$S$29&amp;"!$A$4"):INDIRECT(""&amp;$S$29&amp;"!$AA$4"),0),FALSE)),"",VLOOKUP($K91,OFFSET(INDIRECT(""&amp;$S$29&amp;"!$A$4"),0,0,200,100),MATCH(N$30,INDIRECT(""&amp;$S$29&amp;"!$A$4"):INDIRECT(""&amp;$S$29&amp;"!$AA$4"),0),FALSE))</f>
        <v>0</v>
      </c>
      <c r="O91" s="90">
        <f ca="1">IF(ISERROR(VLOOKUP($K91,OFFSET(INDIRECT(""&amp;$S$29&amp;"!$A$4"),0,0,200,100),MATCH(O$30,INDIRECT(""&amp;$S$29&amp;"!$A$4"):INDIRECT(""&amp;$S$29&amp;"!$AA$4"),0),FALSE)),"",VLOOKUP($K91,OFFSET(INDIRECT(""&amp;$S$29&amp;"!$A$4"),0,0,200,100),MATCH(O$30,INDIRECT(""&amp;$S$29&amp;"!$A$4"):INDIRECT(""&amp;$S$29&amp;"!$AA$4"),0),FALSE))</f>
        <v>0</v>
      </c>
      <c r="P91" s="90">
        <f ca="1">IF(ISERROR(VLOOKUP($K91,OFFSET(INDIRECT(""&amp;$S$29&amp;"!$A$4"),0,0,200,100),MATCH(P$30,INDIRECT(""&amp;$S$29&amp;"!$A$4"):INDIRECT(""&amp;$S$29&amp;"!$AA$4"),0),FALSE)),"",VLOOKUP($K91,OFFSET(INDIRECT(""&amp;$S$29&amp;"!$A$4"),0,0,200,100),MATCH(P$30,INDIRECT(""&amp;$S$29&amp;"!$A$4"):INDIRECT(""&amp;$S$29&amp;"!$AA$4"),0),FALSE))</f>
        <v>0</v>
      </c>
      <c r="Q91" s="90">
        <f ca="1">IF(ISERROR(VLOOKUP($K91,OFFSET(INDIRECT(""&amp;$S$29&amp;"!$A$4"),0,0,200,100),MATCH(Q$30,INDIRECT(""&amp;$S$29&amp;"!$A$4"):INDIRECT(""&amp;$S$29&amp;"!$AA$4"),0),FALSE)),"",VLOOKUP($K91,OFFSET(INDIRECT(""&amp;$S$29&amp;"!$A$4"),0,0,200,100),MATCH(Q$30,INDIRECT(""&amp;$S$29&amp;"!$A$4"):INDIRECT(""&amp;$S$29&amp;"!$AA$4"),0),FALSE))</f>
        <v>0</v>
      </c>
      <c r="R91" s="90">
        <f ca="1">IF(ISERROR(VLOOKUP($K91,OFFSET(INDIRECT(""&amp;$S$29&amp;"!$A$4"),0,0,200,100),MATCH(R$30,INDIRECT(""&amp;$S$29&amp;"!$A$4"):INDIRECT(""&amp;$S$29&amp;"!$AA$4"),0),FALSE)),"",VLOOKUP($K91,OFFSET(INDIRECT(""&amp;$S$29&amp;"!$A$4"),0,0,200,100),MATCH(R$30,INDIRECT(""&amp;$S$29&amp;"!$A$4"):INDIRECT(""&amp;$S$29&amp;"!$AA$4"),0),FALSE))</f>
        <v>0</v>
      </c>
      <c r="S91" s="90">
        <f ca="1">IF(ISERROR(VLOOKUP($K91,OFFSET(INDIRECT(""&amp;$S$29&amp;"!$A$4"),0,0,200,100),MATCH(S$30,INDIRECT(""&amp;$S$29&amp;"!$A$4"):INDIRECT(""&amp;$S$29&amp;"!$AA$4"),0),FALSE)),"",VLOOKUP($K91,OFFSET(INDIRECT(""&amp;$S$29&amp;"!$A$4"),0,0,200,100),MATCH(S$30,INDIRECT(""&amp;$S$29&amp;"!$A$4"):INDIRECT(""&amp;$S$29&amp;"!$AA$4"),0),FALSE))</f>
        <v>0</v>
      </c>
      <c r="T91" s="90">
        <f ca="1">IF(ISERROR(VLOOKUP($K91,OFFSET(INDIRECT(""&amp;$S$29&amp;"!$A$4"),0,0,200,100),MATCH(T$30,INDIRECT(""&amp;$S$29&amp;"!$A$4"):INDIRECT(""&amp;$S$29&amp;"!$AA$4"),0),FALSE)),"",VLOOKUP($K91,OFFSET(INDIRECT(""&amp;$S$29&amp;"!$A$4"),0,0,200,100),MATCH(T$30,INDIRECT(""&amp;$S$29&amp;"!$A$4"):INDIRECT(""&amp;$S$29&amp;"!$AA$4"),0),FALSE))</f>
        <v>0</v>
      </c>
      <c r="U91" s="90">
        <f ca="1">IF(ISERROR(VLOOKUP($K91,OFFSET(INDIRECT(""&amp;$S$29&amp;"!$A$4"),0,0,200,100),MATCH(U$30,INDIRECT(""&amp;$S$29&amp;"!$A$4"):INDIRECT(""&amp;$S$29&amp;"!$AA$4"),0),FALSE)),"",VLOOKUP($K91,OFFSET(INDIRECT(""&amp;$S$29&amp;"!$A$4"),0,0,200,100),MATCH(U$30,INDIRECT(""&amp;$S$29&amp;"!$A$4"):INDIRECT(""&amp;$S$29&amp;"!$AA$4"),0),FALSE))</f>
        <v>0</v>
      </c>
      <c r="V91" s="90">
        <f ca="1">IF(ISERROR(VLOOKUP($K91,OFFSET(INDIRECT(""&amp;$S$29&amp;"!$A$4"),0,0,200,100),MATCH(V$30,INDIRECT(""&amp;$S$29&amp;"!$A$4"):INDIRECT(""&amp;$S$29&amp;"!$AA$4"),0),FALSE)),"",VLOOKUP($K91,OFFSET(INDIRECT(""&amp;$S$29&amp;"!$A$4"),0,0,200,100),MATCH(V$30,INDIRECT(""&amp;$S$29&amp;"!$A$4"):INDIRECT(""&amp;$S$29&amp;"!$AA$4"),0),FALSE))</f>
        <v>0</v>
      </c>
      <c r="W91" s="90">
        <f ca="1">IF(ISERROR(VLOOKUP($K91,OFFSET(INDIRECT(""&amp;$S$29&amp;"!$A$4"),0,0,200,100),MATCH(W$30,INDIRECT(""&amp;$S$29&amp;"!$A$4"):INDIRECT(""&amp;$S$29&amp;"!$AA$4"),0),FALSE)),"",VLOOKUP($K91,OFFSET(INDIRECT(""&amp;$S$29&amp;"!$A$4"),0,0,200,100),MATCH(W$30,INDIRECT(""&amp;$S$29&amp;"!$A$4"):INDIRECT(""&amp;$S$29&amp;"!$AA$4"),0),FALSE))</f>
        <v>0</v>
      </c>
      <c r="X91" s="90">
        <f ca="1">IF(ISERROR(VLOOKUP($K91,OFFSET(INDIRECT(""&amp;$S$29&amp;"!$A$4"),0,0,200,100),MATCH(X$30,INDIRECT(""&amp;$S$29&amp;"!$A$4"):INDIRECT(""&amp;$S$29&amp;"!$AA$4"),0),FALSE)),"",VLOOKUP($K91,OFFSET(INDIRECT(""&amp;$S$29&amp;"!$A$4"),0,0,200,100),MATCH(X$30,INDIRECT(""&amp;$S$29&amp;"!$A$4"):INDIRECT(""&amp;$S$29&amp;"!$AA$4"),0),FALSE))</f>
        <v>0</v>
      </c>
      <c r="Y91" s="90">
        <f ca="1">IF(ISERROR(VLOOKUP($K91,OFFSET(INDIRECT(""&amp;$S$29&amp;"!$A$4"),0,0,200,100),MATCH(Y$30,INDIRECT(""&amp;$S$29&amp;"!$A$4"):INDIRECT(""&amp;$S$29&amp;"!$AA$4"),0),FALSE)),"",VLOOKUP($K91,OFFSET(INDIRECT(""&amp;$S$29&amp;"!$A$4"),0,0,200,100),MATCH(Y$30,INDIRECT(""&amp;$S$29&amp;"!$A$4"):INDIRECT(""&amp;$S$29&amp;"!$AA$4"),0),FALSE))</f>
        <v>0</v>
      </c>
      <c r="Z91" s="90">
        <f ca="1">IF(ISERROR(VLOOKUP($K91,OFFSET(INDIRECT(""&amp;$S$29&amp;"!$A$4"),0,0,200,100),MATCH(Z$30,INDIRECT(""&amp;$S$29&amp;"!$A$4"):INDIRECT(""&amp;$S$29&amp;"!$AA$4"),0),FALSE)),"",VLOOKUP($K91,OFFSET(INDIRECT(""&amp;$S$29&amp;"!$A$4"),0,0,200,100),MATCH(Z$30,INDIRECT(""&amp;$S$29&amp;"!$A$4"):INDIRECT(""&amp;$S$29&amp;"!$AA$4"),0),FALSE))</f>
        <v>0</v>
      </c>
      <c r="AA91" s="90">
        <f t="shared" ca="1" si="61"/>
        <v>0</v>
      </c>
      <c r="AB91" s="110"/>
      <c r="AC91" s="99">
        <f t="shared" ca="1" si="66"/>
        <v>0</v>
      </c>
      <c r="AD91" s="99">
        <f t="shared" ca="1" si="67"/>
        <v>0</v>
      </c>
      <c r="AE91" s="99">
        <f t="shared" ca="1" si="68"/>
        <v>0</v>
      </c>
      <c r="AF91" s="99">
        <f t="shared" ca="1" si="69"/>
        <v>0</v>
      </c>
      <c r="AG91" s="99">
        <f t="shared" ca="1" si="79"/>
        <v>0</v>
      </c>
      <c r="AH91" s="99">
        <f t="shared" ca="1" si="79"/>
        <v>0</v>
      </c>
      <c r="AI91" s="145"/>
      <c r="AJ91" s="99">
        <f t="shared" ca="1" si="71"/>
        <v>0</v>
      </c>
      <c r="AK91" s="99">
        <f t="shared" ca="1" si="72"/>
        <v>0</v>
      </c>
      <c r="AL91" s="99">
        <f t="shared" ca="1" si="73"/>
        <v>0</v>
      </c>
      <c r="AM91" s="99">
        <f t="shared" ca="1" si="74"/>
        <v>0</v>
      </c>
      <c r="AN91" s="99">
        <f t="shared" ca="1" si="75"/>
        <v>0</v>
      </c>
      <c r="AO91" s="99">
        <f t="shared" ca="1" si="80"/>
        <v>0</v>
      </c>
      <c r="AP91" s="99">
        <f t="shared" ca="1" si="80"/>
        <v>0</v>
      </c>
      <c r="AQ91" s="99">
        <f t="shared" ca="1" si="80"/>
        <v>0</v>
      </c>
      <c r="AR91" s="99">
        <f t="shared" ca="1" si="80"/>
        <v>0</v>
      </c>
      <c r="AS91" s="99">
        <f t="shared" ca="1" si="80"/>
        <v>0</v>
      </c>
      <c r="AT91" s="99">
        <f t="shared" ca="1" si="77"/>
        <v>0</v>
      </c>
      <c r="AU91" s="99">
        <f t="shared" ca="1" si="77"/>
        <v>0</v>
      </c>
      <c r="AV91" s="99">
        <f t="shared" ca="1" si="78"/>
        <v>0</v>
      </c>
    </row>
    <row r="92" spans="1:48" s="108" customFormat="1" ht="15.95" customHeight="1">
      <c r="A92" s="85" t="s">
        <v>287</v>
      </c>
      <c r="B92" s="116" t="s">
        <v>186</v>
      </c>
      <c r="C92" s="76">
        <f ca="1">IF(ISERROR(VLOOKUP($B92,OFFSET(INDIRECT(""&amp;$B$29&amp;"!$A$4"),0,0,200,100),MATCH(C$30,INDIRECT(""&amp;$B$29&amp;"!$A$4"):INDIRECT(""&amp;$B$29&amp;"!$o$4"),0),FALSE)),"",VLOOKUP($B92,OFFSET(INDIRECT(""&amp;$B$29&amp;"!$A$4"),0,0,200,100),MATCH(C$30,INDIRECT(""&amp;$B$29&amp;"!$A$4"):INDIRECT(""&amp;$B$29&amp;"!$o$4"),0),FALSE))</f>
        <v>207253.604785</v>
      </c>
      <c r="D92" s="76">
        <f ca="1">IF(ISERROR(VLOOKUP($B92,OFFSET(INDIRECT(""&amp;$B$29&amp;"!$A$4"),0,0,200,100),MATCH(D$30,INDIRECT(""&amp;$B$29&amp;"!$A$4"):INDIRECT(""&amp;$B$29&amp;"!$o$4"),0),FALSE)),"",VLOOKUP($B92,OFFSET(INDIRECT(""&amp;$B$29&amp;"!$A$4"),0,0,200,100),MATCH(D$30,INDIRECT(""&amp;$B$29&amp;"!$A$4"):INDIRECT(""&amp;$B$29&amp;"!$o$4"),0),FALSE))</f>
        <v>277311.02043400001</v>
      </c>
      <c r="E92" s="76">
        <f ca="1">IF(ISERROR(VLOOKUP($B92,OFFSET(INDIRECT(""&amp;$B$29&amp;"!$A$4"),0,0,200,100),MATCH(E$30,INDIRECT(""&amp;$B$29&amp;"!$A$4"):INDIRECT(""&amp;$B$29&amp;"!$o$4"),0),FALSE)),"",VLOOKUP($B92,OFFSET(INDIRECT(""&amp;$B$29&amp;"!$A$4"),0,0,200,100),MATCH(E$30,INDIRECT(""&amp;$B$29&amp;"!$A$4"):INDIRECT(""&amp;$B$29&amp;"!$o$4"),0),FALSE))</f>
        <v>320243.420545</v>
      </c>
      <c r="F92" s="76">
        <f ca="1">IF(ISERROR(VLOOKUP($B92,OFFSET(INDIRECT(""&amp;$B$29&amp;"!$A$4"),0,0,200,100),MATCH(F$30,INDIRECT(""&amp;$B$29&amp;"!$A$4"):INDIRECT(""&amp;$B$29&amp;"!$o$4"),0),FALSE)),"",VLOOKUP($B92,OFFSET(INDIRECT(""&amp;$B$29&amp;"!$A$4"),0,0,200,100),MATCH(F$30,INDIRECT(""&amp;$B$29&amp;"!$A$4"):INDIRECT(""&amp;$B$29&amp;"!$o$4"),0),FALSE))</f>
        <v>318647.28737099998</v>
      </c>
      <c r="G92" s="76">
        <f ca="1">IF(ISERROR(VLOOKUP($B92,OFFSET(INDIRECT(""&amp;$B$29&amp;"!$A$4"),0,0,200,100),MATCH(G$30,INDIRECT(""&amp;$B$29&amp;"!$A$4"):INDIRECT(""&amp;$B$29&amp;"!$o$4"),0),FALSE)),"",VLOOKUP($B92,OFFSET(INDIRECT(""&amp;$B$29&amp;"!$A$4"),0,0,200,100),MATCH(G$30,INDIRECT(""&amp;$B$29&amp;"!$A$4"):INDIRECT(""&amp;$B$29&amp;"!$o$4"),0),FALSE))</f>
        <v>317419.37553199998</v>
      </c>
      <c r="H92" s="76">
        <f ca="1">IF(ISERROR(VLOOKUP($B92,OFFSET(INDIRECT(""&amp;$B$29&amp;"!$A$4"),0,0,200,100),MATCH(H$30,INDIRECT(""&amp;$B$29&amp;"!$A$4"):INDIRECT(""&amp;$B$29&amp;"!$o$4"),0),FALSE)),"",VLOOKUP($B92,OFFSET(INDIRECT(""&amp;$B$29&amp;"!$A$4"),0,0,200,100),MATCH(H$30,INDIRECT(""&amp;$B$29&amp;"!$A$4"):INDIRECT(""&amp;$B$29&amp;"!$o$4"),0),FALSE))</f>
        <v>312148.98926900001</v>
      </c>
      <c r="I92" s="76">
        <f ca="1">IF(ISERROR(VLOOKUP($B92,OFFSET(INDIRECT(""&amp;$B$29&amp;"!$A$4"),0,0,200,100),MATCH(I$30,INDIRECT(""&amp;$B$29&amp;"!$A$4"):INDIRECT(""&amp;$B$29&amp;"!$o$4"),0),FALSE)),"",VLOOKUP($B92,OFFSET(INDIRECT(""&amp;$B$29&amp;"!$A$4"),0,0,200,100),MATCH(I$30,INDIRECT(""&amp;$B$29&amp;"!$A$4"):INDIRECT(""&amp;$B$29&amp;"!$o$4"),0),FALSE))</f>
        <v>305531.51876299997</v>
      </c>
      <c r="J92" s="76">
        <f ca="1">IF(ISERROR(VLOOKUP($B92,OFFSET(INDIRECT(""&amp;$B$29&amp;"!$A$4"),0,0,200,100),MATCH(J$30,INDIRECT(""&amp;$B$29&amp;"!$A$4"):INDIRECT(""&amp;$B$29&amp;"!$o$4"),0),FALSE)),"",VLOOKUP($B92,OFFSET(INDIRECT(""&amp;$B$29&amp;"!$A$4"),0,0,200,100),MATCH(J$30,INDIRECT(""&amp;$B$29&amp;"!$A$4"):INDIRECT(""&amp;$B$29&amp;"!$o$4"),0),FALSE))</f>
        <v>305531.51876299997</v>
      </c>
      <c r="K92" s="109" t="s">
        <v>186</v>
      </c>
      <c r="L92" s="76">
        <f ca="1">IF(ISERROR(VLOOKUP($K92,OFFSET(INDIRECT(""&amp;$S$29&amp;"!$A$4"),0,0,200,100),MATCH(L$30,INDIRECT(""&amp;$S$29&amp;"!$A$4"):INDIRECT(""&amp;$S$29&amp;"!$AA$4"),0),FALSE)),"",VLOOKUP($K92,OFFSET(INDIRECT(""&amp;$S$29&amp;"!$A$4"),0,0,200,100),MATCH(L$30,INDIRECT(""&amp;$S$29&amp;"!$A$4"):INDIRECT(""&amp;$S$29&amp;"!$AA$4"),0),FALSE))</f>
        <v>333120.79394900001</v>
      </c>
      <c r="M92" s="76">
        <f ca="1">IF(ISERROR(VLOOKUP($K92,OFFSET(INDIRECT(""&amp;$S$29&amp;"!$A$4"),0,0,200,100),MATCH(M$30,INDIRECT(""&amp;$S$29&amp;"!$A$4"):INDIRECT(""&amp;$S$29&amp;"!$AA$4"),0),FALSE)),"",VLOOKUP($K92,OFFSET(INDIRECT(""&amp;$S$29&amp;"!$A$4"),0,0,200,100),MATCH(M$30,INDIRECT(""&amp;$S$29&amp;"!$A$4"):INDIRECT(""&amp;$S$29&amp;"!$AA$4"),0),FALSE))</f>
        <v>314349.58669700002</v>
      </c>
      <c r="N92" s="76">
        <f ca="1">IF(ISERROR(VLOOKUP($K92,OFFSET(INDIRECT(""&amp;$S$29&amp;"!$A$4"),0,0,200,100),MATCH(N$30,INDIRECT(""&amp;$S$29&amp;"!$A$4"):INDIRECT(""&amp;$S$29&amp;"!$AA$4"),0),FALSE)),"",VLOOKUP($K92,OFFSET(INDIRECT(""&amp;$S$29&amp;"!$A$4"),0,0,200,100),MATCH(N$30,INDIRECT(""&amp;$S$29&amp;"!$A$4"):INDIRECT(""&amp;$S$29&amp;"!$AA$4"),0),FALSE))</f>
        <v>326606.52824199997</v>
      </c>
      <c r="O92" s="76">
        <f ca="1">IF(ISERROR(VLOOKUP($K92,OFFSET(INDIRECT(""&amp;$S$29&amp;"!$A$4"),0,0,200,100),MATCH(O$30,INDIRECT(""&amp;$S$29&amp;"!$A$4"):INDIRECT(""&amp;$S$29&amp;"!$AA$4"),0),FALSE)),"",VLOOKUP($K92,OFFSET(INDIRECT(""&amp;$S$29&amp;"!$A$4"),0,0,200,100),MATCH(O$30,INDIRECT(""&amp;$S$29&amp;"!$A$4"):INDIRECT(""&amp;$S$29&amp;"!$AA$4"),0),FALSE))</f>
        <v>333830.75244399998</v>
      </c>
      <c r="P92" s="76">
        <f ca="1">IF(ISERROR(VLOOKUP($K92,OFFSET(INDIRECT(""&amp;$S$29&amp;"!$A$4"),0,0,200,100),MATCH(P$30,INDIRECT(""&amp;$S$29&amp;"!$A$4"):INDIRECT(""&amp;$S$29&amp;"!$AA$4"),0),FALSE)),"",VLOOKUP($K92,OFFSET(INDIRECT(""&amp;$S$29&amp;"!$A$4"),0,0,200,100),MATCH(P$30,INDIRECT(""&amp;$S$29&amp;"!$A$4"):INDIRECT(""&amp;$S$29&amp;"!$AA$4"),0),FALSE))</f>
        <v>329686.42543599999</v>
      </c>
      <c r="Q92" s="76">
        <f ca="1">IF(ISERROR(VLOOKUP($K92,OFFSET(INDIRECT(""&amp;$S$29&amp;"!$A$4"),0,0,200,100),MATCH(Q$30,INDIRECT(""&amp;$S$29&amp;"!$A$4"):INDIRECT(""&amp;$S$29&amp;"!$AA$4"),0),FALSE)),"",VLOOKUP($K92,OFFSET(INDIRECT(""&amp;$S$29&amp;"!$A$4"),0,0,200,100),MATCH(Q$30,INDIRECT(""&amp;$S$29&amp;"!$A$4"):INDIRECT(""&amp;$S$29&amp;"!$AA$4"),0),FALSE))</f>
        <v>316622.53310900001</v>
      </c>
      <c r="R92" s="76">
        <f ca="1">IF(ISERROR(VLOOKUP($K92,OFFSET(INDIRECT(""&amp;$S$29&amp;"!$A$4"),0,0,200,100),MATCH(R$30,INDIRECT(""&amp;$S$29&amp;"!$A$4"):INDIRECT(""&amp;$S$29&amp;"!$AA$4"),0),FALSE)),"",VLOOKUP($K92,OFFSET(INDIRECT(""&amp;$S$29&amp;"!$A$4"),0,0,200,100),MATCH(R$30,INDIRECT(""&amp;$S$29&amp;"!$A$4"):INDIRECT(""&amp;$S$29&amp;"!$AA$4"),0),FALSE))</f>
        <v>323936.18273300002</v>
      </c>
      <c r="S92" s="76">
        <f ca="1">IF(ISERROR(VLOOKUP($K92,OFFSET(INDIRECT(""&amp;$S$29&amp;"!$A$4"),0,0,200,100),MATCH(S$30,INDIRECT(""&amp;$S$29&amp;"!$A$4"):INDIRECT(""&amp;$S$29&amp;"!$AA$4"),0),FALSE)),"",VLOOKUP($K92,OFFSET(INDIRECT(""&amp;$S$29&amp;"!$A$4"),0,0,200,100),MATCH(S$30,INDIRECT(""&amp;$S$29&amp;"!$A$4"):INDIRECT(""&amp;$S$29&amp;"!$AA$4"),0),FALSE))</f>
        <v>338864.41426300001</v>
      </c>
      <c r="T92" s="76">
        <f ca="1">IF(ISERROR(VLOOKUP($K92,OFFSET(INDIRECT(""&amp;$S$29&amp;"!$A$4"),0,0,200,100),MATCH(T$30,INDIRECT(""&amp;$S$29&amp;"!$A$4"):INDIRECT(""&amp;$S$29&amp;"!$AA$4"),0),FALSE)),"",VLOOKUP($K92,OFFSET(INDIRECT(""&amp;$S$29&amp;"!$A$4"),0,0,200,100),MATCH(T$30,INDIRECT(""&amp;$S$29&amp;"!$A$4"):INDIRECT(""&amp;$S$29&amp;"!$AA$4"),0),FALSE))</f>
        <v>318730.337482</v>
      </c>
      <c r="U92" s="76">
        <f ca="1">IF(ISERROR(VLOOKUP($K92,OFFSET(INDIRECT(""&amp;$S$29&amp;"!$A$4"),0,0,200,100),MATCH(U$30,INDIRECT(""&amp;$S$29&amp;"!$A$4"):INDIRECT(""&amp;$S$29&amp;"!$AA$4"),0),FALSE)),"",VLOOKUP($K92,OFFSET(INDIRECT(""&amp;$S$29&amp;"!$A$4"),0,0,200,100),MATCH(U$30,INDIRECT(""&amp;$S$29&amp;"!$A$4"):INDIRECT(""&amp;$S$29&amp;"!$AA$4"),0),FALSE))</f>
        <v>305600.65941299999</v>
      </c>
      <c r="V92" s="76">
        <f ca="1">IF(ISERROR(VLOOKUP($K92,OFFSET(INDIRECT(""&amp;$S$29&amp;"!$A$4"),0,0,200,100),MATCH(V$30,INDIRECT(""&amp;$S$29&amp;"!$A$4"):INDIRECT(""&amp;$S$29&amp;"!$AA$4"),0),FALSE)),"",VLOOKUP($K92,OFFSET(INDIRECT(""&amp;$S$29&amp;"!$A$4"),0,0,200,100),MATCH(V$30,INDIRECT(""&amp;$S$29&amp;"!$A$4"):INDIRECT(""&amp;$S$29&amp;"!$AA$4"),0),FALSE))</f>
        <v>311458.00146100001</v>
      </c>
      <c r="W92" s="76">
        <f ca="1">IF(ISERROR(VLOOKUP($K92,OFFSET(INDIRECT(""&amp;$S$29&amp;"!$A$4"),0,0,200,100),MATCH(W$30,INDIRECT(""&amp;$S$29&amp;"!$A$4"):INDIRECT(""&amp;$S$29&amp;"!$AA$4"),0),FALSE)),"",VLOOKUP($K92,OFFSET(INDIRECT(""&amp;$S$29&amp;"!$A$4"),0,0,200,100),MATCH(W$30,INDIRECT(""&amp;$S$29&amp;"!$A$4"):INDIRECT(""&amp;$S$29&amp;"!$AA$4"),0),FALSE))</f>
        <v>312568.67515600001</v>
      </c>
      <c r="X92" s="76">
        <f ca="1">IF(ISERROR(VLOOKUP($K92,OFFSET(INDIRECT(""&amp;$S$29&amp;"!$A$4"),0,0,200,100),MATCH(X$30,INDIRECT(""&amp;$S$29&amp;"!$A$4"):INDIRECT(""&amp;$S$29&amp;"!$AA$4"),0),FALSE)),"",VLOOKUP($K92,OFFSET(INDIRECT(""&amp;$S$29&amp;"!$A$4"),0,0,200,100),MATCH(X$30,INDIRECT(""&amp;$S$29&amp;"!$A$4"):INDIRECT(""&amp;$S$29&amp;"!$AA$4"),0),FALSE))</f>
        <v>314124.75505500002</v>
      </c>
      <c r="Y92" s="76">
        <f ca="1">IF(ISERROR(VLOOKUP($K92,OFFSET(INDIRECT(""&amp;$S$29&amp;"!$A$4"),0,0,200,100),MATCH(Y$30,INDIRECT(""&amp;$S$29&amp;"!$A$4"):INDIRECT(""&amp;$S$29&amp;"!$AA$4"),0),FALSE)),"",VLOOKUP($K92,OFFSET(INDIRECT(""&amp;$S$29&amp;"!$A$4"),0,0,200,100),MATCH(Y$30,INDIRECT(""&amp;$S$29&amp;"!$A$4"):INDIRECT(""&amp;$S$29&amp;"!$AA$4"),0),FALSE))</f>
        <v>297932.92159699998</v>
      </c>
      <c r="Z92" s="76">
        <f ca="1">IF(ISERROR(VLOOKUP($K92,OFFSET(INDIRECT(""&amp;$S$29&amp;"!$A$4"),0,0,200,100),MATCH(Z$30,INDIRECT(""&amp;$S$29&amp;"!$A$4"):INDIRECT(""&amp;$S$29&amp;"!$AA$4"),0),FALSE)),"",VLOOKUP($K92,OFFSET(INDIRECT(""&amp;$S$29&amp;"!$A$4"),0,0,200,100),MATCH(Z$30,INDIRECT(""&amp;$S$29&amp;"!$A$4"):INDIRECT(""&amp;$S$29&amp;"!$AA$4"),0),FALSE))</f>
        <v>304387.65603200003</v>
      </c>
      <c r="AA92" s="76">
        <f t="shared" ca="1" si="61"/>
        <v>297932.92159699998</v>
      </c>
      <c r="AB92" s="110"/>
      <c r="AC92" s="87">
        <f t="shared" ca="1" si="66"/>
        <v>0.91803900606740585</v>
      </c>
      <c r="AD92" s="87">
        <f t="shared" ca="1" si="67"/>
        <v>0.84505644400686475</v>
      </c>
      <c r="AE92" s="87">
        <f t="shared" ca="1" si="68"/>
        <v>0.83171573287098044</v>
      </c>
      <c r="AF92" s="87">
        <f t="shared" ca="1" si="69"/>
        <v>0.85241798933919077</v>
      </c>
      <c r="AG92" s="87">
        <f t="shared" ca="1" si="79"/>
        <v>0.89648536339383156</v>
      </c>
      <c r="AH92" s="87">
        <f t="shared" ca="1" si="79"/>
        <v>0.89648536339383156</v>
      </c>
      <c r="AI92" s="144"/>
      <c r="AJ92" s="87">
        <f t="shared" ca="1" si="71"/>
        <v>0.85205575590410687</v>
      </c>
      <c r="AK92" s="87">
        <f t="shared" ca="1" si="72"/>
        <v>0.84778502998262206</v>
      </c>
      <c r="AL92" s="87">
        <f t="shared" ca="1" si="73"/>
        <v>0.76526890097055311</v>
      </c>
      <c r="AM92" s="87">
        <f t="shared" ca="1" si="74"/>
        <v>0.81516337921727744</v>
      </c>
      <c r="AN92" s="87">
        <f t="shared" ca="1" si="75"/>
        <v>0.84082468778010588</v>
      </c>
      <c r="AO92" s="87">
        <f t="shared" ca="1" si="80"/>
        <v>0.8403122060624546</v>
      </c>
      <c r="AP92" s="87">
        <f t="shared" ca="1" si="80"/>
        <v>0.82909010515481796</v>
      </c>
      <c r="AQ92" s="87">
        <f t="shared" ca="1" si="80"/>
        <v>0.86273227288122334</v>
      </c>
      <c r="AR92" s="87">
        <f t="shared" ca="1" si="80"/>
        <v>0.85207778550909241</v>
      </c>
      <c r="AS92" s="87">
        <f t="shared" ca="1" si="80"/>
        <v>0.85192508672383749</v>
      </c>
      <c r="AT92" s="87">
        <f t="shared" ca="1" si="77"/>
        <v>0.88086868595966406</v>
      </c>
      <c r="AU92" s="87">
        <f t="shared" ca="1" si="77"/>
        <v>0.9038308572901208</v>
      </c>
      <c r="AV92" s="87">
        <f t="shared" ca="1" si="78"/>
        <v>0.88086868595966406</v>
      </c>
    </row>
    <row r="93" spans="1:48" s="112" customFormat="1" ht="15.95" customHeight="1">
      <c r="A93" s="85" t="s">
        <v>288</v>
      </c>
      <c r="B93" s="116" t="s">
        <v>187</v>
      </c>
      <c r="C93" s="76">
        <f ca="1">IF(ISERROR(VLOOKUP($B93,OFFSET(INDIRECT(""&amp;$B$29&amp;"!$A$4"),0,0,200,100),MATCH(C$30,INDIRECT(""&amp;$B$29&amp;"!$A$4"):INDIRECT(""&amp;$B$29&amp;"!$o$4"),0),FALSE)),"",VLOOKUP($B93,OFFSET(INDIRECT(""&amp;$B$29&amp;"!$A$4"),0,0,200,100),MATCH(C$30,INDIRECT(""&amp;$B$29&amp;"!$A$4"):INDIRECT(""&amp;$B$29&amp;"!$o$4"),0),FALSE))</f>
        <v>207965.36963</v>
      </c>
      <c r="D93" s="76">
        <f ca="1">IF(ISERROR(VLOOKUP($B93,OFFSET(INDIRECT(""&amp;$B$29&amp;"!$A$4"),0,0,200,100),MATCH(D$30,INDIRECT(""&amp;$B$29&amp;"!$A$4"):INDIRECT(""&amp;$B$29&amp;"!$o$4"),0),FALSE)),"",VLOOKUP($B93,OFFSET(INDIRECT(""&amp;$B$29&amp;"!$A$4"),0,0,200,100),MATCH(D$30,INDIRECT(""&amp;$B$29&amp;"!$A$4"):INDIRECT(""&amp;$B$29&amp;"!$o$4"),0),FALSE))</f>
        <v>278916.13650000002</v>
      </c>
      <c r="E93" s="76">
        <f ca="1">IF(ISERROR(VLOOKUP($B93,OFFSET(INDIRECT(""&amp;$B$29&amp;"!$A$4"),0,0,200,100),MATCH(E$30,INDIRECT(""&amp;$B$29&amp;"!$A$4"):INDIRECT(""&amp;$B$29&amp;"!$o$4"),0),FALSE)),"",VLOOKUP($B93,OFFSET(INDIRECT(""&amp;$B$29&amp;"!$A$4"),0,0,200,100),MATCH(E$30,INDIRECT(""&amp;$B$29&amp;"!$A$4"):INDIRECT(""&amp;$B$29&amp;"!$o$4"),0),FALSE))</f>
        <v>320243.420545</v>
      </c>
      <c r="F93" s="76">
        <f ca="1">IF(ISERROR(VLOOKUP($B93,OFFSET(INDIRECT(""&amp;$B$29&amp;"!$A$4"),0,0,200,100),MATCH(F$30,INDIRECT(""&amp;$B$29&amp;"!$A$4"):INDIRECT(""&amp;$B$29&amp;"!$o$4"),0),FALSE)),"",VLOOKUP($B93,OFFSET(INDIRECT(""&amp;$B$29&amp;"!$A$4"),0,0,200,100),MATCH(F$30,INDIRECT(""&amp;$B$29&amp;"!$A$4"):INDIRECT(""&amp;$B$29&amp;"!$o$4"),0),FALSE))</f>
        <v>318647.28737099998</v>
      </c>
      <c r="G93" s="76">
        <f ca="1">IF(ISERROR(VLOOKUP($B93,OFFSET(INDIRECT(""&amp;$B$29&amp;"!$A$4"),0,0,200,100),MATCH(G$30,INDIRECT(""&amp;$B$29&amp;"!$A$4"):INDIRECT(""&amp;$B$29&amp;"!$o$4"),0),FALSE)),"",VLOOKUP($B93,OFFSET(INDIRECT(""&amp;$B$29&amp;"!$A$4"),0,0,200,100),MATCH(G$30,INDIRECT(""&amp;$B$29&amp;"!$A$4"):INDIRECT(""&amp;$B$29&amp;"!$o$4"),0),FALSE))</f>
        <v>317419.37553199998</v>
      </c>
      <c r="H93" s="76">
        <f ca="1">IF(ISERROR(VLOOKUP($B93,OFFSET(INDIRECT(""&amp;$B$29&amp;"!$A$4"),0,0,200,100),MATCH(H$30,INDIRECT(""&amp;$B$29&amp;"!$A$4"):INDIRECT(""&amp;$B$29&amp;"!$o$4"),0),FALSE)),"",VLOOKUP($B93,OFFSET(INDIRECT(""&amp;$B$29&amp;"!$A$4"),0,0,200,100),MATCH(H$30,INDIRECT(""&amp;$B$29&amp;"!$A$4"):INDIRECT(""&amp;$B$29&amp;"!$o$4"),0),FALSE))</f>
        <v>312148.98926900001</v>
      </c>
      <c r="I93" s="76">
        <f ca="1">IF(ISERROR(VLOOKUP($B93,OFFSET(INDIRECT(""&amp;$B$29&amp;"!$A$4"),0,0,200,100),MATCH(I$30,INDIRECT(""&amp;$B$29&amp;"!$A$4"):INDIRECT(""&amp;$B$29&amp;"!$o$4"),0),FALSE)),"",VLOOKUP($B93,OFFSET(INDIRECT(""&amp;$B$29&amp;"!$A$4"),0,0,200,100),MATCH(I$30,INDIRECT(""&amp;$B$29&amp;"!$A$4"):INDIRECT(""&amp;$B$29&amp;"!$o$4"),0),FALSE))</f>
        <v>305531.51876299997</v>
      </c>
      <c r="J93" s="76">
        <f ca="1">IF(ISERROR(VLOOKUP($B93,OFFSET(INDIRECT(""&amp;$B$29&amp;"!$A$4"),0,0,200,100),MATCH(J$30,INDIRECT(""&amp;$B$29&amp;"!$A$4"):INDIRECT(""&amp;$B$29&amp;"!$o$4"),0),FALSE)),"",VLOOKUP($B93,OFFSET(INDIRECT(""&amp;$B$29&amp;"!$A$4"),0,0,200,100),MATCH(J$30,INDIRECT(""&amp;$B$29&amp;"!$A$4"):INDIRECT(""&amp;$B$29&amp;"!$o$4"),0),FALSE))</f>
        <v>305531.51876299997</v>
      </c>
      <c r="K93" s="114" t="s">
        <v>187</v>
      </c>
      <c r="L93" s="76">
        <f ca="1">IF(ISERROR(VLOOKUP($K93,OFFSET(INDIRECT(""&amp;$S$29&amp;"!$A$4"),0,0,200,100),MATCH(L$30,INDIRECT(""&amp;$S$29&amp;"!$A$4"):INDIRECT(""&amp;$S$29&amp;"!$AA$4"),0),FALSE)),"",VLOOKUP($K93,OFFSET(INDIRECT(""&amp;$S$29&amp;"!$A$4"),0,0,200,100),MATCH(L$30,INDIRECT(""&amp;$S$29&amp;"!$A$4"):INDIRECT(""&amp;$S$29&amp;"!$AA$4"),0),FALSE))</f>
        <v>333120.79394900001</v>
      </c>
      <c r="M93" s="76">
        <f ca="1">IF(ISERROR(VLOOKUP($K93,OFFSET(INDIRECT(""&amp;$S$29&amp;"!$A$4"),0,0,200,100),MATCH(M$30,INDIRECT(""&amp;$S$29&amp;"!$A$4"):INDIRECT(""&amp;$S$29&amp;"!$AA$4"),0),FALSE)),"",VLOOKUP($K93,OFFSET(INDIRECT(""&amp;$S$29&amp;"!$A$4"),0,0,200,100),MATCH(M$30,INDIRECT(""&amp;$S$29&amp;"!$A$4"):INDIRECT(""&amp;$S$29&amp;"!$AA$4"),0),FALSE))</f>
        <v>314349.58669700002</v>
      </c>
      <c r="N93" s="76">
        <f ca="1">IF(ISERROR(VLOOKUP($K93,OFFSET(INDIRECT(""&amp;$S$29&amp;"!$A$4"),0,0,200,100),MATCH(N$30,INDIRECT(""&amp;$S$29&amp;"!$A$4"):INDIRECT(""&amp;$S$29&amp;"!$AA$4"),0),FALSE)),"",VLOOKUP($K93,OFFSET(INDIRECT(""&amp;$S$29&amp;"!$A$4"),0,0,200,100),MATCH(N$30,INDIRECT(""&amp;$S$29&amp;"!$A$4"):INDIRECT(""&amp;$S$29&amp;"!$AA$4"),0),FALSE))</f>
        <v>326606.52824199997</v>
      </c>
      <c r="O93" s="76">
        <f ca="1">IF(ISERROR(VLOOKUP($K93,OFFSET(INDIRECT(""&amp;$S$29&amp;"!$A$4"),0,0,200,100),MATCH(O$30,INDIRECT(""&amp;$S$29&amp;"!$A$4"):INDIRECT(""&amp;$S$29&amp;"!$AA$4"),0),FALSE)),"",VLOOKUP($K93,OFFSET(INDIRECT(""&amp;$S$29&amp;"!$A$4"),0,0,200,100),MATCH(O$30,INDIRECT(""&amp;$S$29&amp;"!$A$4"):INDIRECT(""&amp;$S$29&amp;"!$AA$4"),0),FALSE))</f>
        <v>333830.75244399998</v>
      </c>
      <c r="P93" s="76">
        <f ca="1">IF(ISERROR(VLOOKUP($K93,OFFSET(INDIRECT(""&amp;$S$29&amp;"!$A$4"),0,0,200,100),MATCH(P$30,INDIRECT(""&amp;$S$29&amp;"!$A$4"):INDIRECT(""&amp;$S$29&amp;"!$AA$4"),0),FALSE)),"",VLOOKUP($K93,OFFSET(INDIRECT(""&amp;$S$29&amp;"!$A$4"),0,0,200,100),MATCH(P$30,INDIRECT(""&amp;$S$29&amp;"!$A$4"):INDIRECT(""&amp;$S$29&amp;"!$AA$4"),0),FALSE))</f>
        <v>329686.42543599999</v>
      </c>
      <c r="Q93" s="76">
        <f ca="1">IF(ISERROR(VLOOKUP($K93,OFFSET(INDIRECT(""&amp;$S$29&amp;"!$A$4"),0,0,200,100),MATCH(Q$30,INDIRECT(""&amp;$S$29&amp;"!$A$4"):INDIRECT(""&amp;$S$29&amp;"!$AA$4"),0),FALSE)),"",VLOOKUP($K93,OFFSET(INDIRECT(""&amp;$S$29&amp;"!$A$4"),0,0,200,100),MATCH(Q$30,INDIRECT(""&amp;$S$29&amp;"!$A$4"):INDIRECT(""&amp;$S$29&amp;"!$AA$4"),0),FALSE))</f>
        <v>316622.53310900001</v>
      </c>
      <c r="R93" s="76">
        <f ca="1">IF(ISERROR(VLOOKUP($K93,OFFSET(INDIRECT(""&amp;$S$29&amp;"!$A$4"),0,0,200,100),MATCH(R$30,INDIRECT(""&amp;$S$29&amp;"!$A$4"):INDIRECT(""&amp;$S$29&amp;"!$AA$4"),0),FALSE)),"",VLOOKUP($K93,OFFSET(INDIRECT(""&amp;$S$29&amp;"!$A$4"),0,0,200,100),MATCH(R$30,INDIRECT(""&amp;$S$29&amp;"!$A$4"):INDIRECT(""&amp;$S$29&amp;"!$AA$4"),0),FALSE))</f>
        <v>323936.18273300002</v>
      </c>
      <c r="S93" s="76">
        <f ca="1">IF(ISERROR(VLOOKUP($K93,OFFSET(INDIRECT(""&amp;$S$29&amp;"!$A$4"),0,0,200,100),MATCH(S$30,INDIRECT(""&amp;$S$29&amp;"!$A$4"):INDIRECT(""&amp;$S$29&amp;"!$AA$4"),0),FALSE)),"",VLOOKUP($K93,OFFSET(INDIRECT(""&amp;$S$29&amp;"!$A$4"),0,0,200,100),MATCH(S$30,INDIRECT(""&amp;$S$29&amp;"!$A$4"):INDIRECT(""&amp;$S$29&amp;"!$AA$4"),0),FALSE))</f>
        <v>338864.41426300001</v>
      </c>
      <c r="T93" s="76">
        <f ca="1">IF(ISERROR(VLOOKUP($K93,OFFSET(INDIRECT(""&amp;$S$29&amp;"!$A$4"),0,0,200,100),MATCH(T$30,INDIRECT(""&amp;$S$29&amp;"!$A$4"):INDIRECT(""&amp;$S$29&amp;"!$AA$4"),0),FALSE)),"",VLOOKUP($K93,OFFSET(INDIRECT(""&amp;$S$29&amp;"!$A$4"),0,0,200,100),MATCH(T$30,INDIRECT(""&amp;$S$29&amp;"!$A$4"):INDIRECT(""&amp;$S$29&amp;"!$AA$4"),0),FALSE))</f>
        <v>318730.337482</v>
      </c>
      <c r="U93" s="76">
        <f ca="1">IF(ISERROR(VLOOKUP($K93,OFFSET(INDIRECT(""&amp;$S$29&amp;"!$A$4"),0,0,200,100),MATCH(U$30,INDIRECT(""&amp;$S$29&amp;"!$A$4"):INDIRECT(""&amp;$S$29&amp;"!$AA$4"),0),FALSE)),"",VLOOKUP($K93,OFFSET(INDIRECT(""&amp;$S$29&amp;"!$A$4"),0,0,200,100),MATCH(U$30,INDIRECT(""&amp;$S$29&amp;"!$A$4"):INDIRECT(""&amp;$S$29&amp;"!$AA$4"),0),FALSE))</f>
        <v>305600.65941299999</v>
      </c>
      <c r="V93" s="76">
        <f ca="1">IF(ISERROR(VLOOKUP($K93,OFFSET(INDIRECT(""&amp;$S$29&amp;"!$A$4"),0,0,200,100),MATCH(V$30,INDIRECT(""&amp;$S$29&amp;"!$A$4"):INDIRECT(""&amp;$S$29&amp;"!$AA$4"),0),FALSE)),"",VLOOKUP($K93,OFFSET(INDIRECT(""&amp;$S$29&amp;"!$A$4"),0,0,200,100),MATCH(V$30,INDIRECT(""&amp;$S$29&amp;"!$A$4"):INDIRECT(""&amp;$S$29&amp;"!$AA$4"),0),FALSE))</f>
        <v>311458.00146100001</v>
      </c>
      <c r="W93" s="76">
        <f ca="1">IF(ISERROR(VLOOKUP($K93,OFFSET(INDIRECT(""&amp;$S$29&amp;"!$A$4"),0,0,200,100),MATCH(W$30,INDIRECT(""&amp;$S$29&amp;"!$A$4"):INDIRECT(""&amp;$S$29&amp;"!$AA$4"),0),FALSE)),"",VLOOKUP($K93,OFFSET(INDIRECT(""&amp;$S$29&amp;"!$A$4"),0,0,200,100),MATCH(W$30,INDIRECT(""&amp;$S$29&amp;"!$A$4"):INDIRECT(""&amp;$S$29&amp;"!$AA$4"),0),FALSE))</f>
        <v>312568.67515600001</v>
      </c>
      <c r="X93" s="76">
        <f ca="1">IF(ISERROR(VLOOKUP($K93,OFFSET(INDIRECT(""&amp;$S$29&amp;"!$A$4"),0,0,200,100),MATCH(X$30,INDIRECT(""&amp;$S$29&amp;"!$A$4"):INDIRECT(""&amp;$S$29&amp;"!$AA$4"),0),FALSE)),"",VLOOKUP($K93,OFFSET(INDIRECT(""&amp;$S$29&amp;"!$A$4"),0,0,200,100),MATCH(X$30,INDIRECT(""&amp;$S$29&amp;"!$A$4"):INDIRECT(""&amp;$S$29&amp;"!$AA$4"),0),FALSE))</f>
        <v>314124.75505500002</v>
      </c>
      <c r="Y93" s="76">
        <f ca="1">IF(ISERROR(VLOOKUP($K93,OFFSET(INDIRECT(""&amp;$S$29&amp;"!$A$4"),0,0,200,100),MATCH(Y$30,INDIRECT(""&amp;$S$29&amp;"!$A$4"):INDIRECT(""&amp;$S$29&amp;"!$AA$4"),0),FALSE)),"",VLOOKUP($K93,OFFSET(INDIRECT(""&amp;$S$29&amp;"!$A$4"),0,0,200,100),MATCH(Y$30,INDIRECT(""&amp;$S$29&amp;"!$A$4"):INDIRECT(""&amp;$S$29&amp;"!$AA$4"),0),FALSE))</f>
        <v>297932.92159699998</v>
      </c>
      <c r="Z93" s="76">
        <f ca="1">IF(ISERROR(VLOOKUP($K93,OFFSET(INDIRECT(""&amp;$S$29&amp;"!$A$4"),0,0,200,100),MATCH(Z$30,INDIRECT(""&amp;$S$29&amp;"!$A$4"):INDIRECT(""&amp;$S$29&amp;"!$AA$4"),0),FALSE)),"",VLOOKUP($K93,OFFSET(INDIRECT(""&amp;$S$29&amp;"!$A$4"),0,0,200,100),MATCH(Z$30,INDIRECT(""&amp;$S$29&amp;"!$A$4"):INDIRECT(""&amp;$S$29&amp;"!$AA$4"),0),FALSE))</f>
        <v>304387.65603200003</v>
      </c>
      <c r="AA93" s="76">
        <f t="shared" ca="1" si="61"/>
        <v>297932.92159699998</v>
      </c>
      <c r="AB93" s="115"/>
      <c r="AC93" s="87">
        <f t="shared" ca="1" si="66"/>
        <v>0.91803900606740585</v>
      </c>
      <c r="AD93" s="87">
        <f t="shared" ca="1" si="67"/>
        <v>0.84505644400686475</v>
      </c>
      <c r="AE93" s="87">
        <f t="shared" ca="1" si="68"/>
        <v>0.83171573287098044</v>
      </c>
      <c r="AF93" s="87">
        <f t="shared" ca="1" si="69"/>
        <v>0.85241798933919077</v>
      </c>
      <c r="AG93" s="87">
        <f t="shared" ca="1" si="79"/>
        <v>0.89648536339383156</v>
      </c>
      <c r="AH93" s="87">
        <f t="shared" ca="1" si="79"/>
        <v>0.89648536339383156</v>
      </c>
      <c r="AI93" s="144"/>
      <c r="AJ93" s="87">
        <f t="shared" ca="1" si="71"/>
        <v>0.85205575590410687</v>
      </c>
      <c r="AK93" s="87">
        <f t="shared" ca="1" si="72"/>
        <v>0.84778502998262206</v>
      </c>
      <c r="AL93" s="87">
        <f t="shared" ca="1" si="73"/>
        <v>0.76526890097055311</v>
      </c>
      <c r="AM93" s="87">
        <f t="shared" ca="1" si="74"/>
        <v>0.81516337921727744</v>
      </c>
      <c r="AN93" s="87">
        <f t="shared" ca="1" si="75"/>
        <v>0.84082468778010588</v>
      </c>
      <c r="AO93" s="87">
        <f t="shared" ca="1" si="80"/>
        <v>0.8403122060624546</v>
      </c>
      <c r="AP93" s="87">
        <f t="shared" ca="1" si="80"/>
        <v>0.82909010515481796</v>
      </c>
      <c r="AQ93" s="87">
        <f t="shared" ca="1" si="80"/>
        <v>0.86273227288122334</v>
      </c>
      <c r="AR93" s="87">
        <f t="shared" ca="1" si="80"/>
        <v>0.85207778550909241</v>
      </c>
      <c r="AS93" s="87">
        <f t="shared" ca="1" si="80"/>
        <v>0.85192508672383749</v>
      </c>
      <c r="AT93" s="87">
        <f t="shared" ca="1" si="77"/>
        <v>0.88086868595966406</v>
      </c>
      <c r="AU93" s="87">
        <f t="shared" ca="1" si="77"/>
        <v>0.9038308572901208</v>
      </c>
      <c r="AV93" s="87">
        <f t="shared" ca="1" si="78"/>
        <v>0.88086868595966406</v>
      </c>
    </row>
    <row r="94" spans="1:48" s="108" customFormat="1" ht="15.95" customHeight="1">
      <c r="A94" s="113" t="s">
        <v>289</v>
      </c>
      <c r="B94" s="111" t="s">
        <v>188</v>
      </c>
      <c r="C94" s="90">
        <f ca="1">IF(ISERROR(VLOOKUP($B94,OFFSET(INDIRECT(""&amp;$B$29&amp;"!$A$4"),0,0,200,100),MATCH(C$30,INDIRECT(""&amp;$B$29&amp;"!$A$4"):INDIRECT(""&amp;$B$29&amp;"!$o$4"),0),FALSE)),"",VLOOKUP($B94,OFFSET(INDIRECT(""&amp;$B$29&amp;"!$A$4"),0,0,200,100),MATCH(C$30,INDIRECT(""&amp;$B$29&amp;"!$A$4"):INDIRECT(""&amp;$B$29&amp;"!$o$4"),0),FALSE))</f>
        <v>67065</v>
      </c>
      <c r="D94" s="90">
        <f ca="1">IF(ISERROR(VLOOKUP($B94,OFFSET(INDIRECT(""&amp;$B$29&amp;"!$A$4"),0,0,200,100),MATCH(D$30,INDIRECT(""&amp;$B$29&amp;"!$A$4"):INDIRECT(""&amp;$B$29&amp;"!$o$4"),0),FALSE)),"",VLOOKUP($B94,OFFSET(INDIRECT(""&amp;$B$29&amp;"!$A$4"),0,0,200,100),MATCH(D$30,INDIRECT(""&amp;$B$29&amp;"!$A$4"):INDIRECT(""&amp;$B$29&amp;"!$o$4"),0),FALSE))</f>
        <v>100996.7</v>
      </c>
      <c r="E94" s="90">
        <f ca="1">IF(ISERROR(VLOOKUP($B94,OFFSET(INDIRECT(""&amp;$B$29&amp;"!$A$4"),0,0,200,100),MATCH(E$30,INDIRECT(""&amp;$B$29&amp;"!$A$4"):INDIRECT(""&amp;$B$29&amp;"!$o$4"),0),FALSE)),"",VLOOKUP($B94,OFFSET(INDIRECT(""&amp;$B$29&amp;"!$A$4"),0,0,200,100),MATCH(E$30,INDIRECT(""&amp;$B$29&amp;"!$A$4"):INDIRECT(""&amp;$B$29&amp;"!$o$4"),0),FALSE))</f>
        <v>100996.7</v>
      </c>
      <c r="F94" s="90">
        <f ca="1">IF(ISERROR(VLOOKUP($B94,OFFSET(INDIRECT(""&amp;$B$29&amp;"!$A$4"),0,0,200,100),MATCH(F$30,INDIRECT(""&amp;$B$29&amp;"!$A$4"):INDIRECT(""&amp;$B$29&amp;"!$o$4"),0),FALSE)),"",VLOOKUP($B94,OFFSET(INDIRECT(""&amp;$B$29&amp;"!$A$4"),0,0,200,100),MATCH(F$30,INDIRECT(""&amp;$B$29&amp;"!$A$4"):INDIRECT(""&amp;$B$29&amp;"!$o$4"),0),FALSE))</f>
        <v>151199.46</v>
      </c>
      <c r="G94" s="90">
        <f ca="1">IF(ISERROR(VLOOKUP($B94,OFFSET(INDIRECT(""&amp;$B$29&amp;"!$A$4"),0,0,200,100),MATCH(G$30,INDIRECT(""&amp;$B$29&amp;"!$A$4"):INDIRECT(""&amp;$B$29&amp;"!$o$4"),0),FALSE)),"",VLOOKUP($B94,OFFSET(INDIRECT(""&amp;$B$29&amp;"!$A$4"),0,0,200,100),MATCH(G$30,INDIRECT(""&amp;$B$29&amp;"!$A$4"):INDIRECT(""&amp;$B$29&amp;"!$o$4"),0),FALSE))</f>
        <v>151199.46</v>
      </c>
      <c r="H94" s="90">
        <f ca="1">IF(ISERROR(VLOOKUP($B94,OFFSET(INDIRECT(""&amp;$B$29&amp;"!$A$4"),0,0,200,100),MATCH(H$30,INDIRECT(""&amp;$B$29&amp;"!$A$4"):INDIRECT(""&amp;$B$29&amp;"!$o$4"),0),FALSE)),"",VLOOKUP($B94,OFFSET(INDIRECT(""&amp;$B$29&amp;"!$A$4"),0,0,200,100),MATCH(H$30,INDIRECT(""&amp;$B$29&amp;"!$A$4"):INDIRECT(""&amp;$B$29&amp;"!$o$4"),0),FALSE))</f>
        <v>151199.46</v>
      </c>
      <c r="I94" s="90">
        <f ca="1">IF(ISERROR(VLOOKUP($B94,OFFSET(INDIRECT(""&amp;$B$29&amp;"!$A$4"),0,0,200,100),MATCH(I$30,INDIRECT(""&amp;$B$29&amp;"!$A$4"):INDIRECT(""&amp;$B$29&amp;"!$o$4"),0),FALSE)),"",VLOOKUP($B94,OFFSET(INDIRECT(""&amp;$B$29&amp;"!$A$4"),0,0,200,100),MATCH(I$30,INDIRECT(""&amp;$B$29&amp;"!$A$4"):INDIRECT(""&amp;$B$29&amp;"!$o$4"),0),FALSE))</f>
        <v>151199.46</v>
      </c>
      <c r="J94" s="90">
        <f ca="1">IF(ISERROR(VLOOKUP($B94,OFFSET(INDIRECT(""&amp;$B$29&amp;"!$A$4"),0,0,200,100),MATCH(J$30,INDIRECT(""&amp;$B$29&amp;"!$A$4"):INDIRECT(""&amp;$B$29&amp;"!$o$4"),0),FALSE)),"",VLOOKUP($B94,OFFSET(INDIRECT(""&amp;$B$29&amp;"!$A$4"),0,0,200,100),MATCH(J$30,INDIRECT(""&amp;$B$29&amp;"!$A$4"):INDIRECT(""&amp;$B$29&amp;"!$o$4"),0),FALSE))</f>
        <v>151199.46</v>
      </c>
      <c r="K94" s="109" t="s">
        <v>188</v>
      </c>
      <c r="L94" s="90">
        <f ca="1">IF(ISERROR(VLOOKUP($K94,OFFSET(INDIRECT(""&amp;$S$29&amp;"!$A$4"),0,0,200,100),MATCH(L$30,INDIRECT(""&amp;$S$29&amp;"!$A$4"):INDIRECT(""&amp;$S$29&amp;"!$AA$4"),0),FALSE)),"",VLOOKUP($K94,OFFSET(INDIRECT(""&amp;$S$29&amp;"!$A$4"),0,0,200,100),MATCH(L$30,INDIRECT(""&amp;$S$29&amp;"!$A$4"):INDIRECT(""&amp;$S$29&amp;"!$AA$4"),0),FALSE))</f>
        <v>100996.7</v>
      </c>
      <c r="M94" s="90">
        <f ca="1">IF(ISERROR(VLOOKUP($K94,OFFSET(INDIRECT(""&amp;$S$29&amp;"!$A$4"),0,0,200,100),MATCH(M$30,INDIRECT(""&amp;$S$29&amp;"!$A$4"):INDIRECT(""&amp;$S$29&amp;"!$AA$4"),0),FALSE)),"",VLOOKUP($K94,OFFSET(INDIRECT(""&amp;$S$29&amp;"!$A$4"),0,0,200,100),MATCH(M$30,INDIRECT(""&amp;$S$29&amp;"!$A$4"):INDIRECT(""&amp;$S$29&amp;"!$AA$4"),0),FALSE))</f>
        <v>100996.7</v>
      </c>
      <c r="N94" s="90">
        <f ca="1">IF(ISERROR(VLOOKUP($K94,OFFSET(INDIRECT(""&amp;$S$29&amp;"!$A$4"),0,0,200,100),MATCH(N$30,INDIRECT(""&amp;$S$29&amp;"!$A$4"):INDIRECT(""&amp;$S$29&amp;"!$AA$4"),0),FALSE)),"",VLOOKUP($K94,OFFSET(INDIRECT(""&amp;$S$29&amp;"!$A$4"),0,0,200,100),MATCH(N$30,INDIRECT(""&amp;$S$29&amp;"!$A$4"):INDIRECT(""&amp;$S$29&amp;"!$AA$4"),0),FALSE))</f>
        <v>100996.7</v>
      </c>
      <c r="O94" s="90">
        <f ca="1">IF(ISERROR(VLOOKUP($K94,OFFSET(INDIRECT(""&amp;$S$29&amp;"!$A$4"),0,0,200,100),MATCH(O$30,INDIRECT(""&amp;$S$29&amp;"!$A$4"):INDIRECT(""&amp;$S$29&amp;"!$AA$4"),0),FALSE)),"",VLOOKUP($K94,OFFSET(INDIRECT(""&amp;$S$29&amp;"!$A$4"),0,0,200,100),MATCH(O$30,INDIRECT(""&amp;$S$29&amp;"!$A$4"):INDIRECT(""&amp;$S$29&amp;"!$AA$4"),0),FALSE))</f>
        <v>151199.46</v>
      </c>
      <c r="P94" s="90">
        <f ca="1">IF(ISERROR(VLOOKUP($K94,OFFSET(INDIRECT(""&amp;$S$29&amp;"!$A$4"),0,0,200,100),MATCH(P$30,INDIRECT(""&amp;$S$29&amp;"!$A$4"):INDIRECT(""&amp;$S$29&amp;"!$AA$4"),0),FALSE)),"",VLOOKUP($K94,OFFSET(INDIRECT(""&amp;$S$29&amp;"!$A$4"),0,0,200,100),MATCH(P$30,INDIRECT(""&amp;$S$29&amp;"!$A$4"):INDIRECT(""&amp;$S$29&amp;"!$AA$4"),0),FALSE))</f>
        <v>151199.46</v>
      </c>
      <c r="Q94" s="90">
        <f ca="1">IF(ISERROR(VLOOKUP($K94,OFFSET(INDIRECT(""&amp;$S$29&amp;"!$A$4"),0,0,200,100),MATCH(Q$30,INDIRECT(""&amp;$S$29&amp;"!$A$4"):INDIRECT(""&amp;$S$29&amp;"!$AA$4"),0),FALSE)),"",VLOOKUP($K94,OFFSET(INDIRECT(""&amp;$S$29&amp;"!$A$4"),0,0,200,100),MATCH(Q$30,INDIRECT(""&amp;$S$29&amp;"!$A$4"):INDIRECT(""&amp;$S$29&amp;"!$AA$4"),0),FALSE))</f>
        <v>151199.46</v>
      </c>
      <c r="R94" s="90">
        <f ca="1">IF(ISERROR(VLOOKUP($K94,OFFSET(INDIRECT(""&amp;$S$29&amp;"!$A$4"),0,0,200,100),MATCH(R$30,INDIRECT(""&amp;$S$29&amp;"!$A$4"):INDIRECT(""&amp;$S$29&amp;"!$AA$4"),0),FALSE)),"",VLOOKUP($K94,OFFSET(INDIRECT(""&amp;$S$29&amp;"!$A$4"),0,0,200,100),MATCH(R$30,INDIRECT(""&amp;$S$29&amp;"!$A$4"):INDIRECT(""&amp;$S$29&amp;"!$AA$4"),0),FALSE))</f>
        <v>151199.46</v>
      </c>
      <c r="S94" s="90">
        <f ca="1">IF(ISERROR(VLOOKUP($K94,OFFSET(INDIRECT(""&amp;$S$29&amp;"!$A$4"),0,0,200,100),MATCH(S$30,INDIRECT(""&amp;$S$29&amp;"!$A$4"):INDIRECT(""&amp;$S$29&amp;"!$AA$4"),0),FALSE)),"",VLOOKUP($K94,OFFSET(INDIRECT(""&amp;$S$29&amp;"!$A$4"),0,0,200,100),MATCH(S$30,INDIRECT(""&amp;$S$29&amp;"!$A$4"):INDIRECT(""&amp;$S$29&amp;"!$AA$4"),0),FALSE))</f>
        <v>151199.46</v>
      </c>
      <c r="T94" s="90">
        <f ca="1">IF(ISERROR(VLOOKUP($K94,OFFSET(INDIRECT(""&amp;$S$29&amp;"!$A$4"),0,0,200,100),MATCH(T$30,INDIRECT(""&amp;$S$29&amp;"!$A$4"):INDIRECT(""&amp;$S$29&amp;"!$AA$4"),0),FALSE)),"",VLOOKUP($K94,OFFSET(INDIRECT(""&amp;$S$29&amp;"!$A$4"),0,0,200,100),MATCH(T$30,INDIRECT(""&amp;$S$29&amp;"!$A$4"):INDIRECT(""&amp;$S$29&amp;"!$AA$4"),0),FALSE))</f>
        <v>151199.46</v>
      </c>
      <c r="U94" s="90">
        <f ca="1">IF(ISERROR(VLOOKUP($K94,OFFSET(INDIRECT(""&amp;$S$29&amp;"!$A$4"),0,0,200,100),MATCH(U$30,INDIRECT(""&amp;$S$29&amp;"!$A$4"):INDIRECT(""&amp;$S$29&amp;"!$AA$4"),0),FALSE)),"",VLOOKUP($K94,OFFSET(INDIRECT(""&amp;$S$29&amp;"!$A$4"),0,0,200,100),MATCH(U$30,INDIRECT(""&amp;$S$29&amp;"!$A$4"):INDIRECT(""&amp;$S$29&amp;"!$AA$4"),0),FALSE))</f>
        <v>151199.46</v>
      </c>
      <c r="V94" s="90">
        <f ca="1">IF(ISERROR(VLOOKUP($K94,OFFSET(INDIRECT(""&amp;$S$29&amp;"!$A$4"),0,0,200,100),MATCH(V$30,INDIRECT(""&amp;$S$29&amp;"!$A$4"):INDIRECT(""&amp;$S$29&amp;"!$AA$4"),0),FALSE)),"",VLOOKUP($K94,OFFSET(INDIRECT(""&amp;$S$29&amp;"!$A$4"),0,0,200,100),MATCH(V$30,INDIRECT(""&amp;$S$29&amp;"!$A$4"):INDIRECT(""&amp;$S$29&amp;"!$AA$4"),0),FALSE))</f>
        <v>151199.46</v>
      </c>
      <c r="W94" s="90">
        <f ca="1">IF(ISERROR(VLOOKUP($K94,OFFSET(INDIRECT(""&amp;$S$29&amp;"!$A$4"),0,0,200,100),MATCH(W$30,INDIRECT(""&amp;$S$29&amp;"!$A$4"):INDIRECT(""&amp;$S$29&amp;"!$AA$4"),0),FALSE)),"",VLOOKUP($K94,OFFSET(INDIRECT(""&amp;$S$29&amp;"!$A$4"),0,0,200,100),MATCH(W$30,INDIRECT(""&amp;$S$29&amp;"!$A$4"):INDIRECT(""&amp;$S$29&amp;"!$AA$4"),0),FALSE))</f>
        <v>151199.46</v>
      </c>
      <c r="X94" s="90">
        <f ca="1">IF(ISERROR(VLOOKUP($K94,OFFSET(INDIRECT(""&amp;$S$29&amp;"!$A$4"),0,0,200,100),MATCH(X$30,INDIRECT(""&amp;$S$29&amp;"!$A$4"):INDIRECT(""&amp;$S$29&amp;"!$AA$4"),0),FALSE)),"",VLOOKUP($K94,OFFSET(INDIRECT(""&amp;$S$29&amp;"!$A$4"),0,0,200,100),MATCH(X$30,INDIRECT(""&amp;$S$29&amp;"!$A$4"):INDIRECT(""&amp;$S$29&amp;"!$AA$4"),0),FALSE))</f>
        <v>151199.46</v>
      </c>
      <c r="Y94" s="90">
        <f ca="1">IF(ISERROR(VLOOKUP($K94,OFFSET(INDIRECT(""&amp;$S$29&amp;"!$A$4"),0,0,200,100),MATCH(Y$30,INDIRECT(""&amp;$S$29&amp;"!$A$4"):INDIRECT(""&amp;$S$29&amp;"!$AA$4"),0),FALSE)),"",VLOOKUP($K94,OFFSET(INDIRECT(""&amp;$S$29&amp;"!$A$4"),0,0,200,100),MATCH(Y$30,INDIRECT(""&amp;$S$29&amp;"!$A$4"):INDIRECT(""&amp;$S$29&amp;"!$AA$4"),0),FALSE))</f>
        <v>151199.46</v>
      </c>
      <c r="Z94" s="90">
        <f ca="1">IF(ISERROR(VLOOKUP($K94,OFFSET(INDIRECT(""&amp;$S$29&amp;"!$A$4"),0,0,200,100),MATCH(Z$30,INDIRECT(""&amp;$S$29&amp;"!$A$4"):INDIRECT(""&amp;$S$29&amp;"!$AA$4"),0),FALSE)),"",VLOOKUP($K94,OFFSET(INDIRECT(""&amp;$S$29&amp;"!$A$4"),0,0,200,100),MATCH(Z$30,INDIRECT(""&amp;$S$29&amp;"!$A$4"):INDIRECT(""&amp;$S$29&amp;"!$AA$4"),0),FALSE))</f>
        <v>151199.46</v>
      </c>
      <c r="AA94" s="90">
        <f t="shared" ca="1" si="61"/>
        <v>151199.46</v>
      </c>
      <c r="AB94" s="110"/>
      <c r="AC94" s="99">
        <f t="shared" ca="1" si="66"/>
        <v>0.28952635444093155</v>
      </c>
      <c r="AD94" s="99">
        <f t="shared" ca="1" si="67"/>
        <v>0.40098278901898693</v>
      </c>
      <c r="AE94" s="99">
        <f t="shared" ca="1" si="68"/>
        <v>0.39617924858187731</v>
      </c>
      <c r="AF94" s="99">
        <f t="shared" ca="1" si="69"/>
        <v>0.41289622620338617</v>
      </c>
      <c r="AG94" s="99">
        <f t="shared" ca="1" si="79"/>
        <v>0.44364687280658399</v>
      </c>
      <c r="AH94" s="99">
        <f t="shared" ca="1" si="79"/>
        <v>0.44364687280658399</v>
      </c>
      <c r="AI94" s="145"/>
      <c r="AJ94" s="99">
        <f t="shared" ca="1" si="71"/>
        <v>0.38591522572266318</v>
      </c>
      <c r="AK94" s="99">
        <f t="shared" ca="1" si="72"/>
        <v>0.38880775439855031</v>
      </c>
      <c r="AL94" s="99">
        <f t="shared" ca="1" si="73"/>
        <v>0.3654453883789362</v>
      </c>
      <c r="AM94" s="99">
        <f t="shared" ca="1" si="74"/>
        <v>0.38048316094104423</v>
      </c>
      <c r="AN94" s="99">
        <f t="shared" ca="1" si="75"/>
        <v>0.37517140601358784</v>
      </c>
      <c r="AO94" s="99">
        <f t="shared" ca="1" si="80"/>
        <v>0.39862773274673657</v>
      </c>
      <c r="AP94" s="99">
        <f t="shared" ca="1" si="80"/>
        <v>0.41020191655194799</v>
      </c>
      <c r="AQ94" s="99">
        <f t="shared" ca="1" si="80"/>
        <v>0.41881940156399405</v>
      </c>
      <c r="AR94" s="99">
        <f t="shared" ca="1" si="80"/>
        <v>0.41217726306921493</v>
      </c>
      <c r="AS94" s="99">
        <f t="shared" ca="1" si="80"/>
        <v>0.41006196105284343</v>
      </c>
      <c r="AT94" s="99">
        <f t="shared" ca="1" si="77"/>
        <v>0.44703642999267623</v>
      </c>
      <c r="AU94" s="99">
        <f t="shared" ca="1" si="77"/>
        <v>0.44896281056560489</v>
      </c>
      <c r="AV94" s="99">
        <f t="shared" ca="1" si="78"/>
        <v>0.44703642999267623</v>
      </c>
    </row>
    <row r="95" spans="1:48" s="112" customFormat="1" ht="15.95" customHeight="1">
      <c r="A95" s="113" t="s">
        <v>290</v>
      </c>
      <c r="B95" s="111" t="s">
        <v>189</v>
      </c>
      <c r="C95" s="90">
        <f ca="1">IF(ISERROR(VLOOKUP($B95,OFFSET(INDIRECT(""&amp;$B$29&amp;"!$A$4"),0,0,200,100),MATCH(C$30,INDIRECT(""&amp;$B$29&amp;"!$A$4"):INDIRECT(""&amp;$B$29&amp;"!$o$4"),0),FALSE)),"",VLOOKUP($B95,OFFSET(INDIRECT(""&amp;$B$29&amp;"!$A$4"),0,0,200,100),MATCH(C$30,INDIRECT(""&amp;$B$29&amp;"!$A$4"):INDIRECT(""&amp;$B$29&amp;"!$o$4"),0),FALSE))</f>
        <v>66871.207500000004</v>
      </c>
      <c r="D95" s="90">
        <f ca="1">IF(ISERROR(VLOOKUP($B95,OFFSET(INDIRECT(""&amp;$B$29&amp;"!$A$4"),0,0,200,100),MATCH(D$30,INDIRECT(""&amp;$B$29&amp;"!$A$4"):INDIRECT(""&amp;$B$29&amp;"!$o$4"),0),FALSE)),"",VLOOKUP($B95,OFFSET(INDIRECT(""&amp;$B$29&amp;"!$A$4"),0,0,200,100),MATCH(D$30,INDIRECT(""&amp;$B$29&amp;"!$A$4"):INDIRECT(""&amp;$B$29&amp;"!$o$4"),0),FALSE))</f>
        <v>108601.17600000001</v>
      </c>
      <c r="E95" s="90">
        <f ca="1">IF(ISERROR(VLOOKUP($B95,OFFSET(INDIRECT(""&amp;$B$29&amp;"!$A$4"),0,0,200,100),MATCH(E$30,INDIRECT(""&amp;$B$29&amp;"!$A$4"):INDIRECT(""&amp;$B$29&amp;"!$o$4"),0),FALSE)),"",VLOOKUP($B95,OFFSET(INDIRECT(""&amp;$B$29&amp;"!$A$4"),0,0,200,100),MATCH(E$30,INDIRECT(""&amp;$B$29&amp;"!$A$4"):INDIRECT(""&amp;$B$29&amp;"!$o$4"),0),FALSE))</f>
        <v>108601.17600000001</v>
      </c>
      <c r="F95" s="90">
        <f ca="1">IF(ISERROR(VLOOKUP($B95,OFFSET(INDIRECT(""&amp;$B$29&amp;"!$A$4"),0,0,200,100),MATCH(F$30,INDIRECT(""&amp;$B$29&amp;"!$A$4"):INDIRECT(""&amp;$B$29&amp;"!$o$4"),0),FALSE)),"",VLOOKUP($B95,OFFSET(INDIRECT(""&amp;$B$29&amp;"!$A$4"),0,0,200,100),MATCH(F$30,INDIRECT(""&amp;$B$29&amp;"!$A$4"):INDIRECT(""&amp;$B$29&amp;"!$o$4"),0),FALSE))</f>
        <v>58398.415999999997</v>
      </c>
      <c r="G95" s="90">
        <f ca="1">IF(ISERROR(VLOOKUP($B95,OFFSET(INDIRECT(""&amp;$B$29&amp;"!$A$4"),0,0,200,100),MATCH(G$30,INDIRECT(""&amp;$B$29&amp;"!$A$4"):INDIRECT(""&amp;$B$29&amp;"!$o$4"),0),FALSE)),"",VLOOKUP($B95,OFFSET(INDIRECT(""&amp;$B$29&amp;"!$A$4"),0,0,200,100),MATCH(G$30,INDIRECT(""&amp;$B$29&amp;"!$A$4"):INDIRECT(""&amp;$B$29&amp;"!$o$4"),0),FALSE))</f>
        <v>58398.415999999997</v>
      </c>
      <c r="H95" s="90">
        <f ca="1">IF(ISERROR(VLOOKUP($B95,OFFSET(INDIRECT(""&amp;$B$29&amp;"!$A$4"),0,0,200,100),MATCH(H$30,INDIRECT(""&amp;$B$29&amp;"!$A$4"):INDIRECT(""&amp;$B$29&amp;"!$o$4"),0),FALSE)),"",VLOOKUP($B95,OFFSET(INDIRECT(""&amp;$B$29&amp;"!$A$4"),0,0,200,100),MATCH(H$30,INDIRECT(""&amp;$B$29&amp;"!$A$4"):INDIRECT(""&amp;$B$29&amp;"!$o$4"),0),FALSE))</f>
        <v>58398.415999999997</v>
      </c>
      <c r="I95" s="90">
        <f ca="1">IF(ISERROR(VLOOKUP($B95,OFFSET(INDIRECT(""&amp;$B$29&amp;"!$A$4"),0,0,200,100),MATCH(I$30,INDIRECT(""&amp;$B$29&amp;"!$A$4"):INDIRECT(""&amp;$B$29&amp;"!$o$4"),0),FALSE)),"",VLOOKUP($B95,OFFSET(INDIRECT(""&amp;$B$29&amp;"!$A$4"),0,0,200,100),MATCH(I$30,INDIRECT(""&amp;$B$29&amp;"!$A$4"):INDIRECT(""&amp;$B$29&amp;"!$o$4"),0),FALSE))</f>
        <v>58398.415999999997</v>
      </c>
      <c r="J95" s="90">
        <f ca="1">IF(ISERROR(VLOOKUP($B95,OFFSET(INDIRECT(""&amp;$B$29&amp;"!$A$4"),0,0,200,100),MATCH(J$30,INDIRECT(""&amp;$B$29&amp;"!$A$4"):INDIRECT(""&amp;$B$29&amp;"!$o$4"),0),FALSE)),"",VLOOKUP($B95,OFFSET(INDIRECT(""&amp;$B$29&amp;"!$A$4"),0,0,200,100),MATCH(J$30,INDIRECT(""&amp;$B$29&amp;"!$A$4"):INDIRECT(""&amp;$B$29&amp;"!$o$4"),0),FALSE))</f>
        <v>58398.415999999997</v>
      </c>
      <c r="K95" s="109" t="s">
        <v>189</v>
      </c>
      <c r="L95" s="90">
        <f ca="1">IF(ISERROR(VLOOKUP($K95,OFFSET(INDIRECT(""&amp;$S$29&amp;"!$A$4"),0,0,200,100),MATCH(L$30,INDIRECT(""&amp;$S$29&amp;"!$A$4"):INDIRECT(""&amp;$S$29&amp;"!$AA$4"),0),FALSE)),"",VLOOKUP($K95,OFFSET(INDIRECT(""&amp;$S$29&amp;"!$A$4"),0,0,200,100),MATCH(L$30,INDIRECT(""&amp;$S$29&amp;"!$A$4"):INDIRECT(""&amp;$S$29&amp;"!$AA$4"),0),FALSE))</f>
        <v>108601.17600000001</v>
      </c>
      <c r="M95" s="90">
        <f ca="1">IF(ISERROR(VLOOKUP($K95,OFFSET(INDIRECT(""&amp;$S$29&amp;"!$A$4"),0,0,200,100),MATCH(M$30,INDIRECT(""&amp;$S$29&amp;"!$A$4"):INDIRECT(""&amp;$S$29&amp;"!$AA$4"),0),FALSE)),"",VLOOKUP($K95,OFFSET(INDIRECT(""&amp;$S$29&amp;"!$A$4"),0,0,200,100),MATCH(M$30,INDIRECT(""&amp;$S$29&amp;"!$A$4"):INDIRECT(""&amp;$S$29&amp;"!$AA$4"),0),FALSE))</f>
        <v>108601.17600000001</v>
      </c>
      <c r="N95" s="90">
        <f ca="1">IF(ISERROR(VLOOKUP($K95,OFFSET(INDIRECT(""&amp;$S$29&amp;"!$A$4"),0,0,200,100),MATCH(N$30,INDIRECT(""&amp;$S$29&amp;"!$A$4"):INDIRECT(""&amp;$S$29&amp;"!$AA$4"),0),FALSE)),"",VLOOKUP($K95,OFFSET(INDIRECT(""&amp;$S$29&amp;"!$A$4"),0,0,200,100),MATCH(N$30,INDIRECT(""&amp;$S$29&amp;"!$A$4"):INDIRECT(""&amp;$S$29&amp;"!$AA$4"),0),FALSE))</f>
        <v>108601.17600000001</v>
      </c>
      <c r="O95" s="90">
        <f ca="1">IF(ISERROR(VLOOKUP($K95,OFFSET(INDIRECT(""&amp;$S$29&amp;"!$A$4"),0,0,200,100),MATCH(O$30,INDIRECT(""&amp;$S$29&amp;"!$A$4"):INDIRECT(""&amp;$S$29&amp;"!$AA$4"),0),FALSE)),"",VLOOKUP($K95,OFFSET(INDIRECT(""&amp;$S$29&amp;"!$A$4"),0,0,200,100),MATCH(O$30,INDIRECT(""&amp;$S$29&amp;"!$A$4"):INDIRECT(""&amp;$S$29&amp;"!$AA$4"),0),FALSE))</f>
        <v>58398.415999999997</v>
      </c>
      <c r="P95" s="90">
        <f ca="1">IF(ISERROR(VLOOKUP($K95,OFFSET(INDIRECT(""&amp;$S$29&amp;"!$A$4"),0,0,200,100),MATCH(P$30,INDIRECT(""&amp;$S$29&amp;"!$A$4"):INDIRECT(""&amp;$S$29&amp;"!$AA$4"),0),FALSE)),"",VLOOKUP($K95,OFFSET(INDIRECT(""&amp;$S$29&amp;"!$A$4"),0,0,200,100),MATCH(P$30,INDIRECT(""&amp;$S$29&amp;"!$A$4"):INDIRECT(""&amp;$S$29&amp;"!$AA$4"),0),FALSE))</f>
        <v>58398.415999999997</v>
      </c>
      <c r="Q95" s="90">
        <f ca="1">IF(ISERROR(VLOOKUP($K95,OFFSET(INDIRECT(""&amp;$S$29&amp;"!$A$4"),0,0,200,100),MATCH(Q$30,INDIRECT(""&amp;$S$29&amp;"!$A$4"):INDIRECT(""&amp;$S$29&amp;"!$AA$4"),0),FALSE)),"",VLOOKUP($K95,OFFSET(INDIRECT(""&amp;$S$29&amp;"!$A$4"),0,0,200,100),MATCH(Q$30,INDIRECT(""&amp;$S$29&amp;"!$A$4"):INDIRECT(""&amp;$S$29&amp;"!$AA$4"),0),FALSE))</f>
        <v>58398.415999999997</v>
      </c>
      <c r="R95" s="90">
        <f ca="1">IF(ISERROR(VLOOKUP($K95,OFFSET(INDIRECT(""&amp;$S$29&amp;"!$A$4"),0,0,200,100),MATCH(R$30,INDIRECT(""&amp;$S$29&amp;"!$A$4"):INDIRECT(""&amp;$S$29&amp;"!$AA$4"),0),FALSE)),"",VLOOKUP($K95,OFFSET(INDIRECT(""&amp;$S$29&amp;"!$A$4"),0,0,200,100),MATCH(R$30,INDIRECT(""&amp;$S$29&amp;"!$A$4"):INDIRECT(""&amp;$S$29&amp;"!$AA$4"),0),FALSE))</f>
        <v>58398.415999999997</v>
      </c>
      <c r="S95" s="90">
        <f ca="1">IF(ISERROR(VLOOKUP($K95,OFFSET(INDIRECT(""&amp;$S$29&amp;"!$A$4"),0,0,200,100),MATCH(S$30,INDIRECT(""&amp;$S$29&amp;"!$A$4"):INDIRECT(""&amp;$S$29&amp;"!$AA$4"),0),FALSE)),"",VLOOKUP($K95,OFFSET(INDIRECT(""&amp;$S$29&amp;"!$A$4"),0,0,200,100),MATCH(S$30,INDIRECT(""&amp;$S$29&amp;"!$A$4"):INDIRECT(""&amp;$S$29&amp;"!$AA$4"),0),FALSE))</f>
        <v>58398.415999999997</v>
      </c>
      <c r="T95" s="90">
        <f ca="1">IF(ISERROR(VLOOKUP($K95,OFFSET(INDIRECT(""&amp;$S$29&amp;"!$A$4"),0,0,200,100),MATCH(T$30,INDIRECT(""&amp;$S$29&amp;"!$A$4"):INDIRECT(""&amp;$S$29&amp;"!$AA$4"),0),FALSE)),"",VLOOKUP($K95,OFFSET(INDIRECT(""&amp;$S$29&amp;"!$A$4"),0,0,200,100),MATCH(T$30,INDIRECT(""&amp;$S$29&amp;"!$A$4"):INDIRECT(""&amp;$S$29&amp;"!$AA$4"),0),FALSE))</f>
        <v>58398.415999999997</v>
      </c>
      <c r="U95" s="90">
        <f ca="1">IF(ISERROR(VLOOKUP($K95,OFFSET(INDIRECT(""&amp;$S$29&amp;"!$A$4"),0,0,200,100),MATCH(U$30,INDIRECT(""&amp;$S$29&amp;"!$A$4"):INDIRECT(""&amp;$S$29&amp;"!$AA$4"),0),FALSE)),"",VLOOKUP($K95,OFFSET(INDIRECT(""&amp;$S$29&amp;"!$A$4"),0,0,200,100),MATCH(U$30,INDIRECT(""&amp;$S$29&amp;"!$A$4"):INDIRECT(""&amp;$S$29&amp;"!$AA$4"),0),FALSE))</f>
        <v>58398.415999999997</v>
      </c>
      <c r="V95" s="90">
        <f ca="1">IF(ISERROR(VLOOKUP($K95,OFFSET(INDIRECT(""&amp;$S$29&amp;"!$A$4"),0,0,200,100),MATCH(V$30,INDIRECT(""&amp;$S$29&amp;"!$A$4"):INDIRECT(""&amp;$S$29&amp;"!$AA$4"),0),FALSE)),"",VLOOKUP($K95,OFFSET(INDIRECT(""&amp;$S$29&amp;"!$A$4"),0,0,200,100),MATCH(V$30,INDIRECT(""&amp;$S$29&amp;"!$A$4"):INDIRECT(""&amp;$S$29&amp;"!$AA$4"),0),FALSE))</f>
        <v>58398.415999999997</v>
      </c>
      <c r="W95" s="90">
        <f ca="1">IF(ISERROR(VLOOKUP($K95,OFFSET(INDIRECT(""&amp;$S$29&amp;"!$A$4"),0,0,200,100),MATCH(W$30,INDIRECT(""&amp;$S$29&amp;"!$A$4"):INDIRECT(""&amp;$S$29&amp;"!$AA$4"),0),FALSE)),"",VLOOKUP($K95,OFFSET(INDIRECT(""&amp;$S$29&amp;"!$A$4"),0,0,200,100),MATCH(W$30,INDIRECT(""&amp;$S$29&amp;"!$A$4"):INDIRECT(""&amp;$S$29&amp;"!$AA$4"),0),FALSE))</f>
        <v>58398.415999999997</v>
      </c>
      <c r="X95" s="90">
        <f ca="1">IF(ISERROR(VLOOKUP($K95,OFFSET(INDIRECT(""&amp;$S$29&amp;"!$A$4"),0,0,200,100),MATCH(X$30,INDIRECT(""&amp;$S$29&amp;"!$A$4"):INDIRECT(""&amp;$S$29&amp;"!$AA$4"),0),FALSE)),"",VLOOKUP($K95,OFFSET(INDIRECT(""&amp;$S$29&amp;"!$A$4"),0,0,200,100),MATCH(X$30,INDIRECT(""&amp;$S$29&amp;"!$A$4"):INDIRECT(""&amp;$S$29&amp;"!$AA$4"),0),FALSE))</f>
        <v>58398.415999999997</v>
      </c>
      <c r="Y95" s="90">
        <f ca="1">IF(ISERROR(VLOOKUP($K95,OFFSET(INDIRECT(""&amp;$S$29&amp;"!$A$4"),0,0,200,100),MATCH(Y$30,INDIRECT(""&amp;$S$29&amp;"!$A$4"):INDIRECT(""&amp;$S$29&amp;"!$AA$4"),0),FALSE)),"",VLOOKUP($K95,OFFSET(INDIRECT(""&amp;$S$29&amp;"!$A$4"),0,0,200,100),MATCH(Y$30,INDIRECT(""&amp;$S$29&amp;"!$A$4"):INDIRECT(""&amp;$S$29&amp;"!$AA$4"),0),FALSE))</f>
        <v>58398.415999999997</v>
      </c>
      <c r="Z95" s="90">
        <f ca="1">IF(ISERROR(VLOOKUP($K95,OFFSET(INDIRECT(""&amp;$S$29&amp;"!$A$4"),0,0,200,100),MATCH(Z$30,INDIRECT(""&amp;$S$29&amp;"!$A$4"):INDIRECT(""&amp;$S$29&amp;"!$AA$4"),0),FALSE)),"",VLOOKUP($K95,OFFSET(INDIRECT(""&amp;$S$29&amp;"!$A$4"),0,0,200,100),MATCH(Z$30,INDIRECT(""&amp;$S$29&amp;"!$A$4"):INDIRECT(""&amp;$S$29&amp;"!$AA$4"),0),FALSE))</f>
        <v>58398.415999999997</v>
      </c>
      <c r="AA95" s="90">
        <f t="shared" ca="1" si="61"/>
        <v>58398.415999999997</v>
      </c>
      <c r="AB95" s="115"/>
      <c r="AC95" s="99">
        <f t="shared" ca="1" si="66"/>
        <v>0.31132603912086226</v>
      </c>
      <c r="AD95" s="99">
        <f t="shared" ca="1" si="67"/>
        <v>0.15487330260287324</v>
      </c>
      <c r="AE95" s="99">
        <f t="shared" ca="1" si="68"/>
        <v>0.15301801057524864</v>
      </c>
      <c r="AF95" s="99">
        <f t="shared" ca="1" si="69"/>
        <v>0.15947468054882899</v>
      </c>
      <c r="AG95" s="99">
        <f t="shared" ca="1" si="79"/>
        <v>0.17135163469008408</v>
      </c>
      <c r="AH95" s="99">
        <f t="shared" ca="1" si="79"/>
        <v>0.17135163469008408</v>
      </c>
      <c r="AI95" s="145"/>
      <c r="AJ95" s="99">
        <f t="shared" ca="1" si="71"/>
        <v>0.1490536929992077</v>
      </c>
      <c r="AK95" s="99">
        <f t="shared" ca="1" si="72"/>
        <v>0.15017088675708479</v>
      </c>
      <c r="AL95" s="99">
        <f t="shared" ca="1" si="73"/>
        <v>0.14114753991736931</v>
      </c>
      <c r="AM95" s="99">
        <f t="shared" ca="1" si="74"/>
        <v>0.14695564331797251</v>
      </c>
      <c r="AN95" s="99">
        <f t="shared" ca="1" si="75"/>
        <v>0.14490406142777496</v>
      </c>
      <c r="AO95" s="99">
        <f t="shared" ca="1" si="80"/>
        <v>0.15396369911691976</v>
      </c>
      <c r="AP95" s="99">
        <f t="shared" ca="1" si="80"/>
        <v>0.1584340457750176</v>
      </c>
      <c r="AQ95" s="99">
        <f t="shared" ca="1" si="80"/>
        <v>0.16176241397558677</v>
      </c>
      <c r="AR95" s="99">
        <f t="shared" ca="1" si="80"/>
        <v>0.15919699233355364</v>
      </c>
      <c r="AS95" s="99">
        <f t="shared" ca="1" si="80"/>
        <v>0.15837999016226478</v>
      </c>
      <c r="AT95" s="99">
        <f t="shared" ca="1" si="77"/>
        <v>0.17266079790144215</v>
      </c>
      <c r="AU95" s="99">
        <f t="shared" ca="1" si="77"/>
        <v>0.17340483213325886</v>
      </c>
      <c r="AV95" s="99">
        <f t="shared" ca="1" si="78"/>
        <v>0.17266079790144215</v>
      </c>
    </row>
    <row r="96" spans="1:48" s="112" customFormat="1" ht="15.95" customHeight="1">
      <c r="A96" s="113" t="s">
        <v>291</v>
      </c>
      <c r="B96" s="111" t="s">
        <v>190</v>
      </c>
      <c r="C96" s="90">
        <f ca="1">IF(ISERROR(VLOOKUP($B96,OFFSET(INDIRECT(""&amp;$B$29&amp;"!$A$4"),0,0,200,100),MATCH(C$30,INDIRECT(""&amp;$B$29&amp;"!$A$4"):INDIRECT(""&amp;$B$29&amp;"!$o$4"),0),FALSE)),"",VLOOKUP($B96,OFFSET(INDIRECT(""&amp;$B$29&amp;"!$A$4"),0,0,200,100),MATCH(C$30,INDIRECT(""&amp;$B$29&amp;"!$A$4"):INDIRECT(""&amp;$B$29&amp;"!$o$4"),0),FALSE))</f>
        <v>0</v>
      </c>
      <c r="D96" s="90">
        <f ca="1">IF(ISERROR(VLOOKUP($B96,OFFSET(INDIRECT(""&amp;$B$29&amp;"!$A$4"),0,0,200,100),MATCH(D$30,INDIRECT(""&amp;$B$29&amp;"!$A$4"):INDIRECT(""&amp;$B$29&amp;"!$o$4"),0),FALSE)),"",VLOOKUP($B96,OFFSET(INDIRECT(""&amp;$B$29&amp;"!$A$4"),0,0,200,100),MATCH(D$30,INDIRECT(""&amp;$B$29&amp;"!$A$4"):INDIRECT(""&amp;$B$29&amp;"!$o$4"),0),FALSE))</f>
        <v>0</v>
      </c>
      <c r="E96" s="90">
        <f ca="1">IF(ISERROR(VLOOKUP($B96,OFFSET(INDIRECT(""&amp;$B$29&amp;"!$A$4"),0,0,200,100),MATCH(E$30,INDIRECT(""&amp;$B$29&amp;"!$A$4"):INDIRECT(""&amp;$B$29&amp;"!$o$4"),0),FALSE)),"",VLOOKUP($B96,OFFSET(INDIRECT(""&amp;$B$29&amp;"!$A$4"),0,0,200,100),MATCH(E$30,INDIRECT(""&amp;$B$29&amp;"!$A$4"):INDIRECT(""&amp;$B$29&amp;"!$o$4"),0),FALSE))</f>
        <v>0</v>
      </c>
      <c r="F96" s="90">
        <f ca="1">IF(ISERROR(VLOOKUP($B96,OFFSET(INDIRECT(""&amp;$B$29&amp;"!$A$4"),0,0,200,100),MATCH(F$30,INDIRECT(""&amp;$B$29&amp;"!$A$4"):INDIRECT(""&amp;$B$29&amp;"!$o$4"),0),FALSE)),"",VLOOKUP($B96,OFFSET(INDIRECT(""&amp;$B$29&amp;"!$A$4"),0,0,200,100),MATCH(F$30,INDIRECT(""&amp;$B$29&amp;"!$A$4"):INDIRECT(""&amp;$B$29&amp;"!$o$4"),0),FALSE))</f>
        <v>0</v>
      </c>
      <c r="G96" s="90">
        <f ca="1">IF(ISERROR(VLOOKUP($B96,OFFSET(INDIRECT(""&amp;$B$29&amp;"!$A$4"),0,0,200,100),MATCH(G$30,INDIRECT(""&amp;$B$29&amp;"!$A$4"):INDIRECT(""&amp;$B$29&amp;"!$o$4"),0),FALSE)),"",VLOOKUP($B96,OFFSET(INDIRECT(""&amp;$B$29&amp;"!$A$4"),0,0,200,100),MATCH(G$30,INDIRECT(""&amp;$B$29&amp;"!$A$4"):INDIRECT(""&amp;$B$29&amp;"!$o$4"),0),FALSE))</f>
        <v>0</v>
      </c>
      <c r="H96" s="90">
        <f ca="1">IF(ISERROR(VLOOKUP($B96,OFFSET(INDIRECT(""&amp;$B$29&amp;"!$A$4"),0,0,200,100),MATCH(H$30,INDIRECT(""&amp;$B$29&amp;"!$A$4"):INDIRECT(""&amp;$B$29&amp;"!$o$4"),0),FALSE)),"",VLOOKUP($B96,OFFSET(INDIRECT(""&amp;$B$29&amp;"!$A$4"),0,0,200,100),MATCH(H$30,INDIRECT(""&amp;$B$29&amp;"!$A$4"):INDIRECT(""&amp;$B$29&amp;"!$o$4"),0),FALSE))</f>
        <v>0</v>
      </c>
      <c r="I96" s="90">
        <f ca="1">IF(ISERROR(VLOOKUP($B96,OFFSET(INDIRECT(""&amp;$B$29&amp;"!$A$4"),0,0,200,100),MATCH(I$30,INDIRECT(""&amp;$B$29&amp;"!$A$4"):INDIRECT(""&amp;$B$29&amp;"!$o$4"),0),FALSE)),"",VLOOKUP($B96,OFFSET(INDIRECT(""&amp;$B$29&amp;"!$A$4"),0,0,200,100),MATCH(I$30,INDIRECT(""&amp;$B$29&amp;"!$A$4"):INDIRECT(""&amp;$B$29&amp;"!$o$4"),0),FALSE))</f>
        <v>0</v>
      </c>
      <c r="J96" s="90">
        <f ca="1">IF(ISERROR(VLOOKUP($B96,OFFSET(INDIRECT(""&amp;$B$29&amp;"!$A$4"),0,0,200,100),MATCH(J$30,INDIRECT(""&amp;$B$29&amp;"!$A$4"):INDIRECT(""&amp;$B$29&amp;"!$o$4"),0),FALSE)),"",VLOOKUP($B96,OFFSET(INDIRECT(""&amp;$B$29&amp;"!$A$4"),0,0,200,100),MATCH(J$30,INDIRECT(""&amp;$B$29&amp;"!$A$4"):INDIRECT(""&amp;$B$29&amp;"!$o$4"),0),FALSE))</f>
        <v>0</v>
      </c>
      <c r="K96" s="109" t="s">
        <v>190</v>
      </c>
      <c r="L96" s="90">
        <f ca="1">IF(ISERROR(VLOOKUP($K96,OFFSET(INDIRECT(""&amp;$S$29&amp;"!$A$4"),0,0,200,100),MATCH(L$30,INDIRECT(""&amp;$S$29&amp;"!$A$4"):INDIRECT(""&amp;$S$29&amp;"!$AA$4"),0),FALSE)),"",VLOOKUP($K96,OFFSET(INDIRECT(""&amp;$S$29&amp;"!$A$4"),0,0,200,100),MATCH(L$30,INDIRECT(""&amp;$S$29&amp;"!$A$4"):INDIRECT(""&amp;$S$29&amp;"!$AA$4"),0),FALSE))</f>
        <v>0</v>
      </c>
      <c r="M96" s="90">
        <f ca="1">IF(ISERROR(VLOOKUP($K96,OFFSET(INDIRECT(""&amp;$S$29&amp;"!$A$4"),0,0,200,100),MATCH(M$30,INDIRECT(""&amp;$S$29&amp;"!$A$4"):INDIRECT(""&amp;$S$29&amp;"!$AA$4"),0),FALSE)),"",VLOOKUP($K96,OFFSET(INDIRECT(""&amp;$S$29&amp;"!$A$4"),0,0,200,100),MATCH(M$30,INDIRECT(""&amp;$S$29&amp;"!$A$4"):INDIRECT(""&amp;$S$29&amp;"!$AA$4"),0),FALSE))</f>
        <v>0</v>
      </c>
      <c r="N96" s="90">
        <f ca="1">IF(ISERROR(VLOOKUP($K96,OFFSET(INDIRECT(""&amp;$S$29&amp;"!$A$4"),0,0,200,100),MATCH(N$30,INDIRECT(""&amp;$S$29&amp;"!$A$4"):INDIRECT(""&amp;$S$29&amp;"!$AA$4"),0),FALSE)),"",VLOOKUP($K96,OFFSET(INDIRECT(""&amp;$S$29&amp;"!$A$4"),0,0,200,100),MATCH(N$30,INDIRECT(""&amp;$S$29&amp;"!$A$4"):INDIRECT(""&amp;$S$29&amp;"!$AA$4"),0),FALSE))</f>
        <v>0</v>
      </c>
      <c r="O96" s="90">
        <f ca="1">IF(ISERROR(VLOOKUP($K96,OFFSET(INDIRECT(""&amp;$S$29&amp;"!$A$4"),0,0,200,100),MATCH(O$30,INDIRECT(""&amp;$S$29&amp;"!$A$4"):INDIRECT(""&amp;$S$29&amp;"!$AA$4"),0),FALSE)),"",VLOOKUP($K96,OFFSET(INDIRECT(""&amp;$S$29&amp;"!$A$4"),0,0,200,100),MATCH(O$30,INDIRECT(""&amp;$S$29&amp;"!$A$4"):INDIRECT(""&amp;$S$29&amp;"!$AA$4"),0),FALSE))</f>
        <v>0</v>
      </c>
      <c r="P96" s="90">
        <f ca="1">IF(ISERROR(VLOOKUP($K96,OFFSET(INDIRECT(""&amp;$S$29&amp;"!$A$4"),0,0,200,100),MATCH(P$30,INDIRECT(""&amp;$S$29&amp;"!$A$4"):INDIRECT(""&amp;$S$29&amp;"!$AA$4"),0),FALSE)),"",VLOOKUP($K96,OFFSET(INDIRECT(""&amp;$S$29&amp;"!$A$4"),0,0,200,100),MATCH(P$30,INDIRECT(""&amp;$S$29&amp;"!$A$4"):INDIRECT(""&amp;$S$29&amp;"!$AA$4"),0),FALSE))</f>
        <v>0</v>
      </c>
      <c r="Q96" s="90">
        <f ca="1">IF(ISERROR(VLOOKUP($K96,OFFSET(INDIRECT(""&amp;$S$29&amp;"!$A$4"),0,0,200,100),MATCH(Q$30,INDIRECT(""&amp;$S$29&amp;"!$A$4"):INDIRECT(""&amp;$S$29&amp;"!$AA$4"),0),FALSE)),"",VLOOKUP($K96,OFFSET(INDIRECT(""&amp;$S$29&amp;"!$A$4"),0,0,200,100),MATCH(Q$30,INDIRECT(""&amp;$S$29&amp;"!$A$4"):INDIRECT(""&amp;$S$29&amp;"!$AA$4"),0),FALSE))</f>
        <v>0</v>
      </c>
      <c r="R96" s="90">
        <f ca="1">IF(ISERROR(VLOOKUP($K96,OFFSET(INDIRECT(""&amp;$S$29&amp;"!$A$4"),0,0,200,100),MATCH(R$30,INDIRECT(""&amp;$S$29&amp;"!$A$4"):INDIRECT(""&amp;$S$29&amp;"!$AA$4"),0),FALSE)),"",VLOOKUP($K96,OFFSET(INDIRECT(""&amp;$S$29&amp;"!$A$4"),0,0,200,100),MATCH(R$30,INDIRECT(""&amp;$S$29&amp;"!$A$4"):INDIRECT(""&amp;$S$29&amp;"!$AA$4"),0),FALSE))</f>
        <v>0</v>
      </c>
      <c r="S96" s="90">
        <f ca="1">IF(ISERROR(VLOOKUP($K96,OFFSET(INDIRECT(""&amp;$S$29&amp;"!$A$4"),0,0,200,100),MATCH(S$30,INDIRECT(""&amp;$S$29&amp;"!$A$4"):INDIRECT(""&amp;$S$29&amp;"!$AA$4"),0),FALSE)),"",VLOOKUP($K96,OFFSET(INDIRECT(""&amp;$S$29&amp;"!$A$4"),0,0,200,100),MATCH(S$30,INDIRECT(""&amp;$S$29&amp;"!$A$4"):INDIRECT(""&amp;$S$29&amp;"!$AA$4"),0),FALSE))</f>
        <v>0</v>
      </c>
      <c r="T96" s="90">
        <f ca="1">IF(ISERROR(VLOOKUP($K96,OFFSET(INDIRECT(""&amp;$S$29&amp;"!$A$4"),0,0,200,100),MATCH(T$30,INDIRECT(""&amp;$S$29&amp;"!$A$4"):INDIRECT(""&amp;$S$29&amp;"!$AA$4"),0),FALSE)),"",VLOOKUP($K96,OFFSET(INDIRECT(""&amp;$S$29&amp;"!$A$4"),0,0,200,100),MATCH(T$30,INDIRECT(""&amp;$S$29&amp;"!$A$4"):INDIRECT(""&amp;$S$29&amp;"!$AA$4"),0),FALSE))</f>
        <v>0</v>
      </c>
      <c r="U96" s="90">
        <f ca="1">IF(ISERROR(VLOOKUP($K96,OFFSET(INDIRECT(""&amp;$S$29&amp;"!$A$4"),0,0,200,100),MATCH(U$30,INDIRECT(""&amp;$S$29&amp;"!$A$4"):INDIRECT(""&amp;$S$29&amp;"!$AA$4"),0),FALSE)),"",VLOOKUP($K96,OFFSET(INDIRECT(""&amp;$S$29&amp;"!$A$4"),0,0,200,100),MATCH(U$30,INDIRECT(""&amp;$S$29&amp;"!$A$4"):INDIRECT(""&amp;$S$29&amp;"!$AA$4"),0),FALSE))</f>
        <v>0</v>
      </c>
      <c r="V96" s="90">
        <f ca="1">IF(ISERROR(VLOOKUP($K96,OFFSET(INDIRECT(""&amp;$S$29&amp;"!$A$4"),0,0,200,100),MATCH(V$30,INDIRECT(""&amp;$S$29&amp;"!$A$4"):INDIRECT(""&amp;$S$29&amp;"!$AA$4"),0),FALSE)),"",VLOOKUP($K96,OFFSET(INDIRECT(""&amp;$S$29&amp;"!$A$4"),0,0,200,100),MATCH(V$30,INDIRECT(""&amp;$S$29&amp;"!$A$4"):INDIRECT(""&amp;$S$29&amp;"!$AA$4"),0),FALSE))</f>
        <v>0</v>
      </c>
      <c r="W96" s="90">
        <f ca="1">IF(ISERROR(VLOOKUP($K96,OFFSET(INDIRECT(""&amp;$S$29&amp;"!$A$4"),0,0,200,100),MATCH(W$30,INDIRECT(""&amp;$S$29&amp;"!$A$4"):INDIRECT(""&amp;$S$29&amp;"!$AA$4"),0),FALSE)),"",VLOOKUP($K96,OFFSET(INDIRECT(""&amp;$S$29&amp;"!$A$4"),0,0,200,100),MATCH(W$30,INDIRECT(""&amp;$S$29&amp;"!$A$4"):INDIRECT(""&amp;$S$29&amp;"!$AA$4"),0),FALSE))</f>
        <v>0</v>
      </c>
      <c r="X96" s="90">
        <f ca="1">IF(ISERROR(VLOOKUP($K96,OFFSET(INDIRECT(""&amp;$S$29&amp;"!$A$4"),0,0,200,100),MATCH(X$30,INDIRECT(""&amp;$S$29&amp;"!$A$4"):INDIRECT(""&amp;$S$29&amp;"!$AA$4"),0),FALSE)),"",VLOOKUP($K96,OFFSET(INDIRECT(""&amp;$S$29&amp;"!$A$4"),0,0,200,100),MATCH(X$30,INDIRECT(""&amp;$S$29&amp;"!$A$4"):INDIRECT(""&amp;$S$29&amp;"!$AA$4"),0),FALSE))</f>
        <v>0</v>
      </c>
      <c r="Y96" s="90">
        <f ca="1">IF(ISERROR(VLOOKUP($K96,OFFSET(INDIRECT(""&amp;$S$29&amp;"!$A$4"),0,0,200,100),MATCH(Y$30,INDIRECT(""&amp;$S$29&amp;"!$A$4"):INDIRECT(""&amp;$S$29&amp;"!$AA$4"),0),FALSE)),"",VLOOKUP($K96,OFFSET(INDIRECT(""&amp;$S$29&amp;"!$A$4"),0,0,200,100),MATCH(Y$30,INDIRECT(""&amp;$S$29&amp;"!$A$4"):INDIRECT(""&amp;$S$29&amp;"!$AA$4"),0),FALSE))</f>
        <v>0</v>
      </c>
      <c r="Z96" s="90">
        <f ca="1">IF(ISERROR(VLOOKUP($K96,OFFSET(INDIRECT(""&amp;$S$29&amp;"!$A$4"),0,0,200,100),MATCH(Z$30,INDIRECT(""&amp;$S$29&amp;"!$A$4"):INDIRECT(""&amp;$S$29&amp;"!$AA$4"),0),FALSE)),"",VLOOKUP($K96,OFFSET(INDIRECT(""&amp;$S$29&amp;"!$A$4"),0,0,200,100),MATCH(Z$30,INDIRECT(""&amp;$S$29&amp;"!$A$4"):INDIRECT(""&amp;$S$29&amp;"!$AA$4"),0),FALSE))</f>
        <v>0</v>
      </c>
      <c r="AA96" s="90">
        <f t="shared" ref="AA96:AA107" ca="1" si="81">IF($AA$30=0,0,$Y96)</f>
        <v>0</v>
      </c>
      <c r="AB96" s="115"/>
      <c r="AC96" s="99">
        <f t="shared" ca="1" si="66"/>
        <v>0</v>
      </c>
      <c r="AD96" s="99">
        <f t="shared" ca="1" si="67"/>
        <v>0</v>
      </c>
      <c r="AE96" s="99">
        <f t="shared" ca="1" si="68"/>
        <v>0</v>
      </c>
      <c r="AF96" s="99">
        <f t="shared" ca="1" si="69"/>
        <v>0</v>
      </c>
      <c r="AG96" s="99">
        <f t="shared" ca="1" si="79"/>
        <v>0</v>
      </c>
      <c r="AH96" s="99">
        <f t="shared" ca="1" si="79"/>
        <v>0</v>
      </c>
      <c r="AI96" s="145"/>
      <c r="AJ96" s="99">
        <f t="shared" ca="1" si="71"/>
        <v>0</v>
      </c>
      <c r="AK96" s="99">
        <f t="shared" ca="1" si="72"/>
        <v>0</v>
      </c>
      <c r="AL96" s="99">
        <f t="shared" ca="1" si="73"/>
        <v>0</v>
      </c>
      <c r="AM96" s="99">
        <f t="shared" ca="1" si="74"/>
        <v>0</v>
      </c>
      <c r="AN96" s="99">
        <f t="shared" ca="1" si="75"/>
        <v>0</v>
      </c>
      <c r="AO96" s="99">
        <f t="shared" ca="1" si="80"/>
        <v>0</v>
      </c>
      <c r="AP96" s="99">
        <f t="shared" ca="1" si="80"/>
        <v>0</v>
      </c>
      <c r="AQ96" s="99">
        <f t="shared" ca="1" si="80"/>
        <v>0</v>
      </c>
      <c r="AR96" s="99">
        <f t="shared" ca="1" si="80"/>
        <v>0</v>
      </c>
      <c r="AS96" s="99">
        <f t="shared" ca="1" si="80"/>
        <v>0</v>
      </c>
      <c r="AT96" s="99">
        <f t="shared" ca="1" si="77"/>
        <v>0</v>
      </c>
      <c r="AU96" s="99">
        <f t="shared" ca="1" si="77"/>
        <v>0</v>
      </c>
      <c r="AV96" s="99">
        <f t="shared" ca="1" si="78"/>
        <v>0</v>
      </c>
    </row>
    <row r="97" spans="1:58" s="108" customFormat="1" ht="15.95" customHeight="1">
      <c r="A97" s="113" t="s">
        <v>292</v>
      </c>
      <c r="B97" s="111" t="s">
        <v>191</v>
      </c>
      <c r="C97" s="90">
        <f ca="1">IF(ISERROR(VLOOKUP($B97,OFFSET(INDIRECT(""&amp;$B$29&amp;"!$A$4"),0,0,200,100),MATCH(C$30,INDIRECT(""&amp;$B$29&amp;"!$A$4"):INDIRECT(""&amp;$B$29&amp;"!$o$4"),0),FALSE)),"",VLOOKUP($B97,OFFSET(INDIRECT(""&amp;$B$29&amp;"!$A$4"),0,0,200,100),MATCH(C$30,INDIRECT(""&amp;$B$29&amp;"!$A$4"):INDIRECT(""&amp;$B$29&amp;"!$o$4"),0),FALSE))</f>
        <v>0</v>
      </c>
      <c r="D97" s="90">
        <f ca="1">IF(ISERROR(VLOOKUP($B97,OFFSET(INDIRECT(""&amp;$B$29&amp;"!$A$4"),0,0,200,100),MATCH(D$30,INDIRECT(""&amp;$B$29&amp;"!$A$4"):INDIRECT(""&amp;$B$29&amp;"!$o$4"),0),FALSE)),"",VLOOKUP($B97,OFFSET(INDIRECT(""&amp;$B$29&amp;"!$A$4"),0,0,200,100),MATCH(D$30,INDIRECT(""&amp;$B$29&amp;"!$A$4"):INDIRECT(""&amp;$B$29&amp;"!$o$4"),0),FALSE))</f>
        <v>-1298.22</v>
      </c>
      <c r="E97" s="90">
        <f ca="1">IF(ISERROR(VLOOKUP($B97,OFFSET(INDIRECT(""&amp;$B$29&amp;"!$A$4"),0,0,200,100),MATCH(E$30,INDIRECT(""&amp;$B$29&amp;"!$A$4"):INDIRECT(""&amp;$B$29&amp;"!$o$4"),0),FALSE)),"",VLOOKUP($B97,OFFSET(INDIRECT(""&amp;$B$29&amp;"!$A$4"),0,0,200,100),MATCH(E$30,INDIRECT(""&amp;$B$29&amp;"!$A$4"):INDIRECT(""&amp;$B$29&amp;"!$o$4"),0),FALSE))</f>
        <v>-1298.22</v>
      </c>
      <c r="F97" s="90">
        <f ca="1">IF(ISERROR(VLOOKUP($B97,OFFSET(INDIRECT(""&amp;$B$29&amp;"!$A$4"),0,0,200,100),MATCH(F$30,INDIRECT(""&amp;$B$29&amp;"!$A$4"):INDIRECT(""&amp;$B$29&amp;"!$o$4"),0),FALSE)),"",VLOOKUP($B97,OFFSET(INDIRECT(""&amp;$B$29&amp;"!$A$4"),0,0,200,100),MATCH(F$30,INDIRECT(""&amp;$B$29&amp;"!$A$4"):INDIRECT(""&amp;$B$29&amp;"!$o$4"),0),FALSE))</f>
        <v>-1298.22</v>
      </c>
      <c r="G97" s="90">
        <f ca="1">IF(ISERROR(VLOOKUP($B97,OFFSET(INDIRECT(""&amp;$B$29&amp;"!$A$4"),0,0,200,100),MATCH(G$30,INDIRECT(""&amp;$B$29&amp;"!$A$4"):INDIRECT(""&amp;$B$29&amp;"!$o$4"),0),FALSE)),"",VLOOKUP($B97,OFFSET(INDIRECT(""&amp;$B$29&amp;"!$A$4"),0,0,200,100),MATCH(G$30,INDIRECT(""&amp;$B$29&amp;"!$A$4"):INDIRECT(""&amp;$B$29&amp;"!$o$4"),0),FALSE))</f>
        <v>-1298.22</v>
      </c>
      <c r="H97" s="90">
        <f ca="1">IF(ISERROR(VLOOKUP($B97,OFFSET(INDIRECT(""&amp;$B$29&amp;"!$A$4"),0,0,200,100),MATCH(H$30,INDIRECT(""&amp;$B$29&amp;"!$A$4"):INDIRECT(""&amp;$B$29&amp;"!$o$4"),0),FALSE)),"",VLOOKUP($B97,OFFSET(INDIRECT(""&amp;$B$29&amp;"!$A$4"),0,0,200,100),MATCH(H$30,INDIRECT(""&amp;$B$29&amp;"!$A$4"):INDIRECT(""&amp;$B$29&amp;"!$o$4"),0),FALSE))</f>
        <v>-1298.22</v>
      </c>
      <c r="I97" s="90">
        <f ca="1">IF(ISERROR(VLOOKUP($B97,OFFSET(INDIRECT(""&amp;$B$29&amp;"!$A$4"),0,0,200,100),MATCH(I$30,INDIRECT(""&amp;$B$29&amp;"!$A$4"):INDIRECT(""&amp;$B$29&amp;"!$o$4"),0),FALSE)),"",VLOOKUP($B97,OFFSET(INDIRECT(""&amp;$B$29&amp;"!$A$4"),0,0,200,100),MATCH(I$30,INDIRECT(""&amp;$B$29&amp;"!$A$4"):INDIRECT(""&amp;$B$29&amp;"!$o$4"),0),FALSE))</f>
        <v>-1298.22</v>
      </c>
      <c r="J97" s="90">
        <f ca="1">IF(ISERROR(VLOOKUP($B97,OFFSET(INDIRECT(""&amp;$B$29&amp;"!$A$4"),0,0,200,100),MATCH(J$30,INDIRECT(""&amp;$B$29&amp;"!$A$4"):INDIRECT(""&amp;$B$29&amp;"!$o$4"),0),FALSE)),"",VLOOKUP($B97,OFFSET(INDIRECT(""&amp;$B$29&amp;"!$A$4"),0,0,200,100),MATCH(J$30,INDIRECT(""&amp;$B$29&amp;"!$A$4"):INDIRECT(""&amp;$B$29&amp;"!$o$4"),0),FALSE))</f>
        <v>-1298.22</v>
      </c>
      <c r="K97" s="109" t="s">
        <v>191</v>
      </c>
      <c r="L97" s="90">
        <f ca="1">IF(ISERROR(VLOOKUP($K97,OFFSET(INDIRECT(""&amp;$S$29&amp;"!$A$4"),0,0,200,100),MATCH(L$30,INDIRECT(""&amp;$S$29&amp;"!$A$4"):INDIRECT(""&amp;$S$29&amp;"!$AA$4"),0),FALSE)),"",VLOOKUP($K97,OFFSET(INDIRECT(""&amp;$S$29&amp;"!$A$4"),0,0,200,100),MATCH(L$30,INDIRECT(""&amp;$S$29&amp;"!$A$4"):INDIRECT(""&amp;$S$29&amp;"!$AA$4"),0),FALSE))</f>
        <v>-1298.22</v>
      </c>
      <c r="M97" s="90">
        <f ca="1">IF(ISERROR(VLOOKUP($K97,OFFSET(INDIRECT(""&amp;$S$29&amp;"!$A$4"),0,0,200,100),MATCH(M$30,INDIRECT(""&amp;$S$29&amp;"!$A$4"):INDIRECT(""&amp;$S$29&amp;"!$AA$4"),0),FALSE)),"",VLOOKUP($K97,OFFSET(INDIRECT(""&amp;$S$29&amp;"!$A$4"),0,0,200,100),MATCH(M$30,INDIRECT(""&amp;$S$29&amp;"!$A$4"):INDIRECT(""&amp;$S$29&amp;"!$AA$4"),0),FALSE))</f>
        <v>-1298.22</v>
      </c>
      <c r="N97" s="90">
        <f ca="1">IF(ISERROR(VLOOKUP($K97,OFFSET(INDIRECT(""&amp;$S$29&amp;"!$A$4"),0,0,200,100),MATCH(N$30,INDIRECT(""&amp;$S$29&amp;"!$A$4"):INDIRECT(""&amp;$S$29&amp;"!$AA$4"),0),FALSE)),"",VLOOKUP($K97,OFFSET(INDIRECT(""&amp;$S$29&amp;"!$A$4"),0,0,200,100),MATCH(N$30,INDIRECT(""&amp;$S$29&amp;"!$A$4"):INDIRECT(""&amp;$S$29&amp;"!$AA$4"),0),FALSE))</f>
        <v>-1298.22</v>
      </c>
      <c r="O97" s="90">
        <f ca="1">IF(ISERROR(VLOOKUP($K97,OFFSET(INDIRECT(""&amp;$S$29&amp;"!$A$4"),0,0,200,100),MATCH(O$30,INDIRECT(""&amp;$S$29&amp;"!$A$4"):INDIRECT(""&amp;$S$29&amp;"!$AA$4"),0),FALSE)),"",VLOOKUP($K97,OFFSET(INDIRECT(""&amp;$S$29&amp;"!$A$4"),0,0,200,100),MATCH(O$30,INDIRECT(""&amp;$S$29&amp;"!$A$4"):INDIRECT(""&amp;$S$29&amp;"!$AA$4"),0),FALSE))</f>
        <v>-1298.22</v>
      </c>
      <c r="P97" s="90">
        <f ca="1">IF(ISERROR(VLOOKUP($K97,OFFSET(INDIRECT(""&amp;$S$29&amp;"!$A$4"),0,0,200,100),MATCH(P$30,INDIRECT(""&amp;$S$29&amp;"!$A$4"):INDIRECT(""&amp;$S$29&amp;"!$AA$4"),0),FALSE)),"",VLOOKUP($K97,OFFSET(INDIRECT(""&amp;$S$29&amp;"!$A$4"),0,0,200,100),MATCH(P$30,INDIRECT(""&amp;$S$29&amp;"!$A$4"):INDIRECT(""&amp;$S$29&amp;"!$AA$4"),0),FALSE))</f>
        <v>-1298.22</v>
      </c>
      <c r="Q97" s="90">
        <f ca="1">IF(ISERROR(VLOOKUP($K97,OFFSET(INDIRECT(""&amp;$S$29&amp;"!$A$4"),0,0,200,100),MATCH(Q$30,INDIRECT(""&amp;$S$29&amp;"!$A$4"):INDIRECT(""&amp;$S$29&amp;"!$AA$4"),0),FALSE)),"",VLOOKUP($K97,OFFSET(INDIRECT(""&amp;$S$29&amp;"!$A$4"),0,0,200,100),MATCH(Q$30,INDIRECT(""&amp;$S$29&amp;"!$A$4"):INDIRECT(""&amp;$S$29&amp;"!$AA$4"),0),FALSE))</f>
        <v>-1298.22</v>
      </c>
      <c r="R97" s="90">
        <f ca="1">IF(ISERROR(VLOOKUP($K97,OFFSET(INDIRECT(""&amp;$S$29&amp;"!$A$4"),0,0,200,100),MATCH(R$30,INDIRECT(""&amp;$S$29&amp;"!$A$4"):INDIRECT(""&amp;$S$29&amp;"!$AA$4"),0),FALSE)),"",VLOOKUP($K97,OFFSET(INDIRECT(""&amp;$S$29&amp;"!$A$4"),0,0,200,100),MATCH(R$30,INDIRECT(""&amp;$S$29&amp;"!$A$4"):INDIRECT(""&amp;$S$29&amp;"!$AA$4"),0),FALSE))</f>
        <v>-1298.22</v>
      </c>
      <c r="S97" s="90">
        <f ca="1">IF(ISERROR(VLOOKUP($K97,OFFSET(INDIRECT(""&amp;$S$29&amp;"!$A$4"),0,0,200,100),MATCH(S$30,INDIRECT(""&amp;$S$29&amp;"!$A$4"):INDIRECT(""&amp;$S$29&amp;"!$AA$4"),0),FALSE)),"",VLOOKUP($K97,OFFSET(INDIRECT(""&amp;$S$29&amp;"!$A$4"),0,0,200,100),MATCH(S$30,INDIRECT(""&amp;$S$29&amp;"!$A$4"):INDIRECT(""&amp;$S$29&amp;"!$AA$4"),0),FALSE))</f>
        <v>-1298.22</v>
      </c>
      <c r="T97" s="90">
        <f ca="1">IF(ISERROR(VLOOKUP($K97,OFFSET(INDIRECT(""&amp;$S$29&amp;"!$A$4"),0,0,200,100),MATCH(T$30,INDIRECT(""&amp;$S$29&amp;"!$A$4"):INDIRECT(""&amp;$S$29&amp;"!$AA$4"),0),FALSE)),"",VLOOKUP($K97,OFFSET(INDIRECT(""&amp;$S$29&amp;"!$A$4"),0,0,200,100),MATCH(T$30,INDIRECT(""&amp;$S$29&amp;"!$A$4"):INDIRECT(""&amp;$S$29&amp;"!$AA$4"),0),FALSE))</f>
        <v>-1298.22</v>
      </c>
      <c r="U97" s="90">
        <f ca="1">IF(ISERROR(VLOOKUP($K97,OFFSET(INDIRECT(""&amp;$S$29&amp;"!$A$4"),0,0,200,100),MATCH(U$30,INDIRECT(""&amp;$S$29&amp;"!$A$4"):INDIRECT(""&amp;$S$29&amp;"!$AA$4"),0),FALSE)),"",VLOOKUP($K97,OFFSET(INDIRECT(""&amp;$S$29&amp;"!$A$4"),0,0,200,100),MATCH(U$30,INDIRECT(""&amp;$S$29&amp;"!$A$4"):INDIRECT(""&amp;$S$29&amp;"!$AA$4"),0),FALSE))</f>
        <v>-1298.22</v>
      </c>
      <c r="V97" s="90">
        <f ca="1">IF(ISERROR(VLOOKUP($K97,OFFSET(INDIRECT(""&amp;$S$29&amp;"!$A$4"),0,0,200,100),MATCH(V$30,INDIRECT(""&amp;$S$29&amp;"!$A$4"):INDIRECT(""&amp;$S$29&amp;"!$AA$4"),0),FALSE)),"",VLOOKUP($K97,OFFSET(INDIRECT(""&amp;$S$29&amp;"!$A$4"),0,0,200,100),MATCH(V$30,INDIRECT(""&amp;$S$29&amp;"!$A$4"):INDIRECT(""&amp;$S$29&amp;"!$AA$4"),0),FALSE))</f>
        <v>-1298.22</v>
      </c>
      <c r="W97" s="90">
        <f ca="1">IF(ISERROR(VLOOKUP($K97,OFFSET(INDIRECT(""&amp;$S$29&amp;"!$A$4"),0,0,200,100),MATCH(W$30,INDIRECT(""&amp;$S$29&amp;"!$A$4"):INDIRECT(""&amp;$S$29&amp;"!$AA$4"),0),FALSE)),"",VLOOKUP($K97,OFFSET(INDIRECT(""&amp;$S$29&amp;"!$A$4"),0,0,200,100),MATCH(W$30,INDIRECT(""&amp;$S$29&amp;"!$A$4"):INDIRECT(""&amp;$S$29&amp;"!$AA$4"),0),FALSE))</f>
        <v>-1298.22</v>
      </c>
      <c r="X97" s="90">
        <f ca="1">IF(ISERROR(VLOOKUP($K97,OFFSET(INDIRECT(""&amp;$S$29&amp;"!$A$4"),0,0,200,100),MATCH(X$30,INDIRECT(""&amp;$S$29&amp;"!$A$4"):INDIRECT(""&amp;$S$29&amp;"!$AA$4"),0),FALSE)),"",VLOOKUP($K97,OFFSET(INDIRECT(""&amp;$S$29&amp;"!$A$4"),0,0,200,100),MATCH(X$30,INDIRECT(""&amp;$S$29&amp;"!$A$4"):INDIRECT(""&amp;$S$29&amp;"!$AA$4"),0),FALSE))</f>
        <v>-1298.22</v>
      </c>
      <c r="Y97" s="90">
        <f ca="1">IF(ISERROR(VLOOKUP($K97,OFFSET(INDIRECT(""&amp;$S$29&amp;"!$A$4"),0,0,200,100),MATCH(Y$30,INDIRECT(""&amp;$S$29&amp;"!$A$4"):INDIRECT(""&amp;$S$29&amp;"!$AA$4"),0),FALSE)),"",VLOOKUP($K97,OFFSET(INDIRECT(""&amp;$S$29&amp;"!$A$4"),0,0,200,100),MATCH(Y$30,INDIRECT(""&amp;$S$29&amp;"!$A$4"):INDIRECT(""&amp;$S$29&amp;"!$AA$4"),0),FALSE))</f>
        <v>-1298.22</v>
      </c>
      <c r="Z97" s="90">
        <f ca="1">IF(ISERROR(VLOOKUP($K97,OFFSET(INDIRECT(""&amp;$S$29&amp;"!$A$4"),0,0,200,100),MATCH(Z$30,INDIRECT(""&amp;$S$29&amp;"!$A$4"):INDIRECT(""&amp;$S$29&amp;"!$AA$4"),0),FALSE)),"",VLOOKUP($K97,OFFSET(INDIRECT(""&amp;$S$29&amp;"!$A$4"),0,0,200,100),MATCH(Z$30,INDIRECT(""&amp;$S$29&amp;"!$A$4"):INDIRECT(""&amp;$S$29&amp;"!$AA$4"),0),FALSE))</f>
        <v>-1298.22</v>
      </c>
      <c r="AA97" s="90">
        <f t="shared" ca="1" si="81"/>
        <v>-1298.22</v>
      </c>
      <c r="AB97" s="110"/>
      <c r="AC97" s="99">
        <f t="shared" ca="1" si="66"/>
        <v>-3.721595892363871E-3</v>
      </c>
      <c r="AD97" s="99">
        <f t="shared" ca="1" si="67"/>
        <v>-3.4428950762140898E-3</v>
      </c>
      <c r="AE97" s="99">
        <f t="shared" ca="1" si="68"/>
        <v>-3.4016511969947828E-3</v>
      </c>
      <c r="AF97" s="99">
        <f t="shared" ca="1" si="69"/>
        <v>-3.5451855369176585E-3</v>
      </c>
      <c r="AG97" s="99">
        <f t="shared" ca="1" si="79"/>
        <v>-3.8092149483534106E-3</v>
      </c>
      <c r="AH97" s="99">
        <f t="shared" ca="1" si="79"/>
        <v>-3.8092149483534106E-3</v>
      </c>
      <c r="AI97" s="145"/>
      <c r="AJ97" s="99">
        <f t="shared" ca="1" si="71"/>
        <v>-3.3135228415344595E-3</v>
      </c>
      <c r="AK97" s="99">
        <f t="shared" ca="1" si="72"/>
        <v>-3.3383585028364917E-3</v>
      </c>
      <c r="AL97" s="99">
        <f t="shared" ca="1" si="73"/>
        <v>-3.1377659159715424E-3</v>
      </c>
      <c r="AM97" s="99">
        <f t="shared" ca="1" si="74"/>
        <v>-3.2668823631835887E-3</v>
      </c>
      <c r="AN97" s="99">
        <f t="shared" ca="1" si="75"/>
        <v>-3.2212748822975958E-3</v>
      </c>
      <c r="AO97" s="99">
        <f t="shared" ca="1" si="80"/>
        <v>-3.4226742291703183E-3</v>
      </c>
      <c r="AP97" s="99">
        <f t="shared" ca="1" si="80"/>
        <v>-3.5220518122622258E-3</v>
      </c>
      <c r="AQ97" s="99">
        <f t="shared" ca="1" si="80"/>
        <v>-3.5960427603273742E-3</v>
      </c>
      <c r="AR97" s="99">
        <f t="shared" ca="1" si="80"/>
        <v>-3.5390124175160164E-3</v>
      </c>
      <c r="AS97" s="99">
        <f t="shared" ca="1" si="80"/>
        <v>-3.520850134504597E-3</v>
      </c>
      <c r="AT97" s="99">
        <f t="shared" ca="1" si="77"/>
        <v>-3.8383181669107299E-3</v>
      </c>
      <c r="AU97" s="99">
        <f t="shared" ca="1" si="77"/>
        <v>-3.8548583436242407E-3</v>
      </c>
      <c r="AV97" s="99">
        <f t="shared" ca="1" si="78"/>
        <v>-3.8383181669107299E-3</v>
      </c>
    </row>
    <row r="98" spans="1:58" s="108" customFormat="1" ht="15.95" customHeight="1">
      <c r="A98" s="113" t="s">
        <v>293</v>
      </c>
      <c r="B98" s="111" t="s">
        <v>192</v>
      </c>
      <c r="C98" s="90">
        <f ca="1">IF(ISERROR(VLOOKUP($B98,OFFSET(INDIRECT(""&amp;$B$29&amp;"!$A$4"),0,0,200,100),MATCH(C$30,INDIRECT(""&amp;$B$29&amp;"!$A$4"):INDIRECT(""&amp;$B$29&amp;"!$o$4"),0),FALSE)),"",VLOOKUP($B98,OFFSET(INDIRECT(""&amp;$B$29&amp;"!$A$4"),0,0,200,100),MATCH(C$30,INDIRECT(""&amp;$B$29&amp;"!$A$4"):INDIRECT(""&amp;$B$29&amp;"!$o$4"),0),FALSE))</f>
        <v>0</v>
      </c>
      <c r="D98" s="90">
        <f ca="1">IF(ISERROR(VLOOKUP($B98,OFFSET(INDIRECT(""&amp;$B$29&amp;"!$A$4"),0,0,200,100),MATCH(D$30,INDIRECT(""&amp;$B$29&amp;"!$A$4"):INDIRECT(""&amp;$B$29&amp;"!$o$4"),0),FALSE)),"",VLOOKUP($B98,OFFSET(INDIRECT(""&amp;$B$29&amp;"!$A$4"),0,0,200,100),MATCH(D$30,INDIRECT(""&amp;$B$29&amp;"!$A$4"):INDIRECT(""&amp;$B$29&amp;"!$o$4"),0),FALSE))</f>
        <v>0</v>
      </c>
      <c r="E98" s="90">
        <f ca="1">IF(ISERROR(VLOOKUP($B98,OFFSET(INDIRECT(""&amp;$B$29&amp;"!$A$4"),0,0,200,100),MATCH(E$30,INDIRECT(""&amp;$B$29&amp;"!$A$4"):INDIRECT(""&amp;$B$29&amp;"!$o$4"),0),FALSE)),"",VLOOKUP($B98,OFFSET(INDIRECT(""&amp;$B$29&amp;"!$A$4"),0,0,200,100),MATCH(E$30,INDIRECT(""&amp;$B$29&amp;"!$A$4"):INDIRECT(""&amp;$B$29&amp;"!$o$4"),0),FALSE))</f>
        <v>0</v>
      </c>
      <c r="F98" s="90">
        <f ca="1">IF(ISERROR(VLOOKUP($B98,OFFSET(INDIRECT(""&amp;$B$29&amp;"!$A$4"),0,0,200,100),MATCH(F$30,INDIRECT(""&amp;$B$29&amp;"!$A$4"):INDIRECT(""&amp;$B$29&amp;"!$o$4"),0),FALSE)),"",VLOOKUP($B98,OFFSET(INDIRECT(""&amp;$B$29&amp;"!$A$4"),0,0,200,100),MATCH(F$30,INDIRECT(""&amp;$B$29&amp;"!$A$4"):INDIRECT(""&amp;$B$29&amp;"!$o$4"),0),FALSE))</f>
        <v>0</v>
      </c>
      <c r="G98" s="90">
        <f ca="1">IF(ISERROR(VLOOKUP($B98,OFFSET(INDIRECT(""&amp;$B$29&amp;"!$A$4"),0,0,200,100),MATCH(G$30,INDIRECT(""&amp;$B$29&amp;"!$A$4"):INDIRECT(""&amp;$B$29&amp;"!$o$4"),0),FALSE)),"",VLOOKUP($B98,OFFSET(INDIRECT(""&amp;$B$29&amp;"!$A$4"),0,0,200,100),MATCH(G$30,INDIRECT(""&amp;$B$29&amp;"!$A$4"):INDIRECT(""&amp;$B$29&amp;"!$o$4"),0),FALSE))</f>
        <v>0</v>
      </c>
      <c r="H98" s="90">
        <f ca="1">IF(ISERROR(VLOOKUP($B98,OFFSET(INDIRECT(""&amp;$B$29&amp;"!$A$4"),0,0,200,100),MATCH(H$30,INDIRECT(""&amp;$B$29&amp;"!$A$4"):INDIRECT(""&amp;$B$29&amp;"!$o$4"),0),FALSE)),"",VLOOKUP($B98,OFFSET(INDIRECT(""&amp;$B$29&amp;"!$A$4"),0,0,200,100),MATCH(H$30,INDIRECT(""&amp;$B$29&amp;"!$A$4"):INDIRECT(""&amp;$B$29&amp;"!$o$4"),0),FALSE))</f>
        <v>0</v>
      </c>
      <c r="I98" s="90">
        <f ca="1">IF(ISERROR(VLOOKUP($B98,OFFSET(INDIRECT(""&amp;$B$29&amp;"!$A$4"),0,0,200,100),MATCH(I$30,INDIRECT(""&amp;$B$29&amp;"!$A$4"):INDIRECT(""&amp;$B$29&amp;"!$o$4"),0),FALSE)),"",VLOOKUP($B98,OFFSET(INDIRECT(""&amp;$B$29&amp;"!$A$4"),0,0,200,100),MATCH(I$30,INDIRECT(""&amp;$B$29&amp;"!$A$4"):INDIRECT(""&amp;$B$29&amp;"!$o$4"),0),FALSE))</f>
        <v>0</v>
      </c>
      <c r="J98" s="90">
        <f ca="1">IF(ISERROR(VLOOKUP($B98,OFFSET(INDIRECT(""&amp;$B$29&amp;"!$A$4"),0,0,200,100),MATCH(J$30,INDIRECT(""&amp;$B$29&amp;"!$A$4"):INDIRECT(""&amp;$B$29&amp;"!$o$4"),0),FALSE)),"",VLOOKUP($B98,OFFSET(INDIRECT(""&amp;$B$29&amp;"!$A$4"),0,0,200,100),MATCH(J$30,INDIRECT(""&amp;$B$29&amp;"!$A$4"):INDIRECT(""&amp;$B$29&amp;"!$o$4"),0),FALSE))</f>
        <v>0</v>
      </c>
      <c r="K98" s="109" t="s">
        <v>192</v>
      </c>
      <c r="L98" s="90">
        <f ca="1">IF(ISERROR(VLOOKUP($K98,OFFSET(INDIRECT(""&amp;$S$29&amp;"!$A$4"),0,0,200,100),MATCH(L$30,INDIRECT(""&amp;$S$29&amp;"!$A$4"):INDIRECT(""&amp;$S$29&amp;"!$AA$4"),0),FALSE)),"",VLOOKUP($K98,OFFSET(INDIRECT(""&amp;$S$29&amp;"!$A$4"),0,0,200,100),MATCH(L$30,INDIRECT(""&amp;$S$29&amp;"!$A$4"):INDIRECT(""&amp;$S$29&amp;"!$AA$4"),0),FALSE))</f>
        <v>0</v>
      </c>
      <c r="M98" s="90">
        <f ca="1">IF(ISERROR(VLOOKUP($K98,OFFSET(INDIRECT(""&amp;$S$29&amp;"!$A$4"),0,0,200,100),MATCH(M$30,INDIRECT(""&amp;$S$29&amp;"!$A$4"):INDIRECT(""&amp;$S$29&amp;"!$AA$4"),0),FALSE)),"",VLOOKUP($K98,OFFSET(INDIRECT(""&amp;$S$29&amp;"!$A$4"),0,0,200,100),MATCH(M$30,INDIRECT(""&amp;$S$29&amp;"!$A$4"):INDIRECT(""&amp;$S$29&amp;"!$AA$4"),0),FALSE))</f>
        <v>0</v>
      </c>
      <c r="N98" s="90">
        <f ca="1">IF(ISERROR(VLOOKUP($K98,OFFSET(INDIRECT(""&amp;$S$29&amp;"!$A$4"),0,0,200,100),MATCH(N$30,INDIRECT(""&amp;$S$29&amp;"!$A$4"):INDIRECT(""&amp;$S$29&amp;"!$AA$4"),0),FALSE)),"",VLOOKUP($K98,OFFSET(INDIRECT(""&amp;$S$29&amp;"!$A$4"),0,0,200,100),MATCH(N$30,INDIRECT(""&amp;$S$29&amp;"!$A$4"):INDIRECT(""&amp;$S$29&amp;"!$AA$4"),0),FALSE))</f>
        <v>0</v>
      </c>
      <c r="O98" s="90">
        <f ca="1">IF(ISERROR(VLOOKUP($K98,OFFSET(INDIRECT(""&amp;$S$29&amp;"!$A$4"),0,0,200,100),MATCH(O$30,INDIRECT(""&amp;$S$29&amp;"!$A$4"):INDIRECT(""&amp;$S$29&amp;"!$AA$4"),0),FALSE)),"",VLOOKUP($K98,OFFSET(INDIRECT(""&amp;$S$29&amp;"!$A$4"),0,0,200,100),MATCH(O$30,INDIRECT(""&amp;$S$29&amp;"!$A$4"):INDIRECT(""&amp;$S$29&amp;"!$AA$4"),0),FALSE))</f>
        <v>0</v>
      </c>
      <c r="P98" s="90">
        <f ca="1">IF(ISERROR(VLOOKUP($K98,OFFSET(INDIRECT(""&amp;$S$29&amp;"!$A$4"),0,0,200,100),MATCH(P$30,INDIRECT(""&amp;$S$29&amp;"!$A$4"):INDIRECT(""&amp;$S$29&amp;"!$AA$4"),0),FALSE)),"",VLOOKUP($K98,OFFSET(INDIRECT(""&amp;$S$29&amp;"!$A$4"),0,0,200,100),MATCH(P$30,INDIRECT(""&amp;$S$29&amp;"!$A$4"):INDIRECT(""&amp;$S$29&amp;"!$AA$4"),0),FALSE))</f>
        <v>0</v>
      </c>
      <c r="Q98" s="90">
        <f ca="1">IF(ISERROR(VLOOKUP($K98,OFFSET(INDIRECT(""&amp;$S$29&amp;"!$A$4"),0,0,200,100),MATCH(Q$30,INDIRECT(""&amp;$S$29&amp;"!$A$4"):INDIRECT(""&amp;$S$29&amp;"!$AA$4"),0),FALSE)),"",VLOOKUP($K98,OFFSET(INDIRECT(""&amp;$S$29&amp;"!$A$4"),0,0,200,100),MATCH(Q$30,INDIRECT(""&amp;$S$29&amp;"!$A$4"):INDIRECT(""&amp;$S$29&amp;"!$AA$4"),0),FALSE))</f>
        <v>0</v>
      </c>
      <c r="R98" s="90">
        <f ca="1">IF(ISERROR(VLOOKUP($K98,OFFSET(INDIRECT(""&amp;$S$29&amp;"!$A$4"),0,0,200,100),MATCH(R$30,INDIRECT(""&amp;$S$29&amp;"!$A$4"):INDIRECT(""&amp;$S$29&amp;"!$AA$4"),0),FALSE)),"",VLOOKUP($K98,OFFSET(INDIRECT(""&amp;$S$29&amp;"!$A$4"),0,0,200,100),MATCH(R$30,INDIRECT(""&amp;$S$29&amp;"!$A$4"):INDIRECT(""&amp;$S$29&amp;"!$AA$4"),0),FALSE))</f>
        <v>0</v>
      </c>
      <c r="S98" s="90">
        <f ca="1">IF(ISERROR(VLOOKUP($K98,OFFSET(INDIRECT(""&amp;$S$29&amp;"!$A$4"),0,0,200,100),MATCH(S$30,INDIRECT(""&amp;$S$29&amp;"!$A$4"):INDIRECT(""&amp;$S$29&amp;"!$AA$4"),0),FALSE)),"",VLOOKUP($K98,OFFSET(INDIRECT(""&amp;$S$29&amp;"!$A$4"),0,0,200,100),MATCH(S$30,INDIRECT(""&amp;$S$29&amp;"!$A$4"):INDIRECT(""&amp;$S$29&amp;"!$AA$4"),0),FALSE))</f>
        <v>0</v>
      </c>
      <c r="T98" s="90">
        <f ca="1">IF(ISERROR(VLOOKUP($K98,OFFSET(INDIRECT(""&amp;$S$29&amp;"!$A$4"),0,0,200,100),MATCH(T$30,INDIRECT(""&amp;$S$29&amp;"!$A$4"):INDIRECT(""&amp;$S$29&amp;"!$AA$4"),0),FALSE)),"",VLOOKUP($K98,OFFSET(INDIRECT(""&amp;$S$29&amp;"!$A$4"),0,0,200,100),MATCH(T$30,INDIRECT(""&amp;$S$29&amp;"!$A$4"):INDIRECT(""&amp;$S$29&amp;"!$AA$4"),0),FALSE))</f>
        <v>0</v>
      </c>
      <c r="U98" s="90">
        <f ca="1">IF(ISERROR(VLOOKUP($K98,OFFSET(INDIRECT(""&amp;$S$29&amp;"!$A$4"),0,0,200,100),MATCH(U$30,INDIRECT(""&amp;$S$29&amp;"!$A$4"):INDIRECT(""&amp;$S$29&amp;"!$AA$4"),0),FALSE)),"",VLOOKUP($K98,OFFSET(INDIRECT(""&amp;$S$29&amp;"!$A$4"),0,0,200,100),MATCH(U$30,INDIRECT(""&amp;$S$29&amp;"!$A$4"):INDIRECT(""&amp;$S$29&amp;"!$AA$4"),0),FALSE))</f>
        <v>0</v>
      </c>
      <c r="V98" s="90">
        <f ca="1">IF(ISERROR(VLOOKUP($K98,OFFSET(INDIRECT(""&amp;$S$29&amp;"!$A$4"),0,0,200,100),MATCH(V$30,INDIRECT(""&amp;$S$29&amp;"!$A$4"):INDIRECT(""&amp;$S$29&amp;"!$AA$4"),0),FALSE)),"",VLOOKUP($K98,OFFSET(INDIRECT(""&amp;$S$29&amp;"!$A$4"),0,0,200,100),MATCH(V$30,INDIRECT(""&amp;$S$29&amp;"!$A$4"):INDIRECT(""&amp;$S$29&amp;"!$AA$4"),0),FALSE))</f>
        <v>0</v>
      </c>
      <c r="W98" s="90">
        <f ca="1">IF(ISERROR(VLOOKUP($K98,OFFSET(INDIRECT(""&amp;$S$29&amp;"!$A$4"),0,0,200,100),MATCH(W$30,INDIRECT(""&amp;$S$29&amp;"!$A$4"):INDIRECT(""&amp;$S$29&amp;"!$AA$4"),0),FALSE)),"",VLOOKUP($K98,OFFSET(INDIRECT(""&amp;$S$29&amp;"!$A$4"),0,0,200,100),MATCH(W$30,INDIRECT(""&amp;$S$29&amp;"!$A$4"):INDIRECT(""&amp;$S$29&amp;"!$AA$4"),0),FALSE))</f>
        <v>0</v>
      </c>
      <c r="X98" s="90">
        <f ca="1">IF(ISERROR(VLOOKUP($K98,OFFSET(INDIRECT(""&amp;$S$29&amp;"!$A$4"),0,0,200,100),MATCH(X$30,INDIRECT(""&amp;$S$29&amp;"!$A$4"):INDIRECT(""&amp;$S$29&amp;"!$AA$4"),0),FALSE)),"",VLOOKUP($K98,OFFSET(INDIRECT(""&amp;$S$29&amp;"!$A$4"),0,0,200,100),MATCH(X$30,INDIRECT(""&amp;$S$29&amp;"!$A$4"):INDIRECT(""&amp;$S$29&amp;"!$AA$4"),0),FALSE))</f>
        <v>0</v>
      </c>
      <c r="Y98" s="90">
        <f ca="1">IF(ISERROR(VLOOKUP($K98,OFFSET(INDIRECT(""&amp;$S$29&amp;"!$A$4"),0,0,200,100),MATCH(Y$30,INDIRECT(""&amp;$S$29&amp;"!$A$4"):INDIRECT(""&amp;$S$29&amp;"!$AA$4"),0),FALSE)),"",VLOOKUP($K98,OFFSET(INDIRECT(""&amp;$S$29&amp;"!$A$4"),0,0,200,100),MATCH(Y$30,INDIRECT(""&amp;$S$29&amp;"!$A$4"):INDIRECT(""&amp;$S$29&amp;"!$AA$4"),0),FALSE))</f>
        <v>0</v>
      </c>
      <c r="Z98" s="90">
        <f ca="1">IF(ISERROR(VLOOKUP($K98,OFFSET(INDIRECT(""&amp;$S$29&amp;"!$A$4"),0,0,200,100),MATCH(Z$30,INDIRECT(""&amp;$S$29&amp;"!$A$4"):INDIRECT(""&amp;$S$29&amp;"!$AA$4"),0),FALSE)),"",VLOOKUP($K98,OFFSET(INDIRECT(""&amp;$S$29&amp;"!$A$4"),0,0,200,100),MATCH(Z$30,INDIRECT(""&amp;$S$29&amp;"!$A$4"):INDIRECT(""&amp;$S$29&amp;"!$AA$4"),0),FALSE))</f>
        <v>0</v>
      </c>
      <c r="AA98" s="90">
        <f t="shared" ca="1" si="81"/>
        <v>0</v>
      </c>
      <c r="AB98" s="110"/>
      <c r="AC98" s="99">
        <f t="shared" ca="1" si="66"/>
        <v>0</v>
      </c>
      <c r="AD98" s="99">
        <f t="shared" ca="1" si="67"/>
        <v>0</v>
      </c>
      <c r="AE98" s="99">
        <f t="shared" ca="1" si="68"/>
        <v>0</v>
      </c>
      <c r="AF98" s="99">
        <f t="shared" ca="1" si="69"/>
        <v>0</v>
      </c>
      <c r="AG98" s="99">
        <f t="shared" ca="1" si="79"/>
        <v>0</v>
      </c>
      <c r="AH98" s="99">
        <f t="shared" ca="1" si="79"/>
        <v>0</v>
      </c>
      <c r="AI98" s="145"/>
      <c r="AJ98" s="99">
        <f t="shared" ca="1" si="71"/>
        <v>0</v>
      </c>
      <c r="AK98" s="99">
        <f t="shared" ca="1" si="72"/>
        <v>0</v>
      </c>
      <c r="AL98" s="99">
        <f t="shared" ca="1" si="73"/>
        <v>0</v>
      </c>
      <c r="AM98" s="99">
        <f t="shared" ca="1" si="74"/>
        <v>0</v>
      </c>
      <c r="AN98" s="99">
        <f t="shared" ca="1" si="75"/>
        <v>0</v>
      </c>
      <c r="AO98" s="99">
        <f t="shared" ca="1" si="80"/>
        <v>0</v>
      </c>
      <c r="AP98" s="99">
        <f t="shared" ca="1" si="80"/>
        <v>0</v>
      </c>
      <c r="AQ98" s="99">
        <f t="shared" ca="1" si="80"/>
        <v>0</v>
      </c>
      <c r="AR98" s="99">
        <f t="shared" ca="1" si="80"/>
        <v>0</v>
      </c>
      <c r="AS98" s="99">
        <f t="shared" ca="1" si="80"/>
        <v>0</v>
      </c>
      <c r="AT98" s="99">
        <f t="shared" ca="1" si="77"/>
        <v>0</v>
      </c>
      <c r="AU98" s="99">
        <f t="shared" ca="1" si="77"/>
        <v>0</v>
      </c>
      <c r="AV98" s="99">
        <f t="shared" ca="1" si="78"/>
        <v>0</v>
      </c>
    </row>
    <row r="99" spans="1:58" s="108" customFormat="1" ht="15.95" customHeight="1">
      <c r="A99" s="113" t="s">
        <v>294</v>
      </c>
      <c r="B99" s="111" t="s">
        <v>193</v>
      </c>
      <c r="C99" s="90">
        <f ca="1">IF(ISERROR(VLOOKUP($B99,OFFSET(INDIRECT(""&amp;$B$29&amp;"!$A$4"),0,0,200,100),MATCH(C$30,INDIRECT(""&amp;$B$29&amp;"!$A$4"):INDIRECT(""&amp;$B$29&amp;"!$o$4"),0),FALSE)),"",VLOOKUP($B99,OFFSET(INDIRECT(""&amp;$B$29&amp;"!$A$4"),0,0,200,100),MATCH(C$30,INDIRECT(""&amp;$B$29&amp;"!$A$4"):INDIRECT(""&amp;$B$29&amp;"!$o$4"),0),FALSE))</f>
        <v>0</v>
      </c>
      <c r="D99" s="90">
        <f ca="1">IF(ISERROR(VLOOKUP($B99,OFFSET(INDIRECT(""&amp;$B$29&amp;"!$A$4"),0,0,200,100),MATCH(D$30,INDIRECT(""&amp;$B$29&amp;"!$A$4"):INDIRECT(""&amp;$B$29&amp;"!$o$4"),0),FALSE)),"",VLOOKUP($B99,OFFSET(INDIRECT(""&amp;$B$29&amp;"!$A$4"),0,0,200,100),MATCH(D$30,INDIRECT(""&amp;$B$29&amp;"!$A$4"):INDIRECT(""&amp;$B$29&amp;"!$o$4"),0),FALSE))</f>
        <v>0</v>
      </c>
      <c r="E99" s="90">
        <f ca="1">IF(ISERROR(VLOOKUP($B99,OFFSET(INDIRECT(""&amp;$B$29&amp;"!$A$4"),0,0,200,100),MATCH(E$30,INDIRECT(""&amp;$B$29&amp;"!$A$4"):INDIRECT(""&amp;$B$29&amp;"!$o$4"),0),FALSE)),"",VLOOKUP($B99,OFFSET(INDIRECT(""&amp;$B$29&amp;"!$A$4"),0,0,200,100),MATCH(E$30,INDIRECT(""&amp;$B$29&amp;"!$A$4"):INDIRECT(""&amp;$B$29&amp;"!$o$4"),0),FALSE))</f>
        <v>0</v>
      </c>
      <c r="F99" s="90">
        <f ca="1">IF(ISERROR(VLOOKUP($B99,OFFSET(INDIRECT(""&amp;$B$29&amp;"!$A$4"),0,0,200,100),MATCH(F$30,INDIRECT(""&amp;$B$29&amp;"!$A$4"):INDIRECT(""&amp;$B$29&amp;"!$o$4"),0),FALSE)),"",VLOOKUP($B99,OFFSET(INDIRECT(""&amp;$B$29&amp;"!$A$4"),0,0,200,100),MATCH(F$30,INDIRECT(""&amp;$B$29&amp;"!$A$4"):INDIRECT(""&amp;$B$29&amp;"!$o$4"),0),FALSE))</f>
        <v>0</v>
      </c>
      <c r="G99" s="90">
        <f ca="1">IF(ISERROR(VLOOKUP($B99,OFFSET(INDIRECT(""&amp;$B$29&amp;"!$A$4"),0,0,200,100),MATCH(G$30,INDIRECT(""&amp;$B$29&amp;"!$A$4"):INDIRECT(""&amp;$B$29&amp;"!$o$4"),0),FALSE)),"",VLOOKUP($B99,OFFSET(INDIRECT(""&amp;$B$29&amp;"!$A$4"),0,0,200,100),MATCH(G$30,INDIRECT(""&amp;$B$29&amp;"!$A$4"):INDIRECT(""&amp;$B$29&amp;"!$o$4"),0),FALSE))</f>
        <v>0</v>
      </c>
      <c r="H99" s="90">
        <f ca="1">IF(ISERROR(VLOOKUP($B99,OFFSET(INDIRECT(""&amp;$B$29&amp;"!$A$4"),0,0,200,100),MATCH(H$30,INDIRECT(""&amp;$B$29&amp;"!$A$4"):INDIRECT(""&amp;$B$29&amp;"!$o$4"),0),FALSE)),"",VLOOKUP($B99,OFFSET(INDIRECT(""&amp;$B$29&amp;"!$A$4"),0,0,200,100),MATCH(H$30,INDIRECT(""&amp;$B$29&amp;"!$A$4"):INDIRECT(""&amp;$B$29&amp;"!$o$4"),0),FALSE))</f>
        <v>0</v>
      </c>
      <c r="I99" s="90">
        <f ca="1">IF(ISERROR(VLOOKUP($B99,OFFSET(INDIRECT(""&amp;$B$29&amp;"!$A$4"),0,0,200,100),MATCH(I$30,INDIRECT(""&amp;$B$29&amp;"!$A$4"):INDIRECT(""&amp;$B$29&amp;"!$o$4"),0),FALSE)),"",VLOOKUP($B99,OFFSET(INDIRECT(""&amp;$B$29&amp;"!$A$4"),0,0,200,100),MATCH(I$30,INDIRECT(""&amp;$B$29&amp;"!$A$4"):INDIRECT(""&amp;$B$29&amp;"!$o$4"),0),FALSE))</f>
        <v>0</v>
      </c>
      <c r="J99" s="90">
        <f ca="1">IF(ISERROR(VLOOKUP($B99,OFFSET(INDIRECT(""&amp;$B$29&amp;"!$A$4"),0,0,200,100),MATCH(J$30,INDIRECT(""&amp;$B$29&amp;"!$A$4"):INDIRECT(""&amp;$B$29&amp;"!$o$4"),0),FALSE)),"",VLOOKUP($B99,OFFSET(INDIRECT(""&amp;$B$29&amp;"!$A$4"),0,0,200,100),MATCH(J$30,INDIRECT(""&amp;$B$29&amp;"!$A$4"):INDIRECT(""&amp;$B$29&amp;"!$o$4"),0),FALSE))</f>
        <v>0</v>
      </c>
      <c r="K99" s="109" t="s">
        <v>193</v>
      </c>
      <c r="L99" s="90">
        <f ca="1">IF(ISERROR(VLOOKUP($K99,OFFSET(INDIRECT(""&amp;$S$29&amp;"!$A$4"),0,0,200,100),MATCH(L$30,INDIRECT(""&amp;$S$29&amp;"!$A$4"):INDIRECT(""&amp;$S$29&amp;"!$AA$4"),0),FALSE)),"",VLOOKUP($K99,OFFSET(INDIRECT(""&amp;$S$29&amp;"!$A$4"),0,0,200,100),MATCH(L$30,INDIRECT(""&amp;$S$29&amp;"!$A$4"):INDIRECT(""&amp;$S$29&amp;"!$AA$4"),0),FALSE))</f>
        <v>0</v>
      </c>
      <c r="M99" s="90">
        <f ca="1">IF(ISERROR(VLOOKUP($K99,OFFSET(INDIRECT(""&amp;$S$29&amp;"!$A$4"),0,0,200,100),MATCH(M$30,INDIRECT(""&amp;$S$29&amp;"!$A$4"):INDIRECT(""&amp;$S$29&amp;"!$AA$4"),0),FALSE)),"",VLOOKUP($K99,OFFSET(INDIRECT(""&amp;$S$29&amp;"!$A$4"),0,0,200,100),MATCH(M$30,INDIRECT(""&amp;$S$29&amp;"!$A$4"):INDIRECT(""&amp;$S$29&amp;"!$AA$4"),0),FALSE))</f>
        <v>0</v>
      </c>
      <c r="N99" s="90">
        <f ca="1">IF(ISERROR(VLOOKUP($K99,OFFSET(INDIRECT(""&amp;$S$29&amp;"!$A$4"),0,0,200,100),MATCH(N$30,INDIRECT(""&amp;$S$29&amp;"!$A$4"):INDIRECT(""&amp;$S$29&amp;"!$AA$4"),0),FALSE)),"",VLOOKUP($K99,OFFSET(INDIRECT(""&amp;$S$29&amp;"!$A$4"),0,0,200,100),MATCH(N$30,INDIRECT(""&amp;$S$29&amp;"!$A$4"):INDIRECT(""&amp;$S$29&amp;"!$AA$4"),0),FALSE))</f>
        <v>0</v>
      </c>
      <c r="O99" s="90">
        <f ca="1">IF(ISERROR(VLOOKUP($K99,OFFSET(INDIRECT(""&amp;$S$29&amp;"!$A$4"),0,0,200,100),MATCH(O$30,INDIRECT(""&amp;$S$29&amp;"!$A$4"):INDIRECT(""&amp;$S$29&amp;"!$AA$4"),0),FALSE)),"",VLOOKUP($K99,OFFSET(INDIRECT(""&amp;$S$29&amp;"!$A$4"),0,0,200,100),MATCH(O$30,INDIRECT(""&amp;$S$29&amp;"!$A$4"):INDIRECT(""&amp;$S$29&amp;"!$AA$4"),0),FALSE))</f>
        <v>0</v>
      </c>
      <c r="P99" s="90">
        <f ca="1">IF(ISERROR(VLOOKUP($K99,OFFSET(INDIRECT(""&amp;$S$29&amp;"!$A$4"),0,0,200,100),MATCH(P$30,INDIRECT(""&amp;$S$29&amp;"!$A$4"):INDIRECT(""&amp;$S$29&amp;"!$AA$4"),0),FALSE)),"",VLOOKUP($K99,OFFSET(INDIRECT(""&amp;$S$29&amp;"!$A$4"),0,0,200,100),MATCH(P$30,INDIRECT(""&amp;$S$29&amp;"!$A$4"):INDIRECT(""&amp;$S$29&amp;"!$AA$4"),0),FALSE))</f>
        <v>0</v>
      </c>
      <c r="Q99" s="90">
        <f ca="1">IF(ISERROR(VLOOKUP($K99,OFFSET(INDIRECT(""&amp;$S$29&amp;"!$A$4"),0,0,200,100),MATCH(Q$30,INDIRECT(""&amp;$S$29&amp;"!$A$4"):INDIRECT(""&amp;$S$29&amp;"!$AA$4"),0),FALSE)),"",VLOOKUP($K99,OFFSET(INDIRECT(""&amp;$S$29&amp;"!$A$4"),0,0,200,100),MATCH(Q$30,INDIRECT(""&amp;$S$29&amp;"!$A$4"):INDIRECT(""&amp;$S$29&amp;"!$AA$4"),0),FALSE))</f>
        <v>0</v>
      </c>
      <c r="R99" s="90">
        <f ca="1">IF(ISERROR(VLOOKUP($K99,OFFSET(INDIRECT(""&amp;$S$29&amp;"!$A$4"),0,0,200,100),MATCH(R$30,INDIRECT(""&amp;$S$29&amp;"!$A$4"):INDIRECT(""&amp;$S$29&amp;"!$AA$4"),0),FALSE)),"",VLOOKUP($K99,OFFSET(INDIRECT(""&amp;$S$29&amp;"!$A$4"),0,0,200,100),MATCH(R$30,INDIRECT(""&amp;$S$29&amp;"!$A$4"):INDIRECT(""&amp;$S$29&amp;"!$AA$4"),0),FALSE))</f>
        <v>0</v>
      </c>
      <c r="S99" s="90">
        <f ca="1">IF(ISERROR(VLOOKUP($K99,OFFSET(INDIRECT(""&amp;$S$29&amp;"!$A$4"),0,0,200,100),MATCH(S$30,INDIRECT(""&amp;$S$29&amp;"!$A$4"):INDIRECT(""&amp;$S$29&amp;"!$AA$4"),0),FALSE)),"",VLOOKUP($K99,OFFSET(INDIRECT(""&amp;$S$29&amp;"!$A$4"),0,0,200,100),MATCH(S$30,INDIRECT(""&amp;$S$29&amp;"!$A$4"):INDIRECT(""&amp;$S$29&amp;"!$AA$4"),0),FALSE))</f>
        <v>0</v>
      </c>
      <c r="T99" s="90">
        <f ca="1">IF(ISERROR(VLOOKUP($K99,OFFSET(INDIRECT(""&amp;$S$29&amp;"!$A$4"),0,0,200,100),MATCH(T$30,INDIRECT(""&amp;$S$29&amp;"!$A$4"):INDIRECT(""&amp;$S$29&amp;"!$AA$4"),0),FALSE)),"",VLOOKUP($K99,OFFSET(INDIRECT(""&amp;$S$29&amp;"!$A$4"),0,0,200,100),MATCH(T$30,INDIRECT(""&amp;$S$29&amp;"!$A$4"):INDIRECT(""&amp;$S$29&amp;"!$AA$4"),0),FALSE))</f>
        <v>0</v>
      </c>
      <c r="U99" s="90">
        <f ca="1">IF(ISERROR(VLOOKUP($K99,OFFSET(INDIRECT(""&amp;$S$29&amp;"!$A$4"),0,0,200,100),MATCH(U$30,INDIRECT(""&amp;$S$29&amp;"!$A$4"):INDIRECT(""&amp;$S$29&amp;"!$AA$4"),0),FALSE)),"",VLOOKUP($K99,OFFSET(INDIRECT(""&amp;$S$29&amp;"!$A$4"),0,0,200,100),MATCH(U$30,INDIRECT(""&amp;$S$29&amp;"!$A$4"):INDIRECT(""&amp;$S$29&amp;"!$AA$4"),0),FALSE))</f>
        <v>0</v>
      </c>
      <c r="V99" s="90">
        <f ca="1">IF(ISERROR(VLOOKUP($K99,OFFSET(INDIRECT(""&amp;$S$29&amp;"!$A$4"),0,0,200,100),MATCH(V$30,INDIRECT(""&amp;$S$29&amp;"!$A$4"):INDIRECT(""&amp;$S$29&amp;"!$AA$4"),0),FALSE)),"",VLOOKUP($K99,OFFSET(INDIRECT(""&amp;$S$29&amp;"!$A$4"),0,0,200,100),MATCH(V$30,INDIRECT(""&amp;$S$29&amp;"!$A$4"):INDIRECT(""&amp;$S$29&amp;"!$AA$4"),0),FALSE))</f>
        <v>0</v>
      </c>
      <c r="W99" s="90">
        <f ca="1">IF(ISERROR(VLOOKUP($K99,OFFSET(INDIRECT(""&amp;$S$29&amp;"!$A$4"),0,0,200,100),MATCH(W$30,INDIRECT(""&amp;$S$29&amp;"!$A$4"):INDIRECT(""&amp;$S$29&amp;"!$AA$4"),0),FALSE)),"",VLOOKUP($K99,OFFSET(INDIRECT(""&amp;$S$29&amp;"!$A$4"),0,0,200,100),MATCH(W$30,INDIRECT(""&amp;$S$29&amp;"!$A$4"):INDIRECT(""&amp;$S$29&amp;"!$AA$4"),0),FALSE))</f>
        <v>0</v>
      </c>
      <c r="X99" s="90">
        <f ca="1">IF(ISERROR(VLOOKUP($K99,OFFSET(INDIRECT(""&amp;$S$29&amp;"!$A$4"),0,0,200,100),MATCH(X$30,INDIRECT(""&amp;$S$29&amp;"!$A$4"):INDIRECT(""&amp;$S$29&amp;"!$AA$4"),0),FALSE)),"",VLOOKUP($K99,OFFSET(INDIRECT(""&amp;$S$29&amp;"!$A$4"),0,0,200,100),MATCH(X$30,INDIRECT(""&amp;$S$29&amp;"!$A$4"):INDIRECT(""&amp;$S$29&amp;"!$AA$4"),0),FALSE))</f>
        <v>0</v>
      </c>
      <c r="Y99" s="90">
        <f ca="1">IF(ISERROR(VLOOKUP($K99,OFFSET(INDIRECT(""&amp;$S$29&amp;"!$A$4"),0,0,200,100),MATCH(Y$30,INDIRECT(""&amp;$S$29&amp;"!$A$4"):INDIRECT(""&amp;$S$29&amp;"!$AA$4"),0),FALSE)),"",VLOOKUP($K99,OFFSET(INDIRECT(""&amp;$S$29&amp;"!$A$4"),0,0,200,100),MATCH(Y$30,INDIRECT(""&amp;$S$29&amp;"!$A$4"):INDIRECT(""&amp;$S$29&amp;"!$AA$4"),0),FALSE))</f>
        <v>0</v>
      </c>
      <c r="Z99" s="90">
        <f ca="1">IF(ISERROR(VLOOKUP($K99,OFFSET(INDIRECT(""&amp;$S$29&amp;"!$A$4"),0,0,200,100),MATCH(Z$30,INDIRECT(""&amp;$S$29&amp;"!$A$4"):INDIRECT(""&amp;$S$29&amp;"!$AA$4"),0),FALSE)),"",VLOOKUP($K99,OFFSET(INDIRECT(""&amp;$S$29&amp;"!$A$4"),0,0,200,100),MATCH(Z$30,INDIRECT(""&amp;$S$29&amp;"!$A$4"):INDIRECT(""&amp;$S$29&amp;"!$AA$4"),0),FALSE))</f>
        <v>0</v>
      </c>
      <c r="AA99" s="90">
        <f t="shared" ca="1" si="81"/>
        <v>0</v>
      </c>
      <c r="AB99" s="110"/>
      <c r="AC99" s="99">
        <f t="shared" ca="1" si="66"/>
        <v>0</v>
      </c>
      <c r="AD99" s="99">
        <f t="shared" ca="1" si="67"/>
        <v>0</v>
      </c>
      <c r="AE99" s="99">
        <f t="shared" ca="1" si="68"/>
        <v>0</v>
      </c>
      <c r="AF99" s="99">
        <f t="shared" ca="1" si="69"/>
        <v>0</v>
      </c>
      <c r="AG99" s="99">
        <f t="shared" ca="1" si="79"/>
        <v>0</v>
      </c>
      <c r="AH99" s="99">
        <f t="shared" ca="1" si="79"/>
        <v>0</v>
      </c>
      <c r="AI99" s="145"/>
      <c r="AJ99" s="99">
        <f t="shared" ca="1" si="71"/>
        <v>0</v>
      </c>
      <c r="AK99" s="99">
        <f t="shared" ca="1" si="72"/>
        <v>0</v>
      </c>
      <c r="AL99" s="99">
        <f t="shared" ca="1" si="73"/>
        <v>0</v>
      </c>
      <c r="AM99" s="99">
        <f t="shared" ca="1" si="74"/>
        <v>0</v>
      </c>
      <c r="AN99" s="99">
        <f t="shared" ca="1" si="75"/>
        <v>0</v>
      </c>
      <c r="AO99" s="99">
        <f t="shared" ca="1" si="80"/>
        <v>0</v>
      </c>
      <c r="AP99" s="99">
        <f t="shared" ca="1" si="80"/>
        <v>0</v>
      </c>
      <c r="AQ99" s="99">
        <f t="shared" ca="1" si="80"/>
        <v>0</v>
      </c>
      <c r="AR99" s="99">
        <f t="shared" ca="1" si="80"/>
        <v>0</v>
      </c>
      <c r="AS99" s="99">
        <f t="shared" ca="1" si="80"/>
        <v>0</v>
      </c>
      <c r="AT99" s="99">
        <f t="shared" ca="1" si="77"/>
        <v>0</v>
      </c>
      <c r="AU99" s="99">
        <f t="shared" ca="1" si="77"/>
        <v>0</v>
      </c>
      <c r="AV99" s="99">
        <f t="shared" ca="1" si="78"/>
        <v>0</v>
      </c>
    </row>
    <row r="100" spans="1:58" s="108" customFormat="1" ht="15.95" customHeight="1">
      <c r="A100" s="113" t="s">
        <v>295</v>
      </c>
      <c r="B100" s="111" t="s">
        <v>194</v>
      </c>
      <c r="C100" s="90">
        <f ca="1">IF(ISERROR(VLOOKUP($B100,OFFSET(INDIRECT(""&amp;$B$29&amp;"!$A$4"),0,0,200,100),MATCH(C$30,INDIRECT(""&amp;$B$29&amp;"!$A$4"):INDIRECT(""&amp;$B$29&amp;"!$o$4"),0),FALSE)),"",VLOOKUP($B100,OFFSET(INDIRECT(""&amp;$B$29&amp;"!$A$4"),0,0,200,100),MATCH(C$30,INDIRECT(""&amp;$B$29&amp;"!$A$4"):INDIRECT(""&amp;$B$29&amp;"!$o$4"),0),FALSE))</f>
        <v>33986.813169000001</v>
      </c>
      <c r="D100" s="90">
        <f ca="1">IF(ISERROR(VLOOKUP($B100,OFFSET(INDIRECT(""&amp;$B$29&amp;"!$A$4"),0,0,200,100),MATCH(D$30,INDIRECT(""&amp;$B$29&amp;"!$A$4"):INDIRECT(""&amp;$B$29&amp;"!$o$4"),0),FALSE)),"",VLOOKUP($B100,OFFSET(INDIRECT(""&amp;$B$29&amp;"!$A$4"),0,0,200,100),MATCH(D$30,INDIRECT(""&amp;$B$29&amp;"!$A$4"):INDIRECT(""&amp;$B$29&amp;"!$o$4"),0),FALSE))</f>
        <v>27383.008693</v>
      </c>
      <c r="E100" s="90">
        <f ca="1">IF(ISERROR(VLOOKUP($B100,OFFSET(INDIRECT(""&amp;$B$29&amp;"!$A$4"),0,0,200,100),MATCH(E$30,INDIRECT(""&amp;$B$29&amp;"!$A$4"):INDIRECT(""&amp;$B$29&amp;"!$o$4"),0),FALSE)),"",VLOOKUP($B100,OFFSET(INDIRECT(""&amp;$B$29&amp;"!$A$4"),0,0,200,100),MATCH(E$30,INDIRECT(""&amp;$B$29&amp;"!$A$4"):INDIRECT(""&amp;$B$29&amp;"!$o$4"),0),FALSE))</f>
        <v>36351.468252999999</v>
      </c>
      <c r="F100" s="90">
        <f ca="1">IF(ISERROR(VLOOKUP($B100,OFFSET(INDIRECT(""&amp;$B$29&amp;"!$A$4"),0,0,200,100),MATCH(F$30,INDIRECT(""&amp;$B$29&amp;"!$A$4"):INDIRECT(""&amp;$B$29&amp;"!$o$4"),0),FALSE)),"",VLOOKUP($B100,OFFSET(INDIRECT(""&amp;$B$29&amp;"!$A$4"),0,0,200,100),MATCH(F$30,INDIRECT(""&amp;$B$29&amp;"!$A$4"):INDIRECT(""&amp;$B$29&amp;"!$o$4"),0),FALSE))</f>
        <v>60288.836191000002</v>
      </c>
      <c r="G100" s="90">
        <f ca="1">IF(ISERROR(VLOOKUP($B100,OFFSET(INDIRECT(""&amp;$B$29&amp;"!$A$4"),0,0,200,100),MATCH(G$30,INDIRECT(""&amp;$B$29&amp;"!$A$4"):INDIRECT(""&amp;$B$29&amp;"!$o$4"),0),FALSE)),"",VLOOKUP($B100,OFFSET(INDIRECT(""&amp;$B$29&amp;"!$A$4"),0,0,200,100),MATCH(G$30,INDIRECT(""&amp;$B$29&amp;"!$A$4"):INDIRECT(""&amp;$B$29&amp;"!$o$4"),0),FALSE))</f>
        <v>71848.959317000001</v>
      </c>
      <c r="H100" s="90">
        <f ca="1">IF(ISERROR(VLOOKUP($B100,OFFSET(INDIRECT(""&amp;$B$29&amp;"!$A$4"),0,0,200,100),MATCH(H$30,INDIRECT(""&amp;$B$29&amp;"!$A$4"):INDIRECT(""&amp;$B$29&amp;"!$o$4"),0),FALSE)),"",VLOOKUP($B100,OFFSET(INDIRECT(""&amp;$B$29&amp;"!$A$4"),0,0,200,100),MATCH(H$30,INDIRECT(""&amp;$B$29&amp;"!$A$4"):INDIRECT(""&amp;$B$29&amp;"!$o$4"),0),FALSE))</f>
        <v>73047.325628999999</v>
      </c>
      <c r="I100" s="90">
        <f ca="1">IF(ISERROR(VLOOKUP($B100,OFFSET(INDIRECT(""&amp;$B$29&amp;"!$A$4"),0,0,200,100),MATCH(I$30,INDIRECT(""&amp;$B$29&amp;"!$A$4"):INDIRECT(""&amp;$B$29&amp;"!$o$4"),0),FALSE)),"",VLOOKUP($B100,OFFSET(INDIRECT(""&amp;$B$29&amp;"!$A$4"),0,0,200,100),MATCH(I$30,INDIRECT(""&amp;$B$29&amp;"!$A$4"):INDIRECT(""&amp;$B$29&amp;"!$o$4"),0),FALSE))</f>
        <v>73695.293116000001</v>
      </c>
      <c r="J100" s="90">
        <f ca="1">IF(ISERROR(VLOOKUP($B100,OFFSET(INDIRECT(""&amp;$B$29&amp;"!$A$4"),0,0,200,100),MATCH(J$30,INDIRECT(""&amp;$B$29&amp;"!$A$4"):INDIRECT(""&amp;$B$29&amp;"!$o$4"),0),FALSE)),"",VLOOKUP($B100,OFFSET(INDIRECT(""&amp;$B$29&amp;"!$A$4"),0,0,200,100),MATCH(J$30,INDIRECT(""&amp;$B$29&amp;"!$A$4"):INDIRECT(""&amp;$B$29&amp;"!$o$4"),0),FALSE))</f>
        <v>73695.293116000001</v>
      </c>
      <c r="K100" s="109" t="s">
        <v>194</v>
      </c>
      <c r="L100" s="90">
        <f ca="1">IF(ISERROR(VLOOKUP($K100,OFFSET(INDIRECT(""&amp;$S$29&amp;"!$A$4"),0,0,200,100),MATCH(L$30,INDIRECT(""&amp;$S$29&amp;"!$A$4"):INDIRECT(""&amp;$S$29&amp;"!$AA$4"),0),FALSE)),"",VLOOKUP($K100,OFFSET(INDIRECT(""&amp;$S$29&amp;"!$A$4"),0,0,200,100),MATCH(L$30,INDIRECT(""&amp;$S$29&amp;"!$A$4"):INDIRECT(""&amp;$S$29&amp;"!$AA$4"),0),FALSE))</f>
        <v>36351.468252999999</v>
      </c>
      <c r="M100" s="90">
        <f ca="1">IF(ISERROR(VLOOKUP($K100,OFFSET(INDIRECT(""&amp;$S$29&amp;"!$A$4"),0,0,200,100),MATCH(M$30,INDIRECT(""&amp;$S$29&amp;"!$A$4"):INDIRECT(""&amp;$S$29&amp;"!$AA$4"),0),FALSE)),"",VLOOKUP($K100,OFFSET(INDIRECT(""&amp;$S$29&amp;"!$A$4"),0,0,200,100),MATCH(M$30,INDIRECT(""&amp;$S$29&amp;"!$A$4"):INDIRECT(""&amp;$S$29&amp;"!$AA$4"),0),FALSE))</f>
        <v>60288.836191000002</v>
      </c>
      <c r="N100" s="90">
        <f ca="1">IF(ISERROR(VLOOKUP($K100,OFFSET(INDIRECT(""&amp;$S$29&amp;"!$A$4"),0,0,200,100),MATCH(N$30,INDIRECT(""&amp;$S$29&amp;"!$A$4"):INDIRECT(""&amp;$S$29&amp;"!$AA$4"),0),FALSE)),"",VLOOKUP($K100,OFFSET(INDIRECT(""&amp;$S$29&amp;"!$A$4"),0,0,200,100),MATCH(N$30,INDIRECT(""&amp;$S$29&amp;"!$A$4"):INDIRECT(""&amp;$S$29&amp;"!$AA$4"),0),FALSE))</f>
        <v>60288.836191000002</v>
      </c>
      <c r="O100" s="90">
        <f ca="1">IF(ISERROR(VLOOKUP($K100,OFFSET(INDIRECT(""&amp;$S$29&amp;"!$A$4"),0,0,200,100),MATCH(O$30,INDIRECT(""&amp;$S$29&amp;"!$A$4"):INDIRECT(""&amp;$S$29&amp;"!$AA$4"),0),FALSE)),"",VLOOKUP($K100,OFFSET(INDIRECT(""&amp;$S$29&amp;"!$A$4"),0,0,200,100),MATCH(O$30,INDIRECT(""&amp;$S$29&amp;"!$A$4"):INDIRECT(""&amp;$S$29&amp;"!$AA$4"),0),FALSE))</f>
        <v>60288.836191000002</v>
      </c>
      <c r="P100" s="90">
        <f ca="1">IF(ISERROR(VLOOKUP($K100,OFFSET(INDIRECT(""&amp;$S$29&amp;"!$A$4"),0,0,200,100),MATCH(P$30,INDIRECT(""&amp;$S$29&amp;"!$A$4"):INDIRECT(""&amp;$S$29&amp;"!$AA$4"),0),FALSE)),"",VLOOKUP($K100,OFFSET(INDIRECT(""&amp;$S$29&amp;"!$A$4"),0,0,200,100),MATCH(P$30,INDIRECT(""&amp;$S$29&amp;"!$A$4"):INDIRECT(""&amp;$S$29&amp;"!$AA$4"),0),FALSE))</f>
        <v>60288.836191000002</v>
      </c>
      <c r="Q100" s="90">
        <f ca="1">IF(ISERROR(VLOOKUP($K100,OFFSET(INDIRECT(""&amp;$S$29&amp;"!$A$4"),0,0,200,100),MATCH(Q$30,INDIRECT(""&amp;$S$29&amp;"!$A$4"):INDIRECT(""&amp;$S$29&amp;"!$AA$4"),0),FALSE)),"",VLOOKUP($K100,OFFSET(INDIRECT(""&amp;$S$29&amp;"!$A$4"),0,0,200,100),MATCH(Q$30,INDIRECT(""&amp;$S$29&amp;"!$A$4"):INDIRECT(""&amp;$S$29&amp;"!$AA$4"),0),FALSE))</f>
        <v>71848.959317000001</v>
      </c>
      <c r="R100" s="90">
        <f ca="1">IF(ISERROR(VLOOKUP($K100,OFFSET(INDIRECT(""&amp;$S$29&amp;"!$A$4"),0,0,200,100),MATCH(R$30,INDIRECT(""&amp;$S$29&amp;"!$A$4"):INDIRECT(""&amp;$S$29&amp;"!$AA$4"),0),FALSE)),"",VLOOKUP($K100,OFFSET(INDIRECT(""&amp;$S$29&amp;"!$A$4"),0,0,200,100),MATCH(R$30,INDIRECT(""&amp;$S$29&amp;"!$A$4"):INDIRECT(""&amp;$S$29&amp;"!$AA$4"),0),FALSE))</f>
        <v>71848.959317000001</v>
      </c>
      <c r="S100" s="90">
        <f ca="1">IF(ISERROR(VLOOKUP($K100,OFFSET(INDIRECT(""&amp;$S$29&amp;"!$A$4"),0,0,200,100),MATCH(S$30,INDIRECT(""&amp;$S$29&amp;"!$A$4"):INDIRECT(""&amp;$S$29&amp;"!$AA$4"),0),FALSE)),"",VLOOKUP($K100,OFFSET(INDIRECT(""&amp;$S$29&amp;"!$A$4"),0,0,200,100),MATCH(S$30,INDIRECT(""&amp;$S$29&amp;"!$A$4"):INDIRECT(""&amp;$S$29&amp;"!$AA$4"),0),FALSE))</f>
        <v>71848.959317000001</v>
      </c>
      <c r="T100" s="90">
        <f ca="1">IF(ISERROR(VLOOKUP($K100,OFFSET(INDIRECT(""&amp;$S$29&amp;"!$A$4"),0,0,200,100),MATCH(T$30,INDIRECT(""&amp;$S$29&amp;"!$A$4"):INDIRECT(""&amp;$S$29&amp;"!$AA$4"),0),FALSE)),"",VLOOKUP($K100,OFFSET(INDIRECT(""&amp;$S$29&amp;"!$A$4"),0,0,200,100),MATCH(T$30,INDIRECT(""&amp;$S$29&amp;"!$A$4"):INDIRECT(""&amp;$S$29&amp;"!$AA$4"),0),FALSE))</f>
        <v>71848.959317000001</v>
      </c>
      <c r="U100" s="90">
        <f ca="1">IF(ISERROR(VLOOKUP($K100,OFFSET(INDIRECT(""&amp;$S$29&amp;"!$A$4"),0,0,200,100),MATCH(U$30,INDIRECT(""&amp;$S$29&amp;"!$A$4"):INDIRECT(""&amp;$S$29&amp;"!$AA$4"),0),FALSE)),"",VLOOKUP($K100,OFFSET(INDIRECT(""&amp;$S$29&amp;"!$A$4"),0,0,200,100),MATCH(U$30,INDIRECT(""&amp;$S$29&amp;"!$A$4"):INDIRECT(""&amp;$S$29&amp;"!$AA$4"),0),FALSE))</f>
        <v>73047.325628999999</v>
      </c>
      <c r="V100" s="90">
        <f ca="1">IF(ISERROR(VLOOKUP($K100,OFFSET(INDIRECT(""&amp;$S$29&amp;"!$A$4"),0,0,200,100),MATCH(V$30,INDIRECT(""&amp;$S$29&amp;"!$A$4"):INDIRECT(""&amp;$S$29&amp;"!$AA$4"),0),FALSE)),"",VLOOKUP($K100,OFFSET(INDIRECT(""&amp;$S$29&amp;"!$A$4"),0,0,200,100),MATCH(V$30,INDIRECT(""&amp;$S$29&amp;"!$A$4"):INDIRECT(""&amp;$S$29&amp;"!$AA$4"),0),FALSE))</f>
        <v>73047.325628999999</v>
      </c>
      <c r="W100" s="90">
        <f ca="1">IF(ISERROR(VLOOKUP($K100,OFFSET(INDIRECT(""&amp;$S$29&amp;"!$A$4"),0,0,200,100),MATCH(W$30,INDIRECT(""&amp;$S$29&amp;"!$A$4"):INDIRECT(""&amp;$S$29&amp;"!$AA$4"),0),FALSE)),"",VLOOKUP($K100,OFFSET(INDIRECT(""&amp;$S$29&amp;"!$A$4"),0,0,200,100),MATCH(W$30,INDIRECT(""&amp;$S$29&amp;"!$A$4"):INDIRECT(""&amp;$S$29&amp;"!$AA$4"),0),FALSE))</f>
        <v>73047.325628999999</v>
      </c>
      <c r="X100" s="90">
        <f ca="1">IF(ISERROR(VLOOKUP($K100,OFFSET(INDIRECT(""&amp;$S$29&amp;"!$A$4"),0,0,200,100),MATCH(X$30,INDIRECT(""&amp;$S$29&amp;"!$A$4"):INDIRECT(""&amp;$S$29&amp;"!$AA$4"),0),FALSE)),"",VLOOKUP($K100,OFFSET(INDIRECT(""&amp;$S$29&amp;"!$A$4"),0,0,200,100),MATCH(X$30,INDIRECT(""&amp;$S$29&amp;"!$A$4"):INDIRECT(""&amp;$S$29&amp;"!$AA$4"),0),FALSE))</f>
        <v>73047.325628999999</v>
      </c>
      <c r="Y100" s="90">
        <f ca="1">IF(ISERROR(VLOOKUP($K100,OFFSET(INDIRECT(""&amp;$S$29&amp;"!$A$4"),0,0,200,100),MATCH(Y$30,INDIRECT(""&amp;$S$29&amp;"!$A$4"):INDIRECT(""&amp;$S$29&amp;"!$AA$4"),0),FALSE)),"",VLOOKUP($K100,OFFSET(INDIRECT(""&amp;$S$29&amp;"!$A$4"),0,0,200,100),MATCH(Y$30,INDIRECT(""&amp;$S$29&amp;"!$A$4"):INDIRECT(""&amp;$S$29&amp;"!$AA$4"),0),FALSE))</f>
        <v>73695.293116000001</v>
      </c>
      <c r="Z100" s="90">
        <f ca="1">IF(ISERROR(VLOOKUP($K100,OFFSET(INDIRECT(""&amp;$S$29&amp;"!$A$4"),0,0,200,100),MATCH(Z$30,INDIRECT(""&amp;$S$29&amp;"!$A$4"):INDIRECT(""&amp;$S$29&amp;"!$AA$4"),0),FALSE)),"",VLOOKUP($K100,OFFSET(INDIRECT(""&amp;$S$29&amp;"!$A$4"),0,0,200,100),MATCH(Z$30,INDIRECT(""&amp;$S$29&amp;"!$A$4"):INDIRECT(""&amp;$S$29&amp;"!$AA$4"),0),FALSE))</f>
        <v>73695.293116000001</v>
      </c>
      <c r="AA100" s="90">
        <f t="shared" ca="1" si="81"/>
        <v>73695.293116000001</v>
      </c>
      <c r="AB100" s="110"/>
      <c r="AC100" s="99">
        <f t="shared" ca="1" si="66"/>
        <v>0.10420843534359389</v>
      </c>
      <c r="AD100" s="99">
        <f t="shared" ca="1" si="67"/>
        <v>0.15988671971828483</v>
      </c>
      <c r="AE100" s="99">
        <f t="shared" ca="1" si="68"/>
        <v>0.18826169560128678</v>
      </c>
      <c r="AF100" s="99">
        <f t="shared" ca="1" si="69"/>
        <v>0.19947799473929334</v>
      </c>
      <c r="AG100" s="99">
        <f t="shared" ca="1" si="79"/>
        <v>0.21623547022904699</v>
      </c>
      <c r="AH100" s="99">
        <f t="shared" ca="1" si="79"/>
        <v>0.21623547022904699</v>
      </c>
      <c r="AI100" s="145"/>
      <c r="AJ100" s="99">
        <f t="shared" ca="1" si="71"/>
        <v>0.15387872302722796</v>
      </c>
      <c r="AK100" s="99">
        <f t="shared" ca="1" si="72"/>
        <v>0.15503208156116935</v>
      </c>
      <c r="AL100" s="99">
        <f t="shared" ca="1" si="73"/>
        <v>0.17365717339349926</v>
      </c>
      <c r="AM100" s="99">
        <f t="shared" ca="1" si="74"/>
        <v>0.18080302106407425</v>
      </c>
      <c r="AN100" s="99">
        <f t="shared" ca="1" si="75"/>
        <v>0.17827891109910024</v>
      </c>
      <c r="AO100" s="99">
        <f t="shared" ca="1" si="80"/>
        <v>0.18942519869282751</v>
      </c>
      <c r="AP100" s="99">
        <f t="shared" ca="1" si="80"/>
        <v>0.19817632266682716</v>
      </c>
      <c r="AQ100" s="99">
        <f t="shared" ca="1" si="80"/>
        <v>0.20233959305005444</v>
      </c>
      <c r="AR100" s="99">
        <f t="shared" ca="1" si="80"/>
        <v>0.19913065001876951</v>
      </c>
      <c r="AS100" s="99">
        <f t="shared" ca="1" si="80"/>
        <v>0.19810870751187451</v>
      </c>
      <c r="AT100" s="99">
        <f t="shared" ca="1" si="77"/>
        <v>0.21788755556296624</v>
      </c>
      <c r="AU100" s="99">
        <f t="shared" ca="1" si="77"/>
        <v>0.21882648207087138</v>
      </c>
      <c r="AV100" s="99">
        <f t="shared" ca="1" si="78"/>
        <v>0.21788755556296624</v>
      </c>
    </row>
    <row r="101" spans="1:58" s="108" customFormat="1" ht="15.95" customHeight="1">
      <c r="A101" s="113" t="s">
        <v>296</v>
      </c>
      <c r="B101" s="111" t="s">
        <v>195</v>
      </c>
      <c r="C101" s="90">
        <f ca="1">IF(ISERROR(VLOOKUP($B101,OFFSET(INDIRECT(""&amp;$B$29&amp;"!$A$4"),0,0,200,100),MATCH(C$30,INDIRECT(""&amp;$B$29&amp;"!$A$4"):INDIRECT(""&amp;$B$29&amp;"!$o$4"),0),FALSE)),"",VLOOKUP($B101,OFFSET(INDIRECT(""&amp;$B$29&amp;"!$A$4"),0,0,200,100),MATCH(C$30,INDIRECT(""&amp;$B$29&amp;"!$A$4"):INDIRECT(""&amp;$B$29&amp;"!$o$4"),0),FALSE))</f>
        <v>4019.067</v>
      </c>
      <c r="D101" s="90">
        <f ca="1">IF(ISERROR(VLOOKUP($B101,OFFSET(INDIRECT(""&amp;$B$29&amp;"!$A$4"),0,0,200,100),MATCH(D$30,INDIRECT(""&amp;$B$29&amp;"!$A$4"):INDIRECT(""&amp;$B$29&amp;"!$o$4"),0),FALSE)),"",VLOOKUP($B101,OFFSET(INDIRECT(""&amp;$B$29&amp;"!$A$4"),0,0,200,100),MATCH(D$30,INDIRECT(""&amp;$B$29&amp;"!$A$4"):INDIRECT(""&amp;$B$29&amp;"!$o$4"),0),FALSE))</f>
        <v>5820.2310980000002</v>
      </c>
      <c r="E101" s="90">
        <f ca="1">IF(ISERROR(VLOOKUP($B101,OFFSET(INDIRECT(""&amp;$B$29&amp;"!$A$4"),0,0,200,100),MATCH(E$30,INDIRECT(""&amp;$B$29&amp;"!$A$4"):INDIRECT(""&amp;$B$29&amp;"!$o$4"),0),FALSE)),"",VLOOKUP($B101,OFFSET(INDIRECT(""&amp;$B$29&amp;"!$A$4"),0,0,200,100),MATCH(E$30,INDIRECT(""&amp;$B$29&amp;"!$A$4"):INDIRECT(""&amp;$B$29&amp;"!$o$4"),0),FALSE))</f>
        <v>7690.8931329999996</v>
      </c>
      <c r="F101" s="90">
        <f ca="1">IF(ISERROR(VLOOKUP($B101,OFFSET(INDIRECT(""&amp;$B$29&amp;"!$A$4"),0,0,200,100),MATCH(F$30,INDIRECT(""&amp;$B$29&amp;"!$A$4"):INDIRECT(""&amp;$B$29&amp;"!$o$4"),0),FALSE)),"",VLOOKUP($B101,OFFSET(INDIRECT(""&amp;$B$29&amp;"!$A$4"),0,0,200,100),MATCH(F$30,INDIRECT(""&amp;$B$29&amp;"!$A$4"):INDIRECT(""&amp;$B$29&amp;"!$o$4"),0),FALSE))</f>
        <v>11085.963291</v>
      </c>
      <c r="G101" s="90">
        <f ca="1">IF(ISERROR(VLOOKUP($B101,OFFSET(INDIRECT(""&amp;$B$29&amp;"!$A$4"),0,0,200,100),MATCH(G$30,INDIRECT(""&amp;$B$29&amp;"!$A$4"):INDIRECT(""&amp;$B$29&amp;"!$o$4"),0),FALSE)),"",VLOOKUP($B101,OFFSET(INDIRECT(""&amp;$B$29&amp;"!$A$4"),0,0,200,100),MATCH(G$30,INDIRECT(""&amp;$B$29&amp;"!$A$4"):INDIRECT(""&amp;$B$29&amp;"!$o$4"),0),FALSE))</f>
        <v>13772.939055000001</v>
      </c>
      <c r="H101" s="90">
        <f ca="1">IF(ISERROR(VLOOKUP($B101,OFFSET(INDIRECT(""&amp;$B$29&amp;"!$A$4"),0,0,200,100),MATCH(H$30,INDIRECT(""&amp;$B$29&amp;"!$A$4"):INDIRECT(""&amp;$B$29&amp;"!$o$4"),0),FALSE)),"",VLOOKUP($B101,OFFSET(INDIRECT(""&amp;$B$29&amp;"!$A$4"),0,0,200,100),MATCH(H$30,INDIRECT(""&amp;$B$29&amp;"!$A$4"):INDIRECT(""&amp;$B$29&amp;"!$o$4"),0),FALSE))</f>
        <v>15100</v>
      </c>
      <c r="I101" s="90">
        <f ca="1">IF(ISERROR(VLOOKUP($B101,OFFSET(INDIRECT(""&amp;$B$29&amp;"!$A$4"),0,0,200,100),MATCH(I$30,INDIRECT(""&amp;$B$29&amp;"!$A$4"):INDIRECT(""&amp;$B$29&amp;"!$o$4"),0),FALSE)),"",VLOOKUP($B101,OFFSET(INDIRECT(""&amp;$B$29&amp;"!$A$4"),0,0,200,100),MATCH(I$30,INDIRECT(""&amp;$B$29&amp;"!$A$4"):INDIRECT(""&amp;$B$29&amp;"!$o$4"),0),FALSE))</f>
        <v>15100</v>
      </c>
      <c r="J101" s="90">
        <f ca="1">IF(ISERROR(VLOOKUP($B101,OFFSET(INDIRECT(""&amp;$B$29&amp;"!$A$4"),0,0,200,100),MATCH(J$30,INDIRECT(""&amp;$B$29&amp;"!$A$4"):INDIRECT(""&amp;$B$29&amp;"!$o$4"),0),FALSE)),"",VLOOKUP($B101,OFFSET(INDIRECT(""&amp;$B$29&amp;"!$A$4"),0,0,200,100),MATCH(J$30,INDIRECT(""&amp;$B$29&amp;"!$A$4"):INDIRECT(""&amp;$B$29&amp;"!$o$4"),0),FALSE))</f>
        <v>15100</v>
      </c>
      <c r="K101" s="109" t="s">
        <v>195</v>
      </c>
      <c r="L101" s="90">
        <f ca="1">IF(ISERROR(VLOOKUP($K101,OFFSET(INDIRECT(""&amp;$S$29&amp;"!$A$4"),0,0,200,100),MATCH(L$30,INDIRECT(""&amp;$S$29&amp;"!$A$4"):INDIRECT(""&amp;$S$29&amp;"!$AA$4"),0),FALSE)),"",VLOOKUP($K101,OFFSET(INDIRECT(""&amp;$S$29&amp;"!$A$4"),0,0,200,100),MATCH(L$30,INDIRECT(""&amp;$S$29&amp;"!$A$4"):INDIRECT(""&amp;$S$29&amp;"!$AA$4"),0),FALSE))</f>
        <v>7690.8931329999996</v>
      </c>
      <c r="M101" s="90">
        <f ca="1">IF(ISERROR(VLOOKUP($K101,OFFSET(INDIRECT(""&amp;$S$29&amp;"!$A$4"),0,0,200,100),MATCH(M$30,INDIRECT(""&amp;$S$29&amp;"!$A$4"):INDIRECT(""&amp;$S$29&amp;"!$AA$4"),0),FALSE)),"",VLOOKUP($K101,OFFSET(INDIRECT(""&amp;$S$29&amp;"!$A$4"),0,0,200,100),MATCH(M$30,INDIRECT(""&amp;$S$29&amp;"!$A$4"):INDIRECT(""&amp;$S$29&amp;"!$AA$4"),0),FALSE))</f>
        <v>11085.963291</v>
      </c>
      <c r="N101" s="90">
        <f ca="1">IF(ISERROR(VLOOKUP($K101,OFFSET(INDIRECT(""&amp;$S$29&amp;"!$A$4"),0,0,200,100),MATCH(N$30,INDIRECT(""&amp;$S$29&amp;"!$A$4"):INDIRECT(""&amp;$S$29&amp;"!$AA$4"),0),FALSE)),"",VLOOKUP($K101,OFFSET(INDIRECT(""&amp;$S$29&amp;"!$A$4"),0,0,200,100),MATCH(N$30,INDIRECT(""&amp;$S$29&amp;"!$A$4"):INDIRECT(""&amp;$S$29&amp;"!$AA$4"),0),FALSE))</f>
        <v>11085.963291</v>
      </c>
      <c r="O101" s="90">
        <f ca="1">IF(ISERROR(VLOOKUP($K101,OFFSET(INDIRECT(""&amp;$S$29&amp;"!$A$4"),0,0,200,100),MATCH(O$30,INDIRECT(""&amp;$S$29&amp;"!$A$4"):INDIRECT(""&amp;$S$29&amp;"!$AA$4"),0),FALSE)),"",VLOOKUP($K101,OFFSET(INDIRECT(""&amp;$S$29&amp;"!$A$4"),0,0,200,100),MATCH(O$30,INDIRECT(""&amp;$S$29&amp;"!$A$4"):INDIRECT(""&amp;$S$29&amp;"!$AA$4"),0),FALSE))</f>
        <v>11085.963291</v>
      </c>
      <c r="P101" s="90">
        <f ca="1">IF(ISERROR(VLOOKUP($K101,OFFSET(INDIRECT(""&amp;$S$29&amp;"!$A$4"),0,0,200,100),MATCH(P$30,INDIRECT(""&amp;$S$29&amp;"!$A$4"):INDIRECT(""&amp;$S$29&amp;"!$AA$4"),0),FALSE)),"",VLOOKUP($K101,OFFSET(INDIRECT(""&amp;$S$29&amp;"!$A$4"),0,0,200,100),MATCH(P$30,INDIRECT(""&amp;$S$29&amp;"!$A$4"):INDIRECT(""&amp;$S$29&amp;"!$AA$4"),0),FALSE))</f>
        <v>11085.963291</v>
      </c>
      <c r="Q101" s="90">
        <f ca="1">IF(ISERROR(VLOOKUP($K101,OFFSET(INDIRECT(""&amp;$S$29&amp;"!$A$4"),0,0,200,100),MATCH(Q$30,INDIRECT(""&amp;$S$29&amp;"!$A$4"):INDIRECT(""&amp;$S$29&amp;"!$AA$4"),0),FALSE)),"",VLOOKUP($K101,OFFSET(INDIRECT(""&amp;$S$29&amp;"!$A$4"),0,0,200,100),MATCH(Q$30,INDIRECT(""&amp;$S$29&amp;"!$A$4"):INDIRECT(""&amp;$S$29&amp;"!$AA$4"),0),FALSE))</f>
        <v>13772.939055000001</v>
      </c>
      <c r="R101" s="90">
        <f ca="1">IF(ISERROR(VLOOKUP($K101,OFFSET(INDIRECT(""&amp;$S$29&amp;"!$A$4"),0,0,200,100),MATCH(R$30,INDIRECT(""&amp;$S$29&amp;"!$A$4"):INDIRECT(""&amp;$S$29&amp;"!$AA$4"),0),FALSE)),"",VLOOKUP($K101,OFFSET(INDIRECT(""&amp;$S$29&amp;"!$A$4"),0,0,200,100),MATCH(R$30,INDIRECT(""&amp;$S$29&amp;"!$A$4"):INDIRECT(""&amp;$S$29&amp;"!$AA$4"),0),FALSE))</f>
        <v>13772.939055000001</v>
      </c>
      <c r="S101" s="90">
        <f ca="1">IF(ISERROR(VLOOKUP($K101,OFFSET(INDIRECT(""&amp;$S$29&amp;"!$A$4"),0,0,200,100),MATCH(S$30,INDIRECT(""&amp;$S$29&amp;"!$A$4"):INDIRECT(""&amp;$S$29&amp;"!$AA$4"),0),FALSE)),"",VLOOKUP($K101,OFFSET(INDIRECT(""&amp;$S$29&amp;"!$A$4"),0,0,200,100),MATCH(S$30,INDIRECT(""&amp;$S$29&amp;"!$A$4"):INDIRECT(""&amp;$S$29&amp;"!$AA$4"),0),FALSE))</f>
        <v>13772.939055000001</v>
      </c>
      <c r="T101" s="90">
        <f ca="1">IF(ISERROR(VLOOKUP($K101,OFFSET(INDIRECT(""&amp;$S$29&amp;"!$A$4"),0,0,200,100),MATCH(T$30,INDIRECT(""&amp;$S$29&amp;"!$A$4"):INDIRECT(""&amp;$S$29&amp;"!$AA$4"),0),FALSE)),"",VLOOKUP($K101,OFFSET(INDIRECT(""&amp;$S$29&amp;"!$A$4"),0,0,200,100),MATCH(T$30,INDIRECT(""&amp;$S$29&amp;"!$A$4"):INDIRECT(""&amp;$S$29&amp;"!$AA$4"),0),FALSE))</f>
        <v>13772.939055000001</v>
      </c>
      <c r="U101" s="90">
        <f ca="1">IF(ISERROR(VLOOKUP($K101,OFFSET(INDIRECT(""&amp;$S$29&amp;"!$A$4"),0,0,200,100),MATCH(U$30,INDIRECT(""&amp;$S$29&amp;"!$A$4"):INDIRECT(""&amp;$S$29&amp;"!$AA$4"),0),FALSE)),"",VLOOKUP($K101,OFFSET(INDIRECT(""&amp;$S$29&amp;"!$A$4"),0,0,200,100),MATCH(U$30,INDIRECT(""&amp;$S$29&amp;"!$A$4"):INDIRECT(""&amp;$S$29&amp;"!$AA$4"),0),FALSE))</f>
        <v>15100</v>
      </c>
      <c r="V101" s="90">
        <f ca="1">IF(ISERROR(VLOOKUP($K101,OFFSET(INDIRECT(""&amp;$S$29&amp;"!$A$4"),0,0,200,100),MATCH(V$30,INDIRECT(""&amp;$S$29&amp;"!$A$4"):INDIRECT(""&amp;$S$29&amp;"!$AA$4"),0),FALSE)),"",VLOOKUP($K101,OFFSET(INDIRECT(""&amp;$S$29&amp;"!$A$4"),0,0,200,100),MATCH(V$30,INDIRECT(""&amp;$S$29&amp;"!$A$4"):INDIRECT(""&amp;$S$29&amp;"!$AA$4"),0),FALSE))</f>
        <v>15100</v>
      </c>
      <c r="W101" s="90">
        <f ca="1">IF(ISERROR(VLOOKUP($K101,OFFSET(INDIRECT(""&amp;$S$29&amp;"!$A$4"),0,0,200,100),MATCH(W$30,INDIRECT(""&amp;$S$29&amp;"!$A$4"):INDIRECT(""&amp;$S$29&amp;"!$AA$4"),0),FALSE)),"",VLOOKUP($K101,OFFSET(INDIRECT(""&amp;$S$29&amp;"!$A$4"),0,0,200,100),MATCH(W$30,INDIRECT(""&amp;$S$29&amp;"!$A$4"):INDIRECT(""&amp;$S$29&amp;"!$AA$4"),0),FALSE))</f>
        <v>15100</v>
      </c>
      <c r="X101" s="90">
        <f ca="1">IF(ISERROR(VLOOKUP($K101,OFFSET(INDIRECT(""&amp;$S$29&amp;"!$A$4"),0,0,200,100),MATCH(X$30,INDIRECT(""&amp;$S$29&amp;"!$A$4"):INDIRECT(""&amp;$S$29&amp;"!$AA$4"),0),FALSE)),"",VLOOKUP($K101,OFFSET(INDIRECT(""&amp;$S$29&amp;"!$A$4"),0,0,200,100),MATCH(X$30,INDIRECT(""&amp;$S$29&amp;"!$A$4"):INDIRECT(""&amp;$S$29&amp;"!$AA$4"),0),FALSE))</f>
        <v>15100</v>
      </c>
      <c r="Y101" s="90">
        <f ca="1">IF(ISERROR(VLOOKUP($K101,OFFSET(INDIRECT(""&amp;$S$29&amp;"!$A$4"),0,0,200,100),MATCH(Y$30,INDIRECT(""&amp;$S$29&amp;"!$A$4"):INDIRECT(""&amp;$S$29&amp;"!$AA$4"),0),FALSE)),"",VLOOKUP($K101,OFFSET(INDIRECT(""&amp;$S$29&amp;"!$A$4"),0,0,200,100),MATCH(Y$30,INDIRECT(""&amp;$S$29&amp;"!$A$4"):INDIRECT(""&amp;$S$29&amp;"!$AA$4"),0),FALSE))</f>
        <v>15100</v>
      </c>
      <c r="Z101" s="90">
        <f ca="1">IF(ISERROR(VLOOKUP($K101,OFFSET(INDIRECT(""&amp;$S$29&amp;"!$A$4"),0,0,200,100),MATCH(Z$30,INDIRECT(""&amp;$S$29&amp;"!$A$4"):INDIRECT(""&amp;$S$29&amp;"!$AA$4"),0),FALSE)),"",VLOOKUP($K101,OFFSET(INDIRECT(""&amp;$S$29&amp;"!$A$4"),0,0,200,100),MATCH(Z$30,INDIRECT(""&amp;$S$29&amp;"!$A$4"):INDIRECT(""&amp;$S$29&amp;"!$AA$4"),0),FALSE))</f>
        <v>15100</v>
      </c>
      <c r="AA101" s="90">
        <f t="shared" ca="1" si="81"/>
        <v>15100</v>
      </c>
      <c r="AB101" s="110"/>
      <c r="AC101" s="99">
        <f t="shared" ca="1" si="66"/>
        <v>2.2047415917473386E-2</v>
      </c>
      <c r="AD101" s="99">
        <f t="shared" ca="1" si="67"/>
        <v>2.9400108170937165E-2</v>
      </c>
      <c r="AE101" s="99">
        <f t="shared" ca="1" si="68"/>
        <v>3.6088440035261314E-2</v>
      </c>
      <c r="AF101" s="99">
        <f t="shared" ca="1" si="69"/>
        <v>4.1235153985808758E-2</v>
      </c>
      <c r="AG101" s="99">
        <f t="shared" ca="1" si="79"/>
        <v>4.4306162068167565E-2</v>
      </c>
      <c r="AH101" s="99">
        <f t="shared" ca="1" si="79"/>
        <v>4.4306162068167565E-2</v>
      </c>
      <c r="AI101" s="145"/>
      <c r="AJ101" s="99">
        <f t="shared" ca="1" si="71"/>
        <v>2.829535254821296E-2</v>
      </c>
      <c r="AK101" s="99">
        <f t="shared" ca="1" si="72"/>
        <v>2.8507433111986464E-2</v>
      </c>
      <c r="AL101" s="99">
        <f t="shared" ca="1" si="73"/>
        <v>3.3288856071800085E-2</v>
      </c>
      <c r="AM101" s="99">
        <f t="shared" ca="1" si="74"/>
        <v>3.4658664700884245E-2</v>
      </c>
      <c r="AN101" s="99">
        <f t="shared" ca="1" si="75"/>
        <v>3.4174810612444026E-2</v>
      </c>
      <c r="AO101" s="99">
        <f t="shared" ca="1" si="80"/>
        <v>3.6311475376655654E-2</v>
      </c>
      <c r="AP101" s="99">
        <f t="shared" ca="1" si="80"/>
        <v>4.0966078449846413E-2</v>
      </c>
      <c r="AQ101" s="99">
        <f t="shared" ca="1" si="80"/>
        <v>4.1826690145694373E-2</v>
      </c>
      <c r="AR101" s="99">
        <f t="shared" ca="1" si="80"/>
        <v>4.1163352516901487E-2</v>
      </c>
      <c r="AS101" s="99">
        <f t="shared" ca="1" si="80"/>
        <v>4.0952101362649942E-2</v>
      </c>
      <c r="AT101" s="99">
        <f t="shared" ca="1" si="77"/>
        <v>4.4644670641610838E-2</v>
      </c>
      <c r="AU101" s="99">
        <f t="shared" ca="1" si="77"/>
        <v>4.4837054573744074E-2</v>
      </c>
      <c r="AV101" s="99">
        <f t="shared" ca="1" si="78"/>
        <v>4.4644670641610838E-2</v>
      </c>
    </row>
    <row r="102" spans="1:58" s="108" customFormat="1" ht="15.95" customHeight="1">
      <c r="A102" s="113" t="s">
        <v>297</v>
      </c>
      <c r="B102" s="111" t="s">
        <v>197</v>
      </c>
      <c r="C102" s="90">
        <f ca="1">IF(ISERROR(VLOOKUP($B102,OFFSET(INDIRECT(""&amp;$B$29&amp;"!$A$4"),0,0,200,100),MATCH(C$30,INDIRECT(""&amp;$B$29&amp;"!$A$4"):INDIRECT(""&amp;$B$29&amp;"!$o$4"),0),FALSE)),"",VLOOKUP($B102,OFFSET(INDIRECT(""&amp;$B$29&amp;"!$A$4"),0,0,200,100),MATCH(C$30,INDIRECT(""&amp;$B$29&amp;"!$A$4"):INDIRECT(""&amp;$B$29&amp;"!$o$4"),0),FALSE))</f>
        <v>0</v>
      </c>
      <c r="D102" s="90">
        <f ca="1">IF(ISERROR(VLOOKUP($B102,OFFSET(INDIRECT(""&amp;$B$29&amp;"!$A$4"),0,0,200,100),MATCH(D$30,INDIRECT(""&amp;$B$29&amp;"!$A$4"):INDIRECT(""&amp;$B$29&amp;"!$o$4"),0),FALSE)),"",VLOOKUP($B102,OFFSET(INDIRECT(""&amp;$B$29&amp;"!$A$4"),0,0,200,100),MATCH(D$30,INDIRECT(""&amp;$B$29&amp;"!$A$4"):INDIRECT(""&amp;$B$29&amp;"!$o$4"),0),FALSE))</f>
        <v>0</v>
      </c>
      <c r="E102" s="90">
        <f ca="1">IF(ISERROR(VLOOKUP($B102,OFFSET(INDIRECT(""&amp;$B$29&amp;"!$A$4"),0,0,200,100),MATCH(E$30,INDIRECT(""&amp;$B$29&amp;"!$A$4"):INDIRECT(""&amp;$B$29&amp;"!$o$4"),0),FALSE)),"",VLOOKUP($B102,OFFSET(INDIRECT(""&amp;$B$29&amp;"!$A$4"),0,0,200,100),MATCH(E$30,INDIRECT(""&amp;$B$29&amp;"!$A$4"):INDIRECT(""&amp;$B$29&amp;"!$o$4"),0),FALSE))</f>
        <v>0</v>
      </c>
      <c r="F102" s="90">
        <f ca="1">IF(ISERROR(VLOOKUP($B102,OFFSET(INDIRECT(""&amp;$B$29&amp;"!$A$4"),0,0,200,100),MATCH(F$30,INDIRECT(""&amp;$B$29&amp;"!$A$4"):INDIRECT(""&amp;$B$29&amp;"!$o$4"),0),FALSE)),"",VLOOKUP($B102,OFFSET(INDIRECT(""&amp;$B$29&amp;"!$A$4"),0,0,200,100),MATCH(F$30,INDIRECT(""&amp;$B$29&amp;"!$A$4"):INDIRECT(""&amp;$B$29&amp;"!$o$4"),0),FALSE))</f>
        <v>0</v>
      </c>
      <c r="G102" s="90">
        <f ca="1">IF(ISERROR(VLOOKUP($B102,OFFSET(INDIRECT(""&amp;$B$29&amp;"!$A$4"),0,0,200,100),MATCH(G$30,INDIRECT(""&amp;$B$29&amp;"!$A$4"):INDIRECT(""&amp;$B$29&amp;"!$o$4"),0),FALSE)),"",VLOOKUP($B102,OFFSET(INDIRECT(""&amp;$B$29&amp;"!$A$4"),0,0,200,100),MATCH(G$30,INDIRECT(""&amp;$B$29&amp;"!$A$4"):INDIRECT(""&amp;$B$29&amp;"!$o$4"),0),FALSE))</f>
        <v>0</v>
      </c>
      <c r="H102" s="90">
        <f ca="1">IF(ISERROR(VLOOKUP($B102,OFFSET(INDIRECT(""&amp;$B$29&amp;"!$A$4"),0,0,200,100),MATCH(H$30,INDIRECT(""&amp;$B$29&amp;"!$A$4"):INDIRECT(""&amp;$B$29&amp;"!$o$4"),0),FALSE)),"",VLOOKUP($B102,OFFSET(INDIRECT(""&amp;$B$29&amp;"!$A$4"),0,0,200,100),MATCH(H$30,INDIRECT(""&amp;$B$29&amp;"!$A$4"):INDIRECT(""&amp;$B$29&amp;"!$o$4"),0),FALSE))</f>
        <v>0</v>
      </c>
      <c r="I102" s="90">
        <f ca="1">IF(ISERROR(VLOOKUP($B102,OFFSET(INDIRECT(""&amp;$B$29&amp;"!$A$4"),0,0,200,100),MATCH(I$30,INDIRECT(""&amp;$B$29&amp;"!$A$4"):INDIRECT(""&amp;$B$29&amp;"!$o$4"),0),FALSE)),"",VLOOKUP($B102,OFFSET(INDIRECT(""&amp;$B$29&amp;"!$A$4"),0,0,200,100),MATCH(I$30,INDIRECT(""&amp;$B$29&amp;"!$A$4"):INDIRECT(""&amp;$B$29&amp;"!$o$4"),0),FALSE))</f>
        <v>0</v>
      </c>
      <c r="J102" s="90">
        <f ca="1">IF(ISERROR(VLOOKUP($B102,OFFSET(INDIRECT(""&amp;$B$29&amp;"!$A$4"),0,0,200,100),MATCH(J$30,INDIRECT(""&amp;$B$29&amp;"!$A$4"):INDIRECT(""&amp;$B$29&amp;"!$o$4"),0),FALSE)),"",VLOOKUP($B102,OFFSET(INDIRECT(""&amp;$B$29&amp;"!$A$4"),0,0,200,100),MATCH(J$30,INDIRECT(""&amp;$B$29&amp;"!$A$4"):INDIRECT(""&amp;$B$29&amp;"!$o$4"),0),FALSE))</f>
        <v>0</v>
      </c>
      <c r="K102" s="109" t="s">
        <v>197</v>
      </c>
      <c r="L102" s="90">
        <f ca="1">IF(ISERROR(VLOOKUP($K102,OFFSET(INDIRECT(""&amp;$S$29&amp;"!$A$4"),0,0,200,100),MATCH(L$30,INDIRECT(""&amp;$S$29&amp;"!$A$4"):INDIRECT(""&amp;$S$29&amp;"!$AA$4"),0),FALSE)),"",VLOOKUP($K102,OFFSET(INDIRECT(""&amp;$S$29&amp;"!$A$4"),0,0,200,100),MATCH(L$30,INDIRECT(""&amp;$S$29&amp;"!$A$4"):INDIRECT(""&amp;$S$29&amp;"!$AA$4"),0),FALSE))</f>
        <v>0</v>
      </c>
      <c r="M102" s="90">
        <f ca="1">IF(ISERROR(VLOOKUP($K102,OFFSET(INDIRECT(""&amp;$S$29&amp;"!$A$4"),0,0,200,100),MATCH(M$30,INDIRECT(""&amp;$S$29&amp;"!$A$4"):INDIRECT(""&amp;$S$29&amp;"!$AA$4"),0),FALSE)),"",VLOOKUP($K102,OFFSET(INDIRECT(""&amp;$S$29&amp;"!$A$4"),0,0,200,100),MATCH(M$30,INDIRECT(""&amp;$S$29&amp;"!$A$4"):INDIRECT(""&amp;$S$29&amp;"!$AA$4"),0),FALSE))</f>
        <v>0</v>
      </c>
      <c r="N102" s="90">
        <f ca="1">IF(ISERROR(VLOOKUP($K102,OFFSET(INDIRECT(""&amp;$S$29&amp;"!$A$4"),0,0,200,100),MATCH(N$30,INDIRECT(""&amp;$S$29&amp;"!$A$4"):INDIRECT(""&amp;$S$29&amp;"!$AA$4"),0),FALSE)),"",VLOOKUP($K102,OFFSET(INDIRECT(""&amp;$S$29&amp;"!$A$4"),0,0,200,100),MATCH(N$30,INDIRECT(""&amp;$S$29&amp;"!$A$4"):INDIRECT(""&amp;$S$29&amp;"!$AA$4"),0),FALSE))</f>
        <v>0</v>
      </c>
      <c r="O102" s="90">
        <f ca="1">IF(ISERROR(VLOOKUP($K102,OFFSET(INDIRECT(""&amp;$S$29&amp;"!$A$4"),0,0,200,100),MATCH(O$30,INDIRECT(""&amp;$S$29&amp;"!$A$4"):INDIRECT(""&amp;$S$29&amp;"!$AA$4"),0),FALSE)),"",VLOOKUP($K102,OFFSET(INDIRECT(""&amp;$S$29&amp;"!$A$4"),0,0,200,100),MATCH(O$30,INDIRECT(""&amp;$S$29&amp;"!$A$4"):INDIRECT(""&amp;$S$29&amp;"!$AA$4"),0),FALSE))</f>
        <v>0</v>
      </c>
      <c r="P102" s="90">
        <f ca="1">IF(ISERROR(VLOOKUP($K102,OFFSET(INDIRECT(""&amp;$S$29&amp;"!$A$4"),0,0,200,100),MATCH(P$30,INDIRECT(""&amp;$S$29&amp;"!$A$4"):INDIRECT(""&amp;$S$29&amp;"!$AA$4"),0),FALSE)),"",VLOOKUP($K102,OFFSET(INDIRECT(""&amp;$S$29&amp;"!$A$4"),0,0,200,100),MATCH(P$30,INDIRECT(""&amp;$S$29&amp;"!$A$4"):INDIRECT(""&amp;$S$29&amp;"!$AA$4"),0),FALSE))</f>
        <v>0</v>
      </c>
      <c r="Q102" s="90">
        <f ca="1">IF(ISERROR(VLOOKUP($K102,OFFSET(INDIRECT(""&amp;$S$29&amp;"!$A$4"),0,0,200,100),MATCH(Q$30,INDIRECT(""&amp;$S$29&amp;"!$A$4"):INDIRECT(""&amp;$S$29&amp;"!$AA$4"),0),FALSE)),"",VLOOKUP($K102,OFFSET(INDIRECT(""&amp;$S$29&amp;"!$A$4"),0,0,200,100),MATCH(Q$30,INDIRECT(""&amp;$S$29&amp;"!$A$4"):INDIRECT(""&amp;$S$29&amp;"!$AA$4"),0),FALSE))</f>
        <v>0</v>
      </c>
      <c r="R102" s="90">
        <f ca="1">IF(ISERROR(VLOOKUP($K102,OFFSET(INDIRECT(""&amp;$S$29&amp;"!$A$4"),0,0,200,100),MATCH(R$30,INDIRECT(""&amp;$S$29&amp;"!$A$4"):INDIRECT(""&amp;$S$29&amp;"!$AA$4"),0),FALSE)),"",VLOOKUP($K102,OFFSET(INDIRECT(""&amp;$S$29&amp;"!$A$4"),0,0,200,100),MATCH(R$30,INDIRECT(""&amp;$S$29&amp;"!$A$4"):INDIRECT(""&amp;$S$29&amp;"!$AA$4"),0),FALSE))</f>
        <v>0</v>
      </c>
      <c r="S102" s="90">
        <f ca="1">IF(ISERROR(VLOOKUP($K102,OFFSET(INDIRECT(""&amp;$S$29&amp;"!$A$4"),0,0,200,100),MATCH(S$30,INDIRECT(""&amp;$S$29&amp;"!$A$4"):INDIRECT(""&amp;$S$29&amp;"!$AA$4"),0),FALSE)),"",VLOOKUP($K102,OFFSET(INDIRECT(""&amp;$S$29&amp;"!$A$4"),0,0,200,100),MATCH(S$30,INDIRECT(""&amp;$S$29&amp;"!$A$4"):INDIRECT(""&amp;$S$29&amp;"!$AA$4"),0),FALSE))</f>
        <v>0</v>
      </c>
      <c r="T102" s="90">
        <f ca="1">IF(ISERROR(VLOOKUP($K102,OFFSET(INDIRECT(""&amp;$S$29&amp;"!$A$4"),0,0,200,100),MATCH(T$30,INDIRECT(""&amp;$S$29&amp;"!$A$4"):INDIRECT(""&amp;$S$29&amp;"!$AA$4"),0),FALSE)),"",VLOOKUP($K102,OFFSET(INDIRECT(""&amp;$S$29&amp;"!$A$4"),0,0,200,100),MATCH(T$30,INDIRECT(""&amp;$S$29&amp;"!$A$4"):INDIRECT(""&amp;$S$29&amp;"!$AA$4"),0),FALSE))</f>
        <v>0</v>
      </c>
      <c r="U102" s="90">
        <f ca="1">IF(ISERROR(VLOOKUP($K102,OFFSET(INDIRECT(""&amp;$S$29&amp;"!$A$4"),0,0,200,100),MATCH(U$30,INDIRECT(""&amp;$S$29&amp;"!$A$4"):INDIRECT(""&amp;$S$29&amp;"!$AA$4"),0),FALSE)),"",VLOOKUP($K102,OFFSET(INDIRECT(""&amp;$S$29&amp;"!$A$4"),0,0,200,100),MATCH(U$30,INDIRECT(""&amp;$S$29&amp;"!$A$4"):INDIRECT(""&amp;$S$29&amp;"!$AA$4"),0),FALSE))</f>
        <v>0</v>
      </c>
      <c r="V102" s="90">
        <f ca="1">IF(ISERROR(VLOOKUP($K102,OFFSET(INDIRECT(""&amp;$S$29&amp;"!$A$4"),0,0,200,100),MATCH(V$30,INDIRECT(""&amp;$S$29&amp;"!$A$4"):INDIRECT(""&amp;$S$29&amp;"!$AA$4"),0),FALSE)),"",VLOOKUP($K102,OFFSET(INDIRECT(""&amp;$S$29&amp;"!$A$4"),0,0,200,100),MATCH(V$30,INDIRECT(""&amp;$S$29&amp;"!$A$4"):INDIRECT(""&amp;$S$29&amp;"!$AA$4"),0),FALSE))</f>
        <v>0</v>
      </c>
      <c r="W102" s="90">
        <f ca="1">IF(ISERROR(VLOOKUP($K102,OFFSET(INDIRECT(""&amp;$S$29&amp;"!$A$4"),0,0,200,100),MATCH(W$30,INDIRECT(""&amp;$S$29&amp;"!$A$4"):INDIRECT(""&amp;$S$29&amp;"!$AA$4"),0),FALSE)),"",VLOOKUP($K102,OFFSET(INDIRECT(""&amp;$S$29&amp;"!$A$4"),0,0,200,100),MATCH(W$30,INDIRECT(""&amp;$S$29&amp;"!$A$4"):INDIRECT(""&amp;$S$29&amp;"!$AA$4"),0),FALSE))</f>
        <v>0</v>
      </c>
      <c r="X102" s="90">
        <f ca="1">IF(ISERROR(VLOOKUP($K102,OFFSET(INDIRECT(""&amp;$S$29&amp;"!$A$4"),0,0,200,100),MATCH(X$30,INDIRECT(""&amp;$S$29&amp;"!$A$4"):INDIRECT(""&amp;$S$29&amp;"!$AA$4"),0),FALSE)),"",VLOOKUP($K102,OFFSET(INDIRECT(""&amp;$S$29&amp;"!$A$4"),0,0,200,100),MATCH(X$30,INDIRECT(""&amp;$S$29&amp;"!$A$4"):INDIRECT(""&amp;$S$29&amp;"!$AA$4"),0),FALSE))</f>
        <v>0</v>
      </c>
      <c r="Y102" s="90">
        <f ca="1">IF(ISERROR(VLOOKUP($K102,OFFSET(INDIRECT(""&amp;$S$29&amp;"!$A$4"),0,0,200,100),MATCH(Y$30,INDIRECT(""&amp;$S$29&amp;"!$A$4"):INDIRECT(""&amp;$S$29&amp;"!$AA$4"),0),FALSE)),"",VLOOKUP($K102,OFFSET(INDIRECT(""&amp;$S$29&amp;"!$A$4"),0,0,200,100),MATCH(Y$30,INDIRECT(""&amp;$S$29&amp;"!$A$4"):INDIRECT(""&amp;$S$29&amp;"!$AA$4"),0),FALSE))</f>
        <v>0</v>
      </c>
      <c r="Z102" s="90">
        <f ca="1">IF(ISERROR(VLOOKUP($K102,OFFSET(INDIRECT(""&amp;$S$29&amp;"!$A$4"),0,0,200,100),MATCH(Z$30,INDIRECT(""&amp;$S$29&amp;"!$A$4"):INDIRECT(""&amp;$S$29&amp;"!$AA$4"),0),FALSE)),"",VLOOKUP($K102,OFFSET(INDIRECT(""&amp;$S$29&amp;"!$A$4"),0,0,200,100),MATCH(Z$30,INDIRECT(""&amp;$S$29&amp;"!$A$4"):INDIRECT(""&amp;$S$29&amp;"!$AA$4"),0),FALSE))</f>
        <v>0</v>
      </c>
      <c r="AA102" s="90">
        <f t="shared" ca="1" si="81"/>
        <v>0</v>
      </c>
      <c r="AB102" s="110"/>
      <c r="AC102" s="99">
        <f t="shared" ca="1" si="66"/>
        <v>0</v>
      </c>
      <c r="AD102" s="99">
        <f t="shared" ca="1" si="67"/>
        <v>0</v>
      </c>
      <c r="AE102" s="99">
        <f t="shared" ca="1" si="68"/>
        <v>0</v>
      </c>
      <c r="AF102" s="99">
        <f t="shared" ca="1" si="69"/>
        <v>0</v>
      </c>
      <c r="AG102" s="99">
        <f t="shared" ca="1" si="79"/>
        <v>0</v>
      </c>
      <c r="AH102" s="99">
        <f t="shared" ca="1" si="79"/>
        <v>0</v>
      </c>
      <c r="AI102" s="145"/>
      <c r="AJ102" s="99">
        <f t="shared" ca="1" si="71"/>
        <v>0</v>
      </c>
      <c r="AK102" s="99">
        <f t="shared" ca="1" si="72"/>
        <v>0</v>
      </c>
      <c r="AL102" s="99">
        <f t="shared" ca="1" si="73"/>
        <v>0</v>
      </c>
      <c r="AM102" s="99">
        <f t="shared" ca="1" si="74"/>
        <v>0</v>
      </c>
      <c r="AN102" s="99">
        <f t="shared" ca="1" si="75"/>
        <v>0</v>
      </c>
      <c r="AO102" s="99">
        <f t="shared" ca="1" si="80"/>
        <v>0</v>
      </c>
      <c r="AP102" s="99">
        <f t="shared" ca="1" si="80"/>
        <v>0</v>
      </c>
      <c r="AQ102" s="99">
        <f t="shared" ca="1" si="80"/>
        <v>0</v>
      </c>
      <c r="AR102" s="99">
        <f t="shared" ca="1" si="80"/>
        <v>0</v>
      </c>
      <c r="AS102" s="99">
        <f t="shared" ca="1" si="80"/>
        <v>0</v>
      </c>
      <c r="AT102" s="99">
        <f t="shared" ca="1" si="77"/>
        <v>0</v>
      </c>
      <c r="AU102" s="99">
        <f t="shared" ca="1" si="77"/>
        <v>0</v>
      </c>
      <c r="AV102" s="99">
        <f t="shared" ca="1" si="78"/>
        <v>0</v>
      </c>
    </row>
    <row r="103" spans="1:58" s="108" customFormat="1" ht="15.95" customHeight="1">
      <c r="A103" s="113" t="s">
        <v>608</v>
      </c>
      <c r="B103" s="111" t="s">
        <v>198</v>
      </c>
      <c r="C103" s="90">
        <f ca="1">IF(ISERROR(VLOOKUP($B103,OFFSET(INDIRECT(""&amp;$B$29&amp;"!$A$4"),0,0,200,100),MATCH(C$30,INDIRECT(""&amp;$B$29&amp;"!$A$4"):INDIRECT(""&amp;$B$29&amp;"!$o$4"),0),FALSE)),"",VLOOKUP($B103,OFFSET(INDIRECT(""&amp;$B$29&amp;"!$A$4"),0,0,200,100),MATCH(C$30,INDIRECT(""&amp;$B$29&amp;"!$A$4"):INDIRECT(""&amp;$B$29&amp;"!$o$4"),0),FALSE))</f>
        <v>36023.281961000001</v>
      </c>
      <c r="D103" s="90">
        <f ca="1">IF(ISERROR(VLOOKUP($B103,OFFSET(INDIRECT(""&amp;$B$29&amp;"!$A$4"),0,0,200,100),MATCH(D$30,INDIRECT(""&amp;$B$29&amp;"!$A$4"):INDIRECT(""&amp;$B$29&amp;"!$o$4"),0),FALSE)),"",VLOOKUP($B103,OFFSET(INDIRECT(""&amp;$B$29&amp;"!$A$4"),0,0,200,100),MATCH(D$30,INDIRECT(""&amp;$B$29&amp;"!$A$4"):INDIRECT(""&amp;$B$29&amp;"!$o$4"),0),FALSE))</f>
        <v>37413.240708999998</v>
      </c>
      <c r="E103" s="90">
        <f ca="1">IF(ISERROR(VLOOKUP($B103,OFFSET(INDIRECT(""&amp;$B$29&amp;"!$A$4"),0,0,200,100),MATCH(E$30,INDIRECT(""&amp;$B$29&amp;"!$A$4"):INDIRECT(""&amp;$B$29&amp;"!$o$4"),0),FALSE)),"",VLOOKUP($B103,OFFSET(INDIRECT(""&amp;$B$29&amp;"!$A$4"),0,0,200,100),MATCH(E$30,INDIRECT(""&amp;$B$29&amp;"!$A$4"):INDIRECT(""&amp;$B$29&amp;"!$o$4"),0),FALSE))</f>
        <v>67901.403158999994</v>
      </c>
      <c r="F103" s="90">
        <f ca="1">IF(ISERROR(VLOOKUP($B103,OFFSET(INDIRECT(""&amp;$B$29&amp;"!$A$4"),0,0,200,100),MATCH(F$30,INDIRECT(""&amp;$B$29&amp;"!$A$4"):INDIRECT(""&amp;$B$29&amp;"!$o$4"),0),FALSE)),"",VLOOKUP($B103,OFFSET(INDIRECT(""&amp;$B$29&amp;"!$A$4"),0,0,200,100),MATCH(F$30,INDIRECT(""&amp;$B$29&amp;"!$A$4"):INDIRECT(""&amp;$B$29&amp;"!$o$4"),0),FALSE))</f>
        <v>38972.831889000001</v>
      </c>
      <c r="G103" s="90">
        <f ca="1">IF(ISERROR(VLOOKUP($B103,OFFSET(INDIRECT(""&amp;$B$29&amp;"!$A$4"),0,0,200,100),MATCH(G$30,INDIRECT(""&amp;$B$29&amp;"!$A$4"):INDIRECT(""&amp;$B$29&amp;"!$o$4"),0),FALSE)),"",VLOOKUP($B103,OFFSET(INDIRECT(""&amp;$B$29&amp;"!$A$4"),0,0,200,100),MATCH(G$30,INDIRECT(""&amp;$B$29&amp;"!$A$4"):INDIRECT(""&amp;$B$29&amp;"!$o$4"),0),FALSE))</f>
        <v>23497.82116</v>
      </c>
      <c r="H103" s="90">
        <f ca="1">IF(ISERROR(VLOOKUP($B103,OFFSET(INDIRECT(""&amp;$B$29&amp;"!$A$4"),0,0,200,100),MATCH(H$30,INDIRECT(""&amp;$B$29&amp;"!$A$4"):INDIRECT(""&amp;$B$29&amp;"!$o$4"),0),FALSE)),"",VLOOKUP($B103,OFFSET(INDIRECT(""&amp;$B$29&amp;"!$A$4"),0,0,200,100),MATCH(H$30,INDIRECT(""&amp;$B$29&amp;"!$A$4"):INDIRECT(""&amp;$B$29&amp;"!$o$4"),0),FALSE))</f>
        <v>15702.00764</v>
      </c>
      <c r="I103" s="90">
        <f ca="1">IF(ISERROR(VLOOKUP($B103,OFFSET(INDIRECT(""&amp;$B$29&amp;"!$A$4"),0,0,200,100),MATCH(I$30,INDIRECT(""&amp;$B$29&amp;"!$A$4"):INDIRECT(""&amp;$B$29&amp;"!$o$4"),0),FALSE)),"",VLOOKUP($B103,OFFSET(INDIRECT(""&amp;$B$29&amp;"!$A$4"),0,0,200,100),MATCH(I$30,INDIRECT(""&amp;$B$29&amp;"!$A$4"):INDIRECT(""&amp;$B$29&amp;"!$o$4"),0),FALSE))</f>
        <v>8436.5696470000003</v>
      </c>
      <c r="J103" s="90">
        <f ca="1">IF(ISERROR(VLOOKUP($B103,OFFSET(INDIRECT(""&amp;$B$29&amp;"!$A$4"),0,0,200,100),MATCH(J$30,INDIRECT(""&amp;$B$29&amp;"!$A$4"):INDIRECT(""&amp;$B$29&amp;"!$o$4"),0),FALSE)),"",VLOOKUP($B103,OFFSET(INDIRECT(""&amp;$B$29&amp;"!$A$4"),0,0,200,100),MATCH(J$30,INDIRECT(""&amp;$B$29&amp;"!$A$4"):INDIRECT(""&amp;$B$29&amp;"!$o$4"),0),FALSE))</f>
        <v>8436.5696470000003</v>
      </c>
      <c r="K103" s="109" t="s">
        <v>198</v>
      </c>
      <c r="L103" s="90">
        <f ca="1">IF(ISERROR(VLOOKUP($K103,OFFSET(INDIRECT(""&amp;$S$29&amp;"!$A$4"),0,0,200,100),MATCH(L$30,INDIRECT(""&amp;$S$29&amp;"!$A$4"):INDIRECT(""&amp;$S$29&amp;"!$AA$4"),0),FALSE)),"",VLOOKUP($K103,OFFSET(INDIRECT(""&amp;$S$29&amp;"!$A$4"),0,0,200,100),MATCH(L$30,INDIRECT(""&amp;$S$29&amp;"!$A$4"):INDIRECT(""&amp;$S$29&amp;"!$AA$4"),0),FALSE))</f>
        <v>80778.776563000007</v>
      </c>
      <c r="M103" s="90">
        <f ca="1">IF(ISERROR(VLOOKUP($K103,OFFSET(INDIRECT(""&amp;$S$29&amp;"!$A$4"),0,0,200,100),MATCH(M$30,INDIRECT(""&amp;$S$29&amp;"!$A$4"):INDIRECT(""&amp;$S$29&amp;"!$AA$4"),0),FALSE)),"",VLOOKUP($K103,OFFSET(INDIRECT(""&amp;$S$29&amp;"!$A$4"),0,0,200,100),MATCH(M$30,INDIRECT(""&amp;$S$29&amp;"!$A$4"):INDIRECT(""&amp;$S$29&amp;"!$AA$4"),0),FALSE))</f>
        <v>34675.131215000001</v>
      </c>
      <c r="N103" s="90">
        <f ca="1">IF(ISERROR(VLOOKUP($K103,OFFSET(INDIRECT(""&amp;$S$29&amp;"!$A$4"),0,0,200,100),MATCH(N$30,INDIRECT(""&amp;$S$29&amp;"!$A$4"):INDIRECT(""&amp;$S$29&amp;"!$AA$4"),0),FALSE)),"",VLOOKUP($K103,OFFSET(INDIRECT(""&amp;$S$29&amp;"!$A$4"),0,0,200,100),MATCH(N$30,INDIRECT(""&amp;$S$29&amp;"!$A$4"):INDIRECT(""&amp;$S$29&amp;"!$AA$4"),0),FALSE))</f>
        <v>46932.072760000003</v>
      </c>
      <c r="O103" s="90">
        <f ca="1">IF(ISERROR(VLOOKUP($K103,OFFSET(INDIRECT(""&amp;$S$29&amp;"!$A$4"),0,0,200,100),MATCH(O$30,INDIRECT(""&amp;$S$29&amp;"!$A$4"):INDIRECT(""&amp;$S$29&amp;"!$AA$4"),0),FALSE)),"",VLOOKUP($K103,OFFSET(INDIRECT(""&amp;$S$29&amp;"!$A$4"),0,0,200,100),MATCH(O$30,INDIRECT(""&amp;$S$29&amp;"!$A$4"):INDIRECT(""&amp;$S$29&amp;"!$AA$4"),0),FALSE))</f>
        <v>54156.296962</v>
      </c>
      <c r="P103" s="90">
        <f ca="1">IF(ISERROR(VLOOKUP($K103,OFFSET(INDIRECT(""&amp;$S$29&amp;"!$A$4"),0,0,200,100),MATCH(P$30,INDIRECT(""&amp;$S$29&amp;"!$A$4"):INDIRECT(""&amp;$S$29&amp;"!$AA$4"),0),FALSE)),"",VLOOKUP($K103,OFFSET(INDIRECT(""&amp;$S$29&amp;"!$A$4"),0,0,200,100),MATCH(P$30,INDIRECT(""&amp;$S$29&amp;"!$A$4"):INDIRECT(""&amp;$S$29&amp;"!$AA$4"),0),FALSE))</f>
        <v>50011.969954</v>
      </c>
      <c r="Q103" s="90">
        <f ca="1">IF(ISERROR(VLOOKUP($K103,OFFSET(INDIRECT(""&amp;$S$29&amp;"!$A$4"),0,0,200,100),MATCH(Q$30,INDIRECT(""&amp;$S$29&amp;"!$A$4"):INDIRECT(""&amp;$S$29&amp;"!$AA$4"),0),FALSE)),"",VLOOKUP($K103,OFFSET(INDIRECT(""&amp;$S$29&amp;"!$A$4"),0,0,200,100),MATCH(Q$30,INDIRECT(""&amp;$S$29&amp;"!$A$4"):INDIRECT(""&amp;$S$29&amp;"!$AA$4"),0),FALSE))</f>
        <v>22700.978737000001</v>
      </c>
      <c r="R103" s="90">
        <f ca="1">IF(ISERROR(VLOOKUP($K103,OFFSET(INDIRECT(""&amp;$S$29&amp;"!$A$4"),0,0,200,100),MATCH(R$30,INDIRECT(""&amp;$S$29&amp;"!$A$4"):INDIRECT(""&amp;$S$29&amp;"!$AA$4"),0),FALSE)),"",VLOOKUP($K103,OFFSET(INDIRECT(""&amp;$S$29&amp;"!$A$4"),0,0,200,100),MATCH(R$30,INDIRECT(""&amp;$S$29&amp;"!$A$4"):INDIRECT(""&amp;$S$29&amp;"!$AA$4"),0),FALSE))</f>
        <v>30014.628360999999</v>
      </c>
      <c r="S103" s="90">
        <f ca="1">IF(ISERROR(VLOOKUP($K103,OFFSET(INDIRECT(""&amp;$S$29&amp;"!$A$4"),0,0,200,100),MATCH(S$30,INDIRECT(""&amp;$S$29&amp;"!$A$4"):INDIRECT(""&amp;$S$29&amp;"!$AA$4"),0),FALSE)),"",VLOOKUP($K103,OFFSET(INDIRECT(""&amp;$S$29&amp;"!$A$4"),0,0,200,100),MATCH(S$30,INDIRECT(""&amp;$S$29&amp;"!$A$4"):INDIRECT(""&amp;$S$29&amp;"!$AA$4"),0),FALSE))</f>
        <v>44942.859891</v>
      </c>
      <c r="T103" s="90">
        <f ca="1">IF(ISERROR(VLOOKUP($K103,OFFSET(INDIRECT(""&amp;$S$29&amp;"!$A$4"),0,0,200,100),MATCH(T$30,INDIRECT(""&amp;$S$29&amp;"!$A$4"):INDIRECT(""&amp;$S$29&amp;"!$AA$4"),0),FALSE)),"",VLOOKUP($K103,OFFSET(INDIRECT(""&amp;$S$29&amp;"!$A$4"),0,0,200,100),MATCH(T$30,INDIRECT(""&amp;$S$29&amp;"!$A$4"):INDIRECT(""&amp;$S$29&amp;"!$AA$4"),0),FALSE))</f>
        <v>24808.78311</v>
      </c>
      <c r="U103" s="90">
        <f ca="1">IF(ISERROR(VLOOKUP($K103,OFFSET(INDIRECT(""&amp;$S$29&amp;"!$A$4"),0,0,200,100),MATCH(U$30,INDIRECT(""&amp;$S$29&amp;"!$A$4"):INDIRECT(""&amp;$S$29&amp;"!$AA$4"),0),FALSE)),"",VLOOKUP($K103,OFFSET(INDIRECT(""&amp;$S$29&amp;"!$A$4"),0,0,200,100),MATCH(U$30,INDIRECT(""&amp;$S$29&amp;"!$A$4"):INDIRECT(""&amp;$S$29&amp;"!$AA$4"),0),FALSE))</f>
        <v>9153.6777839999995</v>
      </c>
      <c r="V103" s="90">
        <f ca="1">IF(ISERROR(VLOOKUP($K103,OFFSET(INDIRECT(""&amp;$S$29&amp;"!$A$4"),0,0,200,100),MATCH(V$30,INDIRECT(""&amp;$S$29&amp;"!$A$4"):INDIRECT(""&amp;$S$29&amp;"!$AA$4"),0),FALSE)),"",VLOOKUP($K103,OFFSET(INDIRECT(""&amp;$S$29&amp;"!$A$4"),0,0,200,100),MATCH(V$30,INDIRECT(""&amp;$S$29&amp;"!$A$4"):INDIRECT(""&amp;$S$29&amp;"!$AA$4"),0),FALSE))</f>
        <v>15011.019832</v>
      </c>
      <c r="W103" s="90">
        <f ca="1">IF(ISERROR(VLOOKUP($K103,OFFSET(INDIRECT(""&amp;$S$29&amp;"!$A$4"),0,0,200,100),MATCH(W$30,INDIRECT(""&amp;$S$29&amp;"!$A$4"):INDIRECT(""&amp;$S$29&amp;"!$AA$4"),0),FALSE)),"",VLOOKUP($K103,OFFSET(INDIRECT(""&amp;$S$29&amp;"!$A$4"),0,0,200,100),MATCH(W$30,INDIRECT(""&amp;$S$29&amp;"!$A$4"):INDIRECT(""&amp;$S$29&amp;"!$AA$4"),0),FALSE))</f>
        <v>16121.693526999999</v>
      </c>
      <c r="X103" s="90">
        <f ca="1">IF(ISERROR(VLOOKUP($K103,OFFSET(INDIRECT(""&amp;$S$29&amp;"!$A$4"),0,0,200,100),MATCH(X$30,INDIRECT(""&amp;$S$29&amp;"!$A$4"):INDIRECT(""&amp;$S$29&amp;"!$AA$4"),0),FALSE)),"",VLOOKUP($K103,OFFSET(INDIRECT(""&amp;$S$29&amp;"!$A$4"),0,0,200,100),MATCH(X$30,INDIRECT(""&amp;$S$29&amp;"!$A$4"):INDIRECT(""&amp;$S$29&amp;"!$AA$4"),0),FALSE))</f>
        <v>17677.773426</v>
      </c>
      <c r="Y103" s="90">
        <f ca="1">IF(ISERROR(VLOOKUP($K103,OFFSET(INDIRECT(""&amp;$S$29&amp;"!$A$4"),0,0,200,100),MATCH(Y$30,INDIRECT(""&amp;$S$29&amp;"!$A$4"):INDIRECT(""&amp;$S$29&amp;"!$AA$4"),0),FALSE)),"",VLOOKUP($K103,OFFSET(INDIRECT(""&amp;$S$29&amp;"!$A$4"),0,0,200,100),MATCH(Y$30,INDIRECT(""&amp;$S$29&amp;"!$A$4"):INDIRECT(""&amp;$S$29&amp;"!$AA$4"),0),FALSE))</f>
        <v>837.97248100000002</v>
      </c>
      <c r="Z103" s="90">
        <f ca="1">IF(ISERROR(VLOOKUP($K103,OFFSET(INDIRECT(""&amp;$S$29&amp;"!$A$4"),0,0,200,100),MATCH(Z$30,INDIRECT(""&amp;$S$29&amp;"!$A$4"):INDIRECT(""&amp;$S$29&amp;"!$AA$4"),0),FALSE)),"",VLOOKUP($K103,OFFSET(INDIRECT(""&amp;$S$29&amp;"!$A$4"),0,0,200,100),MATCH(Z$30,INDIRECT(""&amp;$S$29&amp;"!$A$4"):INDIRECT(""&amp;$S$29&amp;"!$AA$4"),0),FALSE))</f>
        <v>7292.7069160000001</v>
      </c>
      <c r="AA103" s="90">
        <f t="shared" ca="1" si="81"/>
        <v>837.97248100000002</v>
      </c>
      <c r="AB103" s="110"/>
      <c r="AC103" s="99">
        <f t="shared" ca="1" si="66"/>
        <v>0.19465235713690865</v>
      </c>
      <c r="AD103" s="99">
        <f t="shared" ca="1" si="67"/>
        <v>0.1033564195719967</v>
      </c>
      <c r="AE103" s="99">
        <f t="shared" ca="1" si="68"/>
        <v>6.1569989274301226E-2</v>
      </c>
      <c r="AF103" s="99">
        <f t="shared" ca="1" si="69"/>
        <v>4.2879119398791098E-2</v>
      </c>
      <c r="AG103" s="99">
        <f t="shared" ref="AG103:AH106" ca="1" si="82">IF(I103="","",I103/I$31)</f>
        <v>2.4754438548302334E-2</v>
      </c>
      <c r="AH103" s="99">
        <f t="shared" ca="1" si="82"/>
        <v>2.4754438548302334E-2</v>
      </c>
      <c r="AI103" s="145"/>
      <c r="AJ103" s="99">
        <f t="shared" ca="1" si="71"/>
        <v>0.13822628444832946</v>
      </c>
      <c r="AK103" s="99">
        <f t="shared" ca="1" si="72"/>
        <v>0.12860523265666762</v>
      </c>
      <c r="AL103" s="99">
        <f t="shared" ca="1" si="73"/>
        <v>5.4867709124919749E-2</v>
      </c>
      <c r="AM103" s="99">
        <f t="shared" ca="1" si="74"/>
        <v>7.5529771556485673E-2</v>
      </c>
      <c r="AN103" s="99">
        <f t="shared" ca="1" si="75"/>
        <v>0.11151677350949636</v>
      </c>
      <c r="AO103" s="99">
        <f t="shared" ref="AO103:AS106" ca="1" si="83">IF(T103="","",T103/T$31)</f>
        <v>6.5406774358485353E-2</v>
      </c>
      <c r="AP103" s="99">
        <f t="shared" ca="1" si="83"/>
        <v>2.4833793523441075E-2</v>
      </c>
      <c r="AQ103" s="99">
        <f t="shared" ca="1" si="83"/>
        <v>4.1580216906221004E-2</v>
      </c>
      <c r="AR103" s="99">
        <f t="shared" ca="1" si="83"/>
        <v>4.3948539988168861E-2</v>
      </c>
      <c r="AS103" s="99">
        <f t="shared" ca="1" si="83"/>
        <v>4.7943176768709378E-2</v>
      </c>
      <c r="AT103" s="99">
        <f t="shared" ca="1" si="77"/>
        <v>2.4775500278793705E-3</v>
      </c>
      <c r="AU103" s="99">
        <f t="shared" ca="1" si="77"/>
        <v>2.1654536290265751E-2</v>
      </c>
      <c r="AV103" s="99">
        <f t="shared" ca="1" si="78"/>
        <v>2.4775500278793705E-3</v>
      </c>
    </row>
    <row r="104" spans="1:58" s="108" customFormat="1" ht="15.95" customHeight="1">
      <c r="A104" s="113" t="s">
        <v>298</v>
      </c>
      <c r="B104" s="111"/>
      <c r="C104" s="90" t="str">
        <f ca="1">IF(ISERROR(VLOOKUP($B104,OFFSET(INDIRECT(""&amp;$B$29&amp;"!$A$4"),0,0,200,100),MATCH(C$30,INDIRECT(""&amp;$B$29&amp;"!$A$4"):INDIRECT(""&amp;$B$29&amp;"!$o$4"),0),FALSE)),"",VLOOKUP($B104,OFFSET(INDIRECT(""&amp;$B$29&amp;"!$A$4"),0,0,200,100),MATCH(C$30,INDIRECT(""&amp;$B$29&amp;"!$A$4"):INDIRECT(""&amp;$B$29&amp;"!$o$4"),0),FALSE))</f>
        <v/>
      </c>
      <c r="D104" s="90" t="str">
        <f ca="1">IF(ISERROR(VLOOKUP($B104,OFFSET(INDIRECT(""&amp;$B$29&amp;"!$A$4"),0,0,200,100),MATCH(D$30,INDIRECT(""&amp;$B$29&amp;"!$A$4"):INDIRECT(""&amp;$B$29&amp;"!$o$4"),0),FALSE)),"",VLOOKUP($B104,OFFSET(INDIRECT(""&amp;$B$29&amp;"!$A$4"),0,0,200,100),MATCH(D$30,INDIRECT(""&amp;$B$29&amp;"!$A$4"):INDIRECT(""&amp;$B$29&amp;"!$o$4"),0),FALSE))</f>
        <v/>
      </c>
      <c r="E104" s="90" t="str">
        <f ca="1">IF(ISERROR(VLOOKUP($B104,OFFSET(INDIRECT(""&amp;$B$29&amp;"!$A$4"),0,0,200,100),MATCH(E$30,INDIRECT(""&amp;$B$29&amp;"!$A$4"):INDIRECT(""&amp;$B$29&amp;"!$o$4"),0),FALSE)),"",VLOOKUP($B104,OFFSET(INDIRECT(""&amp;$B$29&amp;"!$A$4"),0,0,200,100),MATCH(E$30,INDIRECT(""&amp;$B$29&amp;"!$A$4"):INDIRECT(""&amp;$B$29&amp;"!$o$4"),0),FALSE))</f>
        <v/>
      </c>
      <c r="F104" s="90" t="str">
        <f ca="1">IF(ISERROR(VLOOKUP($B104,OFFSET(INDIRECT(""&amp;$B$29&amp;"!$A$4"),0,0,200,100),MATCH(F$30,INDIRECT(""&amp;$B$29&amp;"!$A$4"):INDIRECT(""&amp;$B$29&amp;"!$o$4"),0),FALSE)),"",VLOOKUP($B104,OFFSET(INDIRECT(""&amp;$B$29&amp;"!$A$4"),0,0,200,100),MATCH(F$30,INDIRECT(""&amp;$B$29&amp;"!$A$4"):INDIRECT(""&amp;$B$29&amp;"!$o$4"),0),FALSE))</f>
        <v/>
      </c>
      <c r="G104" s="90" t="str">
        <f ca="1">IF(ISERROR(VLOOKUP($B104,OFFSET(INDIRECT(""&amp;$B$29&amp;"!$A$4"),0,0,200,100),MATCH(G$30,INDIRECT(""&amp;$B$29&amp;"!$A$4"):INDIRECT(""&amp;$B$29&amp;"!$o$4"),0),FALSE)),"",VLOOKUP($B104,OFFSET(INDIRECT(""&amp;$B$29&amp;"!$A$4"),0,0,200,100),MATCH(G$30,INDIRECT(""&amp;$B$29&amp;"!$A$4"):INDIRECT(""&amp;$B$29&amp;"!$o$4"),0),FALSE))</f>
        <v/>
      </c>
      <c r="H104" s="90" t="str">
        <f ca="1">IF(ISERROR(VLOOKUP($B104,OFFSET(INDIRECT(""&amp;$B$29&amp;"!$A$4"),0,0,200,100),MATCH(H$30,INDIRECT(""&amp;$B$29&amp;"!$A$4"):INDIRECT(""&amp;$B$29&amp;"!$o$4"),0),FALSE)),"",VLOOKUP($B104,OFFSET(INDIRECT(""&amp;$B$29&amp;"!$A$4"),0,0,200,100),MATCH(H$30,INDIRECT(""&amp;$B$29&amp;"!$A$4"):INDIRECT(""&amp;$B$29&amp;"!$o$4"),0),FALSE))</f>
        <v/>
      </c>
      <c r="I104" s="90" t="str">
        <f ca="1">IF(ISERROR(VLOOKUP($B104,OFFSET(INDIRECT(""&amp;$B$29&amp;"!$A$4"),0,0,200,100),MATCH(I$30,INDIRECT(""&amp;$B$29&amp;"!$A$4"):INDIRECT(""&amp;$B$29&amp;"!$o$4"),0),FALSE)),"",VLOOKUP($B104,OFFSET(INDIRECT(""&amp;$B$29&amp;"!$A$4"),0,0,200,100),MATCH(I$30,INDIRECT(""&amp;$B$29&amp;"!$A$4"):INDIRECT(""&amp;$B$29&amp;"!$o$4"),0),FALSE))</f>
        <v/>
      </c>
      <c r="J104" s="90" t="str">
        <f ca="1">IF(ISERROR(VLOOKUP($B104,OFFSET(INDIRECT(""&amp;$B$29&amp;"!$A$4"),0,0,200,100),MATCH(J$30,INDIRECT(""&amp;$B$29&amp;"!$A$4"):INDIRECT(""&amp;$B$29&amp;"!$o$4"),0),FALSE)),"",VLOOKUP($B104,OFFSET(INDIRECT(""&amp;$B$29&amp;"!$A$4"),0,0,200,100),MATCH(J$30,INDIRECT(""&amp;$B$29&amp;"!$A$4"):INDIRECT(""&amp;$B$29&amp;"!$o$4"),0),FALSE))</f>
        <v/>
      </c>
      <c r="K104" s="109"/>
      <c r="L104" s="90" t="str">
        <f ca="1">IF(ISERROR(VLOOKUP($K104,OFFSET(INDIRECT(""&amp;$S$29&amp;"!$A$4"),0,0,200,100),MATCH(L$30,INDIRECT(""&amp;$S$29&amp;"!$A$4"):INDIRECT(""&amp;$S$29&amp;"!$AA$4"),0),FALSE)),"",VLOOKUP($K104,OFFSET(INDIRECT(""&amp;$S$29&amp;"!$A$4"),0,0,200,100),MATCH(L$30,INDIRECT(""&amp;$S$29&amp;"!$A$4"):INDIRECT(""&amp;$S$29&amp;"!$AA$4"),0),FALSE))</f>
        <v/>
      </c>
      <c r="M104" s="90" t="str">
        <f ca="1">IF(ISERROR(VLOOKUP($K104,OFFSET(INDIRECT(""&amp;$S$29&amp;"!$A$4"),0,0,200,100),MATCH(M$30,INDIRECT(""&amp;$S$29&amp;"!$A$4"):INDIRECT(""&amp;$S$29&amp;"!$AA$4"),0),FALSE)),"",VLOOKUP($K104,OFFSET(INDIRECT(""&amp;$S$29&amp;"!$A$4"),0,0,200,100),MATCH(M$30,INDIRECT(""&amp;$S$29&amp;"!$A$4"):INDIRECT(""&amp;$S$29&amp;"!$AA$4"),0),FALSE))</f>
        <v/>
      </c>
      <c r="N104" s="90" t="str">
        <f ca="1">IF(ISERROR(VLOOKUP($K104,OFFSET(INDIRECT(""&amp;$S$29&amp;"!$A$4"),0,0,200,100),MATCH(N$30,INDIRECT(""&amp;$S$29&amp;"!$A$4"):INDIRECT(""&amp;$S$29&amp;"!$AA$4"),0),FALSE)),"",VLOOKUP($K104,OFFSET(INDIRECT(""&amp;$S$29&amp;"!$A$4"),0,0,200,100),MATCH(N$30,INDIRECT(""&amp;$S$29&amp;"!$A$4"):INDIRECT(""&amp;$S$29&amp;"!$AA$4"),0),FALSE))</f>
        <v/>
      </c>
      <c r="O104" s="90" t="str">
        <f ca="1">IF(ISERROR(VLOOKUP($K104,OFFSET(INDIRECT(""&amp;$S$29&amp;"!$A$4"),0,0,200,100),MATCH(O$30,INDIRECT(""&amp;$S$29&amp;"!$A$4"):INDIRECT(""&amp;$S$29&amp;"!$AA$4"),0),FALSE)),"",VLOOKUP($K104,OFFSET(INDIRECT(""&amp;$S$29&amp;"!$A$4"),0,0,200,100),MATCH(O$30,INDIRECT(""&amp;$S$29&amp;"!$A$4"):INDIRECT(""&amp;$S$29&amp;"!$AA$4"),0),FALSE))</f>
        <v/>
      </c>
      <c r="P104" s="90" t="str">
        <f ca="1">IF(ISERROR(VLOOKUP($K104,OFFSET(INDIRECT(""&amp;$S$29&amp;"!$A$4"),0,0,200,100),MATCH(P$30,INDIRECT(""&amp;$S$29&amp;"!$A$4"):INDIRECT(""&amp;$S$29&amp;"!$AA$4"),0),FALSE)),"",VLOOKUP($K104,OFFSET(INDIRECT(""&amp;$S$29&amp;"!$A$4"),0,0,200,100),MATCH(P$30,INDIRECT(""&amp;$S$29&amp;"!$A$4"):INDIRECT(""&amp;$S$29&amp;"!$AA$4"),0),FALSE))</f>
        <v/>
      </c>
      <c r="Q104" s="90" t="str">
        <f ca="1">IF(ISERROR(VLOOKUP($K104,OFFSET(INDIRECT(""&amp;$S$29&amp;"!$A$4"),0,0,200,100),MATCH(Q$30,INDIRECT(""&amp;$S$29&amp;"!$A$4"):INDIRECT(""&amp;$S$29&amp;"!$AA$4"),0),FALSE)),"",VLOOKUP($K104,OFFSET(INDIRECT(""&amp;$S$29&amp;"!$A$4"),0,0,200,100),MATCH(Q$30,INDIRECT(""&amp;$S$29&amp;"!$A$4"):INDIRECT(""&amp;$S$29&amp;"!$AA$4"),0),FALSE))</f>
        <v/>
      </c>
      <c r="R104" s="90" t="str">
        <f ca="1">IF(ISERROR(VLOOKUP($K104,OFFSET(INDIRECT(""&amp;$S$29&amp;"!$A$4"),0,0,200,100),MATCH(R$30,INDIRECT(""&amp;$S$29&amp;"!$A$4"):INDIRECT(""&amp;$S$29&amp;"!$AA$4"),0),FALSE)),"",VLOOKUP($K104,OFFSET(INDIRECT(""&amp;$S$29&amp;"!$A$4"),0,0,200,100),MATCH(R$30,INDIRECT(""&amp;$S$29&amp;"!$A$4"):INDIRECT(""&amp;$S$29&amp;"!$AA$4"),0),FALSE))</f>
        <v/>
      </c>
      <c r="S104" s="90" t="str">
        <f ca="1">IF(ISERROR(VLOOKUP($K104,OFFSET(INDIRECT(""&amp;$S$29&amp;"!$A$4"),0,0,200,100),MATCH(S$30,INDIRECT(""&amp;$S$29&amp;"!$A$4"):INDIRECT(""&amp;$S$29&amp;"!$AA$4"),0),FALSE)),"",VLOOKUP($K104,OFFSET(INDIRECT(""&amp;$S$29&amp;"!$A$4"),0,0,200,100),MATCH(S$30,INDIRECT(""&amp;$S$29&amp;"!$A$4"):INDIRECT(""&amp;$S$29&amp;"!$AA$4"),0),FALSE))</f>
        <v/>
      </c>
      <c r="T104" s="90" t="str">
        <f ca="1">IF(ISERROR(VLOOKUP($K104,OFFSET(INDIRECT(""&amp;$S$29&amp;"!$A$4"),0,0,200,100),MATCH(T$30,INDIRECT(""&amp;$S$29&amp;"!$A$4"):INDIRECT(""&amp;$S$29&amp;"!$AA$4"),0),FALSE)),"",VLOOKUP($K104,OFFSET(INDIRECT(""&amp;$S$29&amp;"!$A$4"),0,0,200,100),MATCH(T$30,INDIRECT(""&amp;$S$29&amp;"!$A$4"):INDIRECT(""&amp;$S$29&amp;"!$AA$4"),0),FALSE))</f>
        <v/>
      </c>
      <c r="U104" s="90" t="str">
        <f ca="1">IF(ISERROR(VLOOKUP($K104,OFFSET(INDIRECT(""&amp;$S$29&amp;"!$A$4"),0,0,200,100),MATCH(U$30,INDIRECT(""&amp;$S$29&amp;"!$A$4"):INDIRECT(""&amp;$S$29&amp;"!$AA$4"),0),FALSE)),"",VLOOKUP($K104,OFFSET(INDIRECT(""&amp;$S$29&amp;"!$A$4"),0,0,200,100),MATCH(U$30,INDIRECT(""&amp;$S$29&amp;"!$A$4"):INDIRECT(""&amp;$S$29&amp;"!$AA$4"),0),FALSE))</f>
        <v/>
      </c>
      <c r="V104" s="90" t="str">
        <f ca="1">IF(ISERROR(VLOOKUP($K104,OFFSET(INDIRECT(""&amp;$S$29&amp;"!$A$4"),0,0,200,100),MATCH(V$30,INDIRECT(""&amp;$S$29&amp;"!$A$4"):INDIRECT(""&amp;$S$29&amp;"!$AA$4"),0),FALSE)),"",VLOOKUP($K104,OFFSET(INDIRECT(""&amp;$S$29&amp;"!$A$4"),0,0,200,100),MATCH(V$30,INDIRECT(""&amp;$S$29&amp;"!$A$4"):INDIRECT(""&amp;$S$29&amp;"!$AA$4"),0),FALSE))</f>
        <v/>
      </c>
      <c r="W104" s="90" t="str">
        <f ca="1">IF(ISERROR(VLOOKUP($K104,OFFSET(INDIRECT(""&amp;$S$29&amp;"!$A$4"),0,0,200,100),MATCH(W$30,INDIRECT(""&amp;$S$29&amp;"!$A$4"):INDIRECT(""&amp;$S$29&amp;"!$AA$4"),0),FALSE)),"",VLOOKUP($K104,OFFSET(INDIRECT(""&amp;$S$29&amp;"!$A$4"),0,0,200,100),MATCH(W$30,INDIRECT(""&amp;$S$29&amp;"!$A$4"):INDIRECT(""&amp;$S$29&amp;"!$AA$4"),0),FALSE))</f>
        <v/>
      </c>
      <c r="X104" s="90" t="str">
        <f ca="1">IF(ISERROR(VLOOKUP($K104,OFFSET(INDIRECT(""&amp;$S$29&amp;"!$A$4"),0,0,200,100),MATCH(X$30,INDIRECT(""&amp;$S$29&amp;"!$A$4"):INDIRECT(""&amp;$S$29&amp;"!$AA$4"),0),FALSE)),"",VLOOKUP($K104,OFFSET(INDIRECT(""&amp;$S$29&amp;"!$A$4"),0,0,200,100),MATCH(X$30,INDIRECT(""&amp;$S$29&amp;"!$A$4"):INDIRECT(""&amp;$S$29&amp;"!$AA$4"),0),FALSE))</f>
        <v/>
      </c>
      <c r="Y104" s="90" t="str">
        <f ca="1">IF(ISERROR(VLOOKUP($K104,OFFSET(INDIRECT(""&amp;$S$29&amp;"!$A$4"),0,0,200,100),MATCH(Y$30,INDIRECT(""&amp;$S$29&amp;"!$A$4"):INDIRECT(""&amp;$S$29&amp;"!$AA$4"),0),FALSE)),"",VLOOKUP($K104,OFFSET(INDIRECT(""&amp;$S$29&amp;"!$A$4"),0,0,200,100),MATCH(Y$30,INDIRECT(""&amp;$S$29&amp;"!$A$4"):INDIRECT(""&amp;$S$29&amp;"!$AA$4"),0),FALSE))</f>
        <v/>
      </c>
      <c r="Z104" s="90" t="str">
        <f ca="1">IF(ISERROR(VLOOKUP($K104,OFFSET(INDIRECT(""&amp;$S$29&amp;"!$A$4"),0,0,200,100),MATCH(Z$30,INDIRECT(""&amp;$S$29&amp;"!$A$4"):INDIRECT(""&amp;$S$29&amp;"!$AA$4"),0),FALSE)),"",VLOOKUP($K104,OFFSET(INDIRECT(""&amp;$S$29&amp;"!$A$4"),0,0,200,100),MATCH(Z$30,INDIRECT(""&amp;$S$29&amp;"!$A$4"):INDIRECT(""&amp;$S$29&amp;"!$AA$4"),0),FALSE))</f>
        <v/>
      </c>
      <c r="AA104" s="90" t="str">
        <f t="shared" ca="1" si="81"/>
        <v/>
      </c>
      <c r="AB104" s="110"/>
      <c r="AC104" s="99" t="str">
        <f t="shared" ca="1" si="66"/>
        <v/>
      </c>
      <c r="AD104" s="99" t="str">
        <f t="shared" ca="1" si="67"/>
        <v/>
      </c>
      <c r="AE104" s="99" t="str">
        <f t="shared" ca="1" si="68"/>
        <v/>
      </c>
      <c r="AF104" s="99" t="str">
        <f t="shared" ca="1" si="69"/>
        <v/>
      </c>
      <c r="AG104" s="99" t="str">
        <f t="shared" ca="1" si="82"/>
        <v/>
      </c>
      <c r="AH104" s="99" t="str">
        <f t="shared" ca="1" si="82"/>
        <v/>
      </c>
      <c r="AI104" s="145"/>
      <c r="AJ104" s="99" t="str">
        <f t="shared" ca="1" si="71"/>
        <v/>
      </c>
      <c r="AK104" s="99" t="str">
        <f t="shared" ca="1" si="72"/>
        <v/>
      </c>
      <c r="AL104" s="99" t="str">
        <f t="shared" ca="1" si="73"/>
        <v/>
      </c>
      <c r="AM104" s="99" t="str">
        <f t="shared" ca="1" si="74"/>
        <v/>
      </c>
      <c r="AN104" s="99" t="str">
        <f t="shared" ca="1" si="75"/>
        <v/>
      </c>
      <c r="AO104" s="99" t="str">
        <f t="shared" ca="1" si="83"/>
        <v/>
      </c>
      <c r="AP104" s="99" t="str">
        <f t="shared" ca="1" si="83"/>
        <v/>
      </c>
      <c r="AQ104" s="99" t="str">
        <f t="shared" ca="1" si="83"/>
        <v/>
      </c>
      <c r="AR104" s="99" t="str">
        <f t="shared" ca="1" si="83"/>
        <v/>
      </c>
      <c r="AS104" s="99" t="str">
        <f t="shared" ca="1" si="83"/>
        <v/>
      </c>
      <c r="AT104" s="99" t="str">
        <f t="shared" ca="1" si="77"/>
        <v/>
      </c>
      <c r="AU104" s="99" t="str">
        <f t="shared" ca="1" si="77"/>
        <v/>
      </c>
      <c r="AV104" s="99" t="str">
        <f t="shared" ca="1" si="78"/>
        <v/>
      </c>
    </row>
    <row r="105" spans="1:58" s="112" customFormat="1" ht="15.95" customHeight="1">
      <c r="A105" s="85" t="s">
        <v>299</v>
      </c>
      <c r="B105" s="116" t="s">
        <v>199</v>
      </c>
      <c r="C105" s="76">
        <f ca="1">IF(ISERROR(VLOOKUP($B105,OFFSET(INDIRECT(""&amp;$B$29&amp;"!$A$4"),0,0,200,100),MATCH(C$30,INDIRECT(""&amp;$B$29&amp;"!$A$4"):INDIRECT(""&amp;$B$29&amp;"!$o$4"),0),FALSE)),"",VLOOKUP($B105,OFFSET(INDIRECT(""&amp;$B$29&amp;"!$A$4"),0,0,200,100),MATCH(C$30,INDIRECT(""&amp;$B$29&amp;"!$A$4"):INDIRECT(""&amp;$B$29&amp;"!$o$4"),0),FALSE))</f>
        <v>-711.76484500000004</v>
      </c>
      <c r="D105" s="76">
        <f ca="1">IF(ISERROR(VLOOKUP($B105,OFFSET(INDIRECT(""&amp;$B$29&amp;"!$A$4"),0,0,200,100),MATCH(D$30,INDIRECT(""&amp;$B$29&amp;"!$A$4"):INDIRECT(""&amp;$B$29&amp;"!$o$4"),0),FALSE)),"",VLOOKUP($B105,OFFSET(INDIRECT(""&amp;$B$29&amp;"!$A$4"),0,0,200,100),MATCH(D$30,INDIRECT(""&amp;$B$29&amp;"!$A$4"):INDIRECT(""&amp;$B$29&amp;"!$o$4"),0),FALSE))</f>
        <v>-1605.116066</v>
      </c>
      <c r="E105" s="76">
        <f ca="1">IF(ISERROR(VLOOKUP($B105,OFFSET(INDIRECT(""&amp;$B$29&amp;"!$A$4"),0,0,200,100),MATCH(E$30,INDIRECT(""&amp;$B$29&amp;"!$A$4"):INDIRECT(""&amp;$B$29&amp;"!$o$4"),0),FALSE)),"",VLOOKUP($B105,OFFSET(INDIRECT(""&amp;$B$29&amp;"!$A$4"),0,0,200,100),MATCH(E$30,INDIRECT(""&amp;$B$29&amp;"!$A$4"):INDIRECT(""&amp;$B$29&amp;"!$o$4"),0),FALSE))</f>
        <v>0</v>
      </c>
      <c r="F105" s="76">
        <f ca="1">IF(ISERROR(VLOOKUP($B105,OFFSET(INDIRECT(""&amp;$B$29&amp;"!$A$4"),0,0,200,100),MATCH(F$30,INDIRECT(""&amp;$B$29&amp;"!$A$4"):INDIRECT(""&amp;$B$29&amp;"!$o$4"),0),FALSE)),"",VLOOKUP($B105,OFFSET(INDIRECT(""&amp;$B$29&amp;"!$A$4"),0,0,200,100),MATCH(F$30,INDIRECT(""&amp;$B$29&amp;"!$A$4"):INDIRECT(""&amp;$B$29&amp;"!$o$4"),0),FALSE))</f>
        <v>0</v>
      </c>
      <c r="G105" s="76">
        <f ca="1">IF(ISERROR(VLOOKUP($B105,OFFSET(INDIRECT(""&amp;$B$29&amp;"!$A$4"),0,0,200,100),MATCH(G$30,INDIRECT(""&amp;$B$29&amp;"!$A$4"):INDIRECT(""&amp;$B$29&amp;"!$o$4"),0),FALSE)),"",VLOOKUP($B105,OFFSET(INDIRECT(""&amp;$B$29&amp;"!$A$4"),0,0,200,100),MATCH(G$30,INDIRECT(""&amp;$B$29&amp;"!$A$4"):INDIRECT(""&amp;$B$29&amp;"!$o$4"),0),FALSE))</f>
        <v>0</v>
      </c>
      <c r="H105" s="76">
        <f ca="1">IF(ISERROR(VLOOKUP($B105,OFFSET(INDIRECT(""&amp;$B$29&amp;"!$A$4"),0,0,200,100),MATCH(H$30,INDIRECT(""&amp;$B$29&amp;"!$A$4"):INDIRECT(""&amp;$B$29&amp;"!$o$4"),0),FALSE)),"",VLOOKUP($B105,OFFSET(INDIRECT(""&amp;$B$29&amp;"!$A$4"),0,0,200,100),MATCH(H$30,INDIRECT(""&amp;$B$29&amp;"!$A$4"):INDIRECT(""&amp;$B$29&amp;"!$o$4"),0),FALSE))</f>
        <v>0</v>
      </c>
      <c r="I105" s="76">
        <f ca="1">IF(ISERROR(VLOOKUP($B105,OFFSET(INDIRECT(""&amp;$B$29&amp;"!$A$4"),0,0,200,100),MATCH(I$30,INDIRECT(""&amp;$B$29&amp;"!$A$4"):INDIRECT(""&amp;$B$29&amp;"!$o$4"),0),FALSE)),"",VLOOKUP($B105,OFFSET(INDIRECT(""&amp;$B$29&amp;"!$A$4"),0,0,200,100),MATCH(I$30,INDIRECT(""&amp;$B$29&amp;"!$A$4"):INDIRECT(""&amp;$B$29&amp;"!$o$4"),0),FALSE))</f>
        <v>0</v>
      </c>
      <c r="J105" s="76">
        <f ca="1">IF(ISERROR(VLOOKUP($B105,OFFSET(INDIRECT(""&amp;$B$29&amp;"!$A$4"),0,0,200,100),MATCH(J$30,INDIRECT(""&amp;$B$29&amp;"!$A$4"):INDIRECT(""&amp;$B$29&amp;"!$o$4"),0),FALSE)),"",VLOOKUP($B105,OFFSET(INDIRECT(""&amp;$B$29&amp;"!$A$4"),0,0,200,100),MATCH(J$30,INDIRECT(""&amp;$B$29&amp;"!$A$4"):INDIRECT(""&amp;$B$29&amp;"!$o$4"),0),FALSE))</f>
        <v>0</v>
      </c>
      <c r="K105" s="114" t="s">
        <v>199</v>
      </c>
      <c r="L105" s="76">
        <f ca="1">IF(ISERROR(VLOOKUP($K105,OFFSET(INDIRECT(""&amp;$S$29&amp;"!$A$4"),0,0,200,100),MATCH(L$30,INDIRECT(""&amp;$S$29&amp;"!$A$4"):INDIRECT(""&amp;$S$29&amp;"!$AA$4"),0),FALSE)),"",VLOOKUP($K105,OFFSET(INDIRECT(""&amp;$S$29&amp;"!$A$4"),0,0,200,100),MATCH(L$30,INDIRECT(""&amp;$S$29&amp;"!$A$4"):INDIRECT(""&amp;$S$29&amp;"!$AA$4"),0),FALSE))</f>
        <v>0</v>
      </c>
      <c r="M105" s="76">
        <f ca="1">IF(ISERROR(VLOOKUP($K105,OFFSET(INDIRECT(""&amp;$S$29&amp;"!$A$4"),0,0,200,100),MATCH(M$30,INDIRECT(""&amp;$S$29&amp;"!$A$4"):INDIRECT(""&amp;$S$29&amp;"!$AA$4"),0),FALSE)),"",VLOOKUP($K105,OFFSET(INDIRECT(""&amp;$S$29&amp;"!$A$4"),0,0,200,100),MATCH(M$30,INDIRECT(""&amp;$S$29&amp;"!$A$4"):INDIRECT(""&amp;$S$29&amp;"!$AA$4"),0),FALSE))</f>
        <v>0</v>
      </c>
      <c r="N105" s="76">
        <f ca="1">IF(ISERROR(VLOOKUP($K105,OFFSET(INDIRECT(""&amp;$S$29&amp;"!$A$4"),0,0,200,100),MATCH(N$30,INDIRECT(""&amp;$S$29&amp;"!$A$4"):INDIRECT(""&amp;$S$29&amp;"!$AA$4"),0),FALSE)),"",VLOOKUP($K105,OFFSET(INDIRECT(""&amp;$S$29&amp;"!$A$4"),0,0,200,100),MATCH(N$30,INDIRECT(""&amp;$S$29&amp;"!$A$4"):INDIRECT(""&amp;$S$29&amp;"!$AA$4"),0),FALSE))</f>
        <v>0</v>
      </c>
      <c r="O105" s="76">
        <f ca="1">IF(ISERROR(VLOOKUP($K105,OFFSET(INDIRECT(""&amp;$S$29&amp;"!$A$4"),0,0,200,100),MATCH(O$30,INDIRECT(""&amp;$S$29&amp;"!$A$4"):INDIRECT(""&amp;$S$29&amp;"!$AA$4"),0),FALSE)),"",VLOOKUP($K105,OFFSET(INDIRECT(""&amp;$S$29&amp;"!$A$4"),0,0,200,100),MATCH(O$30,INDIRECT(""&amp;$S$29&amp;"!$A$4"):INDIRECT(""&amp;$S$29&amp;"!$AA$4"),0),FALSE))</f>
        <v>0</v>
      </c>
      <c r="P105" s="76">
        <f ca="1">IF(ISERROR(VLOOKUP($K105,OFFSET(INDIRECT(""&amp;$S$29&amp;"!$A$4"),0,0,200,100),MATCH(P$30,INDIRECT(""&amp;$S$29&amp;"!$A$4"):INDIRECT(""&amp;$S$29&amp;"!$AA$4"),0),FALSE)),"",VLOOKUP($K105,OFFSET(INDIRECT(""&amp;$S$29&amp;"!$A$4"),0,0,200,100),MATCH(P$30,INDIRECT(""&amp;$S$29&amp;"!$A$4"):INDIRECT(""&amp;$S$29&amp;"!$AA$4"),0),FALSE))</f>
        <v>0</v>
      </c>
      <c r="Q105" s="76">
        <f ca="1">IF(ISERROR(VLOOKUP($K105,OFFSET(INDIRECT(""&amp;$S$29&amp;"!$A$4"),0,0,200,100),MATCH(Q$30,INDIRECT(""&amp;$S$29&amp;"!$A$4"):INDIRECT(""&amp;$S$29&amp;"!$AA$4"),0),FALSE)),"",VLOOKUP($K105,OFFSET(INDIRECT(""&amp;$S$29&amp;"!$A$4"),0,0,200,100),MATCH(Q$30,INDIRECT(""&amp;$S$29&amp;"!$A$4"):INDIRECT(""&amp;$S$29&amp;"!$AA$4"),0),FALSE))</f>
        <v>0</v>
      </c>
      <c r="R105" s="76">
        <f ca="1">IF(ISERROR(VLOOKUP($K105,OFFSET(INDIRECT(""&amp;$S$29&amp;"!$A$4"),0,0,200,100),MATCH(R$30,INDIRECT(""&amp;$S$29&amp;"!$A$4"):INDIRECT(""&amp;$S$29&amp;"!$AA$4"),0),FALSE)),"",VLOOKUP($K105,OFFSET(INDIRECT(""&amp;$S$29&amp;"!$A$4"),0,0,200,100),MATCH(R$30,INDIRECT(""&amp;$S$29&amp;"!$A$4"):INDIRECT(""&amp;$S$29&amp;"!$AA$4"),0),FALSE))</f>
        <v>0</v>
      </c>
      <c r="S105" s="76">
        <f ca="1">IF(ISERROR(VLOOKUP($K105,OFFSET(INDIRECT(""&amp;$S$29&amp;"!$A$4"),0,0,200,100),MATCH(S$30,INDIRECT(""&amp;$S$29&amp;"!$A$4"):INDIRECT(""&amp;$S$29&amp;"!$AA$4"),0),FALSE)),"",VLOOKUP($K105,OFFSET(INDIRECT(""&amp;$S$29&amp;"!$A$4"),0,0,200,100),MATCH(S$30,INDIRECT(""&amp;$S$29&amp;"!$A$4"):INDIRECT(""&amp;$S$29&amp;"!$AA$4"),0),FALSE))</f>
        <v>0</v>
      </c>
      <c r="T105" s="76">
        <f ca="1">IF(ISERROR(VLOOKUP($K105,OFFSET(INDIRECT(""&amp;$S$29&amp;"!$A$4"),0,0,200,100),MATCH(T$30,INDIRECT(""&amp;$S$29&amp;"!$A$4"):INDIRECT(""&amp;$S$29&amp;"!$AA$4"),0),FALSE)),"",VLOOKUP($K105,OFFSET(INDIRECT(""&amp;$S$29&amp;"!$A$4"),0,0,200,100),MATCH(T$30,INDIRECT(""&amp;$S$29&amp;"!$A$4"):INDIRECT(""&amp;$S$29&amp;"!$AA$4"),0),FALSE))</f>
        <v>0</v>
      </c>
      <c r="U105" s="76">
        <f ca="1">IF(ISERROR(VLOOKUP($K105,OFFSET(INDIRECT(""&amp;$S$29&amp;"!$A$4"),0,0,200,100),MATCH(U$30,INDIRECT(""&amp;$S$29&amp;"!$A$4"):INDIRECT(""&amp;$S$29&amp;"!$AA$4"),0),FALSE)),"",VLOOKUP($K105,OFFSET(INDIRECT(""&amp;$S$29&amp;"!$A$4"),0,0,200,100),MATCH(U$30,INDIRECT(""&amp;$S$29&amp;"!$A$4"):INDIRECT(""&amp;$S$29&amp;"!$AA$4"),0),FALSE))</f>
        <v>0</v>
      </c>
      <c r="V105" s="76">
        <f ca="1">IF(ISERROR(VLOOKUP($K105,OFFSET(INDIRECT(""&amp;$S$29&amp;"!$A$4"),0,0,200,100),MATCH(V$30,INDIRECT(""&amp;$S$29&amp;"!$A$4"):INDIRECT(""&amp;$S$29&amp;"!$AA$4"),0),FALSE)),"",VLOOKUP($K105,OFFSET(INDIRECT(""&amp;$S$29&amp;"!$A$4"),0,0,200,100),MATCH(V$30,INDIRECT(""&amp;$S$29&amp;"!$A$4"):INDIRECT(""&amp;$S$29&amp;"!$AA$4"),0),FALSE))</f>
        <v>0</v>
      </c>
      <c r="W105" s="76">
        <f ca="1">IF(ISERROR(VLOOKUP($K105,OFFSET(INDIRECT(""&amp;$S$29&amp;"!$A$4"),0,0,200,100),MATCH(W$30,INDIRECT(""&amp;$S$29&amp;"!$A$4"):INDIRECT(""&amp;$S$29&amp;"!$AA$4"),0),FALSE)),"",VLOOKUP($K105,OFFSET(INDIRECT(""&amp;$S$29&amp;"!$A$4"),0,0,200,100),MATCH(W$30,INDIRECT(""&amp;$S$29&amp;"!$A$4"):INDIRECT(""&amp;$S$29&amp;"!$AA$4"),0),FALSE))</f>
        <v>0</v>
      </c>
      <c r="X105" s="76">
        <f ca="1">IF(ISERROR(VLOOKUP($K105,OFFSET(INDIRECT(""&amp;$S$29&amp;"!$A$4"),0,0,200,100),MATCH(X$30,INDIRECT(""&amp;$S$29&amp;"!$A$4"):INDIRECT(""&amp;$S$29&amp;"!$AA$4"),0),FALSE)),"",VLOOKUP($K105,OFFSET(INDIRECT(""&amp;$S$29&amp;"!$A$4"),0,0,200,100),MATCH(X$30,INDIRECT(""&amp;$S$29&amp;"!$A$4"):INDIRECT(""&amp;$S$29&amp;"!$AA$4"),0),FALSE))</f>
        <v>0</v>
      </c>
      <c r="Y105" s="76">
        <f ca="1">IF(ISERROR(VLOOKUP($K105,OFFSET(INDIRECT(""&amp;$S$29&amp;"!$A$4"),0,0,200,100),MATCH(Y$30,INDIRECT(""&amp;$S$29&amp;"!$A$4"):INDIRECT(""&amp;$S$29&amp;"!$AA$4"),0),FALSE)),"",VLOOKUP($K105,OFFSET(INDIRECT(""&amp;$S$29&amp;"!$A$4"),0,0,200,100),MATCH(Y$30,INDIRECT(""&amp;$S$29&amp;"!$A$4"):INDIRECT(""&amp;$S$29&amp;"!$AA$4"),0),FALSE))</f>
        <v>0</v>
      </c>
      <c r="Z105" s="76">
        <f ca="1">IF(ISERROR(VLOOKUP($K105,OFFSET(INDIRECT(""&amp;$S$29&amp;"!$A$4"),0,0,200,100),MATCH(Z$30,INDIRECT(""&amp;$S$29&amp;"!$A$4"):INDIRECT(""&amp;$S$29&amp;"!$AA$4"),0),FALSE)),"",VLOOKUP($K105,OFFSET(INDIRECT(""&amp;$S$29&amp;"!$A$4"),0,0,200,100),MATCH(Z$30,INDIRECT(""&amp;$S$29&amp;"!$A$4"):INDIRECT(""&amp;$S$29&amp;"!$AA$4"),0),FALSE))</f>
        <v>0</v>
      </c>
      <c r="AA105" s="76">
        <f t="shared" ca="1" si="81"/>
        <v>0</v>
      </c>
      <c r="AB105" s="115"/>
      <c r="AC105" s="87">
        <f t="shared" ca="1" si="66"/>
        <v>0</v>
      </c>
      <c r="AD105" s="87">
        <f t="shared" ca="1" si="67"/>
        <v>0</v>
      </c>
      <c r="AE105" s="87">
        <f t="shared" ca="1" si="68"/>
        <v>0</v>
      </c>
      <c r="AF105" s="87">
        <f t="shared" ca="1" si="69"/>
        <v>0</v>
      </c>
      <c r="AG105" s="87">
        <f t="shared" ca="1" si="82"/>
        <v>0</v>
      </c>
      <c r="AH105" s="87">
        <f t="shared" ca="1" si="82"/>
        <v>0</v>
      </c>
      <c r="AI105" s="144"/>
      <c r="AJ105" s="87">
        <f t="shared" ca="1" si="71"/>
        <v>0</v>
      </c>
      <c r="AK105" s="87">
        <f t="shared" ca="1" si="72"/>
        <v>0</v>
      </c>
      <c r="AL105" s="87">
        <f t="shared" ca="1" si="73"/>
        <v>0</v>
      </c>
      <c r="AM105" s="87">
        <f t="shared" ca="1" si="74"/>
        <v>0</v>
      </c>
      <c r="AN105" s="87">
        <f t="shared" ca="1" si="75"/>
        <v>0</v>
      </c>
      <c r="AO105" s="87">
        <f t="shared" ca="1" si="83"/>
        <v>0</v>
      </c>
      <c r="AP105" s="87">
        <f t="shared" ca="1" si="83"/>
        <v>0</v>
      </c>
      <c r="AQ105" s="87">
        <f t="shared" ca="1" si="83"/>
        <v>0</v>
      </c>
      <c r="AR105" s="87">
        <f t="shared" ca="1" si="83"/>
        <v>0</v>
      </c>
      <c r="AS105" s="87">
        <f t="shared" ca="1" si="83"/>
        <v>0</v>
      </c>
      <c r="AT105" s="87">
        <f t="shared" ca="1" si="77"/>
        <v>0</v>
      </c>
      <c r="AU105" s="87">
        <f t="shared" ca="1" si="77"/>
        <v>0</v>
      </c>
      <c r="AV105" s="87">
        <f t="shared" ca="1" si="78"/>
        <v>0</v>
      </c>
    </row>
    <row r="106" spans="1:58" s="108" customFormat="1" ht="15.95" customHeight="1">
      <c r="A106" s="135" t="s">
        <v>300</v>
      </c>
      <c r="B106" s="136" t="s">
        <v>202</v>
      </c>
      <c r="C106" s="137">
        <f ca="1">IF(ISERROR(VLOOKUP($B106,OFFSET(INDIRECT(""&amp;$B$29&amp;"!$A$4"),0,0,200,100),MATCH(C$30,INDIRECT(""&amp;$B$29&amp;"!$A$4"):INDIRECT(""&amp;$B$29&amp;"!$o$4"),0),FALSE)),"",VLOOKUP($B106,OFFSET(INDIRECT(""&amp;$B$29&amp;"!$A$4"),0,0,200,100),MATCH(C$30,INDIRECT(""&amp;$B$29&amp;"!$A$4"):INDIRECT(""&amp;$B$29&amp;"!$o$4"),0),FALSE))</f>
        <v>0</v>
      </c>
      <c r="D106" s="137">
        <f ca="1">IF(ISERROR(VLOOKUP($B106,OFFSET(INDIRECT(""&amp;$B$29&amp;"!$A$4"),0,0,200,100),MATCH(D$30,INDIRECT(""&amp;$B$29&amp;"!$A$4"):INDIRECT(""&amp;$B$29&amp;"!$o$4"),0),FALSE)),"",VLOOKUP($B106,OFFSET(INDIRECT(""&amp;$B$29&amp;"!$A$4"),0,0,200,100),MATCH(D$30,INDIRECT(""&amp;$B$29&amp;"!$A$4"):INDIRECT(""&amp;$B$29&amp;"!$o$4"),0),FALSE))</f>
        <v>0</v>
      </c>
      <c r="E106" s="137">
        <f ca="1">IF(ISERROR(VLOOKUP($B106,OFFSET(INDIRECT(""&amp;$B$29&amp;"!$A$4"),0,0,200,100),MATCH(E$30,INDIRECT(""&amp;$B$29&amp;"!$A$4"):INDIRECT(""&amp;$B$29&amp;"!$o$4"),0),FALSE)),"",VLOOKUP($B106,OFFSET(INDIRECT(""&amp;$B$29&amp;"!$A$4"),0,0,200,100),MATCH(E$30,INDIRECT(""&amp;$B$29&amp;"!$A$4"):INDIRECT(""&amp;$B$29&amp;"!$o$4"),0),FALSE))</f>
        <v>0</v>
      </c>
      <c r="F106" s="137">
        <f ca="1">IF(ISERROR(VLOOKUP($B106,OFFSET(INDIRECT(""&amp;$B$29&amp;"!$A$4"),0,0,200,100),MATCH(F$30,INDIRECT(""&amp;$B$29&amp;"!$A$4"):INDIRECT(""&amp;$B$29&amp;"!$o$4"),0),FALSE)),"",VLOOKUP($B106,OFFSET(INDIRECT(""&amp;$B$29&amp;"!$A$4"),0,0,200,100),MATCH(F$30,INDIRECT(""&amp;$B$29&amp;"!$A$4"):INDIRECT(""&amp;$B$29&amp;"!$o$4"),0),FALSE))</f>
        <v>0</v>
      </c>
      <c r="G106" s="137">
        <f ca="1">IF(ISERROR(VLOOKUP($B106,OFFSET(INDIRECT(""&amp;$B$29&amp;"!$A$4"),0,0,200,100),MATCH(G$30,INDIRECT(""&amp;$B$29&amp;"!$A$4"):INDIRECT(""&amp;$B$29&amp;"!$o$4"),0),FALSE)),"",VLOOKUP($B106,OFFSET(INDIRECT(""&amp;$B$29&amp;"!$A$4"),0,0,200,100),MATCH(G$30,INDIRECT(""&amp;$B$29&amp;"!$A$4"):INDIRECT(""&amp;$B$29&amp;"!$o$4"),0),FALSE))</f>
        <v>0</v>
      </c>
      <c r="H106" s="137">
        <f ca="1">IF(ISERROR(VLOOKUP($B106,OFFSET(INDIRECT(""&amp;$B$29&amp;"!$A$4"),0,0,200,100),MATCH(H$30,INDIRECT(""&amp;$B$29&amp;"!$A$4"):INDIRECT(""&amp;$B$29&amp;"!$o$4"),0),FALSE)),"",VLOOKUP($B106,OFFSET(INDIRECT(""&amp;$B$29&amp;"!$A$4"),0,0,200,100),MATCH(H$30,INDIRECT(""&amp;$B$29&amp;"!$A$4"):INDIRECT(""&amp;$B$29&amp;"!$o$4"),0),FALSE))</f>
        <v>0</v>
      </c>
      <c r="I106" s="137">
        <f ca="1">IF(ISERROR(VLOOKUP($B106,OFFSET(INDIRECT(""&amp;$B$29&amp;"!$A$4"),0,0,200,100),MATCH(I$30,INDIRECT(""&amp;$B$29&amp;"!$A$4"):INDIRECT(""&amp;$B$29&amp;"!$o$4"),0),FALSE)),"",VLOOKUP($B106,OFFSET(INDIRECT(""&amp;$B$29&amp;"!$A$4"),0,0,200,100),MATCH(I$30,INDIRECT(""&amp;$B$29&amp;"!$A$4"):INDIRECT(""&amp;$B$29&amp;"!$o$4"),0),FALSE))</f>
        <v>0</v>
      </c>
      <c r="J106" s="137">
        <f ca="1">IF(ISERROR(VLOOKUP($B106,OFFSET(INDIRECT(""&amp;$B$29&amp;"!$A$4"),0,0,200,100),MATCH(J$30,INDIRECT(""&amp;$B$29&amp;"!$A$4"):INDIRECT(""&amp;$B$29&amp;"!$o$4"),0),FALSE)),"",VLOOKUP($B106,OFFSET(INDIRECT(""&amp;$B$29&amp;"!$A$4"),0,0,200,100),MATCH(J$30,INDIRECT(""&amp;$B$29&amp;"!$A$4"):INDIRECT(""&amp;$B$29&amp;"!$o$4"),0),FALSE))</f>
        <v>0</v>
      </c>
      <c r="K106" s="109" t="s">
        <v>202</v>
      </c>
      <c r="L106" s="137">
        <f ca="1">IF(ISERROR(VLOOKUP($K106,OFFSET(INDIRECT(""&amp;$S$29&amp;"!$A$4"),0,0,200,100),MATCH(L$30,INDIRECT(""&amp;$S$29&amp;"!$A$4"):INDIRECT(""&amp;$S$29&amp;"!$AA$4"),0),FALSE)),"",VLOOKUP($K106,OFFSET(INDIRECT(""&amp;$S$29&amp;"!$A$4"),0,0,200,100),MATCH(L$30,INDIRECT(""&amp;$S$29&amp;"!$A$4"):INDIRECT(""&amp;$S$29&amp;"!$AA$4"),0),FALSE))</f>
        <v>0</v>
      </c>
      <c r="M106" s="137">
        <f ca="1">IF(ISERROR(VLOOKUP($K106,OFFSET(INDIRECT(""&amp;$S$29&amp;"!$A$4"),0,0,200,100),MATCH(M$30,INDIRECT(""&amp;$S$29&amp;"!$A$4"):INDIRECT(""&amp;$S$29&amp;"!$AA$4"),0),FALSE)),"",VLOOKUP($K106,OFFSET(INDIRECT(""&amp;$S$29&amp;"!$A$4"),0,0,200,100),MATCH(M$30,INDIRECT(""&amp;$S$29&amp;"!$A$4"):INDIRECT(""&amp;$S$29&amp;"!$AA$4"),0),FALSE))</f>
        <v>0</v>
      </c>
      <c r="N106" s="137">
        <f ca="1">IF(ISERROR(VLOOKUP($K106,OFFSET(INDIRECT(""&amp;$S$29&amp;"!$A$4"),0,0,200,100),MATCH(N$30,INDIRECT(""&amp;$S$29&amp;"!$A$4"):INDIRECT(""&amp;$S$29&amp;"!$AA$4"),0),FALSE)),"",VLOOKUP($K106,OFFSET(INDIRECT(""&amp;$S$29&amp;"!$A$4"),0,0,200,100),MATCH(N$30,INDIRECT(""&amp;$S$29&amp;"!$A$4"):INDIRECT(""&amp;$S$29&amp;"!$AA$4"),0),FALSE))</f>
        <v>0</v>
      </c>
      <c r="O106" s="137">
        <f ca="1">IF(ISERROR(VLOOKUP($K106,OFFSET(INDIRECT(""&amp;$S$29&amp;"!$A$4"),0,0,200,100),MATCH(O$30,INDIRECT(""&amp;$S$29&amp;"!$A$4"):INDIRECT(""&amp;$S$29&amp;"!$AA$4"),0),FALSE)),"",VLOOKUP($K106,OFFSET(INDIRECT(""&amp;$S$29&amp;"!$A$4"),0,0,200,100),MATCH(O$30,INDIRECT(""&amp;$S$29&amp;"!$A$4"):INDIRECT(""&amp;$S$29&amp;"!$AA$4"),0),FALSE))</f>
        <v>0</v>
      </c>
      <c r="P106" s="137">
        <f ca="1">IF(ISERROR(VLOOKUP($K106,OFFSET(INDIRECT(""&amp;$S$29&amp;"!$A$4"),0,0,200,100),MATCH(P$30,INDIRECT(""&amp;$S$29&amp;"!$A$4"):INDIRECT(""&amp;$S$29&amp;"!$AA$4"),0),FALSE)),"",VLOOKUP($K106,OFFSET(INDIRECT(""&amp;$S$29&amp;"!$A$4"),0,0,200,100),MATCH(P$30,INDIRECT(""&amp;$S$29&amp;"!$A$4"):INDIRECT(""&amp;$S$29&amp;"!$AA$4"),0),FALSE))</f>
        <v>0</v>
      </c>
      <c r="Q106" s="137">
        <f ca="1">IF(ISERROR(VLOOKUP($K106,OFFSET(INDIRECT(""&amp;$S$29&amp;"!$A$4"),0,0,200,100),MATCH(Q$30,INDIRECT(""&amp;$S$29&amp;"!$A$4"):INDIRECT(""&amp;$S$29&amp;"!$AA$4"),0),FALSE)),"",VLOOKUP($K106,OFFSET(INDIRECT(""&amp;$S$29&amp;"!$A$4"),0,0,200,100),MATCH(Q$30,INDIRECT(""&amp;$S$29&amp;"!$A$4"):INDIRECT(""&amp;$S$29&amp;"!$AA$4"),0),FALSE))</f>
        <v>0</v>
      </c>
      <c r="R106" s="137">
        <f ca="1">IF(ISERROR(VLOOKUP($K106,OFFSET(INDIRECT(""&amp;$S$29&amp;"!$A$4"),0,0,200,100),MATCH(R$30,INDIRECT(""&amp;$S$29&amp;"!$A$4"):INDIRECT(""&amp;$S$29&amp;"!$AA$4"),0),FALSE)),"",VLOOKUP($K106,OFFSET(INDIRECT(""&amp;$S$29&amp;"!$A$4"),0,0,200,100),MATCH(R$30,INDIRECT(""&amp;$S$29&amp;"!$A$4"):INDIRECT(""&amp;$S$29&amp;"!$AA$4"),0),FALSE))</f>
        <v>0</v>
      </c>
      <c r="S106" s="137">
        <f ca="1">IF(ISERROR(VLOOKUP($K106,OFFSET(INDIRECT(""&amp;$S$29&amp;"!$A$4"),0,0,200,100),MATCH(S$30,INDIRECT(""&amp;$S$29&amp;"!$A$4"):INDIRECT(""&amp;$S$29&amp;"!$AA$4"),0),FALSE)),"",VLOOKUP($K106,OFFSET(INDIRECT(""&amp;$S$29&amp;"!$A$4"),0,0,200,100),MATCH(S$30,INDIRECT(""&amp;$S$29&amp;"!$A$4"):INDIRECT(""&amp;$S$29&amp;"!$AA$4"),0),FALSE))</f>
        <v>0</v>
      </c>
      <c r="T106" s="137">
        <f ca="1">IF(ISERROR(VLOOKUP($K106,OFFSET(INDIRECT(""&amp;$S$29&amp;"!$A$4"),0,0,200,100),MATCH(T$30,INDIRECT(""&amp;$S$29&amp;"!$A$4"):INDIRECT(""&amp;$S$29&amp;"!$AA$4"),0),FALSE)),"",VLOOKUP($K106,OFFSET(INDIRECT(""&amp;$S$29&amp;"!$A$4"),0,0,200,100),MATCH(T$30,INDIRECT(""&amp;$S$29&amp;"!$A$4"):INDIRECT(""&amp;$S$29&amp;"!$AA$4"),0),FALSE))</f>
        <v>0</v>
      </c>
      <c r="U106" s="137">
        <f ca="1">IF(ISERROR(VLOOKUP($K106,OFFSET(INDIRECT(""&amp;$S$29&amp;"!$A$4"),0,0,200,100),MATCH(U$30,INDIRECT(""&amp;$S$29&amp;"!$A$4"):INDIRECT(""&amp;$S$29&amp;"!$AA$4"),0),FALSE)),"",VLOOKUP($K106,OFFSET(INDIRECT(""&amp;$S$29&amp;"!$A$4"),0,0,200,100),MATCH(U$30,INDIRECT(""&amp;$S$29&amp;"!$A$4"):INDIRECT(""&amp;$S$29&amp;"!$AA$4"),0),FALSE))</f>
        <v>0</v>
      </c>
      <c r="V106" s="137">
        <f ca="1">IF(ISERROR(VLOOKUP($K106,OFFSET(INDIRECT(""&amp;$S$29&amp;"!$A$4"),0,0,200,100),MATCH(V$30,INDIRECT(""&amp;$S$29&amp;"!$A$4"):INDIRECT(""&amp;$S$29&amp;"!$AA$4"),0),FALSE)),"",VLOOKUP($K106,OFFSET(INDIRECT(""&amp;$S$29&amp;"!$A$4"),0,0,200,100),MATCH(V$30,INDIRECT(""&amp;$S$29&amp;"!$A$4"):INDIRECT(""&amp;$S$29&amp;"!$AA$4"),0),FALSE))</f>
        <v>0</v>
      </c>
      <c r="W106" s="137">
        <f ca="1">IF(ISERROR(VLOOKUP($K106,OFFSET(INDIRECT(""&amp;$S$29&amp;"!$A$4"),0,0,200,100),MATCH(W$30,INDIRECT(""&amp;$S$29&amp;"!$A$4"):INDIRECT(""&amp;$S$29&amp;"!$AA$4"),0),FALSE)),"",VLOOKUP($K106,OFFSET(INDIRECT(""&amp;$S$29&amp;"!$A$4"),0,0,200,100),MATCH(W$30,INDIRECT(""&amp;$S$29&amp;"!$A$4"):INDIRECT(""&amp;$S$29&amp;"!$AA$4"),0),FALSE))</f>
        <v>0</v>
      </c>
      <c r="X106" s="137">
        <f ca="1">IF(ISERROR(VLOOKUP($K106,OFFSET(INDIRECT(""&amp;$S$29&amp;"!$A$4"),0,0,200,100),MATCH(X$30,INDIRECT(""&amp;$S$29&amp;"!$A$4"):INDIRECT(""&amp;$S$29&amp;"!$AA$4"),0),FALSE)),"",VLOOKUP($K106,OFFSET(INDIRECT(""&amp;$S$29&amp;"!$A$4"),0,0,200,100),MATCH(X$30,INDIRECT(""&amp;$S$29&amp;"!$A$4"):INDIRECT(""&amp;$S$29&amp;"!$AA$4"),0),FALSE))</f>
        <v>0</v>
      </c>
      <c r="Y106" s="137">
        <f ca="1">IF(ISERROR(VLOOKUP($K106,OFFSET(INDIRECT(""&amp;$S$29&amp;"!$A$4"),0,0,200,100),MATCH(Y$30,INDIRECT(""&amp;$S$29&amp;"!$A$4"):INDIRECT(""&amp;$S$29&amp;"!$AA$4"),0),FALSE)),"",VLOOKUP($K106,OFFSET(INDIRECT(""&amp;$S$29&amp;"!$A$4"),0,0,200,100),MATCH(Y$30,INDIRECT(""&amp;$S$29&amp;"!$A$4"):INDIRECT(""&amp;$S$29&amp;"!$AA$4"),0),FALSE))</f>
        <v>0</v>
      </c>
      <c r="Z106" s="137">
        <f ca="1">IF(ISERROR(VLOOKUP($K106,OFFSET(INDIRECT(""&amp;$S$29&amp;"!$A$4"),0,0,200,100),MATCH(Z$30,INDIRECT(""&amp;$S$29&amp;"!$A$4"):INDIRECT(""&amp;$S$29&amp;"!$AA$4"),0),FALSE)),"",VLOOKUP($K106,OFFSET(INDIRECT(""&amp;$S$29&amp;"!$A$4"),0,0,200,100),MATCH(Z$30,INDIRECT(""&amp;$S$29&amp;"!$A$4"):INDIRECT(""&amp;$S$29&amp;"!$AA$4"),0),FALSE))</f>
        <v>0</v>
      </c>
      <c r="AA106" s="137">
        <f t="shared" ca="1" si="81"/>
        <v>0</v>
      </c>
      <c r="AB106" s="110"/>
      <c r="AC106" s="157">
        <f t="shared" ca="1" si="66"/>
        <v>0</v>
      </c>
      <c r="AD106" s="157">
        <f t="shared" ca="1" si="67"/>
        <v>0</v>
      </c>
      <c r="AE106" s="157">
        <f t="shared" ca="1" si="68"/>
        <v>0</v>
      </c>
      <c r="AF106" s="157">
        <f t="shared" ca="1" si="69"/>
        <v>0</v>
      </c>
      <c r="AG106" s="157">
        <f t="shared" ca="1" si="82"/>
        <v>0</v>
      </c>
      <c r="AH106" s="157">
        <f t="shared" ca="1" si="82"/>
        <v>0</v>
      </c>
      <c r="AI106" s="144"/>
      <c r="AJ106" s="157">
        <f t="shared" ca="1" si="71"/>
        <v>0</v>
      </c>
      <c r="AK106" s="157">
        <f t="shared" ca="1" si="72"/>
        <v>0</v>
      </c>
      <c r="AL106" s="157">
        <f t="shared" ca="1" si="73"/>
        <v>0</v>
      </c>
      <c r="AM106" s="157">
        <f t="shared" ca="1" si="74"/>
        <v>0</v>
      </c>
      <c r="AN106" s="157">
        <f t="shared" ca="1" si="75"/>
        <v>0</v>
      </c>
      <c r="AO106" s="157">
        <f t="shared" ca="1" si="83"/>
        <v>0</v>
      </c>
      <c r="AP106" s="157">
        <f t="shared" ca="1" si="83"/>
        <v>0</v>
      </c>
      <c r="AQ106" s="157">
        <f t="shared" ca="1" si="83"/>
        <v>0</v>
      </c>
      <c r="AR106" s="157">
        <f t="shared" ca="1" si="83"/>
        <v>0</v>
      </c>
      <c r="AS106" s="157">
        <f t="shared" ca="1" si="83"/>
        <v>0</v>
      </c>
      <c r="AT106" s="157">
        <f t="shared" ca="1" si="77"/>
        <v>0</v>
      </c>
      <c r="AU106" s="157">
        <f t="shared" ca="1" si="77"/>
        <v>0</v>
      </c>
      <c r="AV106" s="157">
        <f t="shared" ca="1" si="78"/>
        <v>0</v>
      </c>
    </row>
    <row r="107" spans="1:58" s="125" customFormat="1" ht="15.95" customHeight="1">
      <c r="A107" s="189" t="s">
        <v>210</v>
      </c>
      <c r="B107" s="155"/>
      <c r="C107" s="156" t="b">
        <f t="shared" ref="C107:H107" ca="1" si="84">IF(C71="","",IF(ROUND(C71-C31=0,2),TRUE,FALSE))</f>
        <v>1</v>
      </c>
      <c r="D107" s="156" t="b">
        <f t="shared" ca="1" si="84"/>
        <v>1</v>
      </c>
      <c r="E107" s="156" t="b">
        <f t="shared" ca="1" si="84"/>
        <v>1</v>
      </c>
      <c r="F107" s="156" t="b">
        <f t="shared" ca="1" si="84"/>
        <v>1</v>
      </c>
      <c r="G107" s="156" t="b">
        <f t="shared" ca="1" si="84"/>
        <v>1</v>
      </c>
      <c r="H107" s="156" t="b">
        <f t="shared" ca="1" si="84"/>
        <v>1</v>
      </c>
      <c r="I107" s="156" t="b">
        <f t="shared" ref="I107:J107" ca="1" si="85">IF(I71="","",IF(ROUND(I71-I31=0,2),TRUE,FALSE))</f>
        <v>1</v>
      </c>
      <c r="J107" s="156" t="b">
        <f t="shared" ca="1" si="85"/>
        <v>1</v>
      </c>
      <c r="K107" s="69"/>
      <c r="L107" s="156" t="b">
        <f t="shared" ref="L107:M107" ca="1" si="86">IF(L71="","",IF(ROUND(L71-L31=0,2),TRUE,FALSE))</f>
        <v>1</v>
      </c>
      <c r="M107" s="156" t="b">
        <f t="shared" ca="1" si="86"/>
        <v>1</v>
      </c>
      <c r="N107" s="156" t="b">
        <f t="shared" ref="N107:W107" ca="1" si="87">IF(N71="","",IF(ROUND(N71-N31=0,2),TRUE,FALSE))</f>
        <v>1</v>
      </c>
      <c r="O107" s="156" t="b">
        <f t="shared" ca="1" si="87"/>
        <v>1</v>
      </c>
      <c r="P107" s="156" t="b">
        <f t="shared" ca="1" si="87"/>
        <v>1</v>
      </c>
      <c r="Q107" s="156" t="b">
        <f t="shared" ca="1" si="87"/>
        <v>1</v>
      </c>
      <c r="R107" s="156" t="b">
        <f t="shared" ca="1" si="87"/>
        <v>1</v>
      </c>
      <c r="S107" s="156" t="b">
        <f t="shared" ca="1" si="87"/>
        <v>1</v>
      </c>
      <c r="T107" s="156" t="b">
        <f t="shared" ca="1" si="87"/>
        <v>1</v>
      </c>
      <c r="U107" s="156" t="b">
        <f t="shared" ca="1" si="87"/>
        <v>1</v>
      </c>
      <c r="V107" s="156" t="b">
        <f t="shared" ca="1" si="87"/>
        <v>1</v>
      </c>
      <c r="W107" s="156" t="b">
        <f t="shared" ca="1" si="87"/>
        <v>1</v>
      </c>
      <c r="X107" s="156" t="b">
        <f t="shared" ref="X107:Z107" ca="1" si="88">IF(X71="","",IF(ROUND(X71-X31=0,2),TRUE,FALSE))</f>
        <v>1</v>
      </c>
      <c r="Y107" s="156" t="b">
        <f t="shared" ca="1" si="88"/>
        <v>1</v>
      </c>
      <c r="Z107" s="156" t="b">
        <f t="shared" ca="1" si="88"/>
        <v>1</v>
      </c>
      <c r="AA107" s="156" t="b">
        <f t="shared" ca="1" si="81"/>
        <v>1</v>
      </c>
      <c r="AB107" s="70"/>
      <c r="AC107" s="124"/>
      <c r="AD107" s="124"/>
      <c r="AE107" s="124"/>
      <c r="AF107" s="124"/>
      <c r="AG107" s="124"/>
      <c r="AH107" s="124"/>
      <c r="AI107" s="148"/>
      <c r="AJ107" s="148"/>
      <c r="AK107" s="148"/>
      <c r="AL107" s="148"/>
      <c r="AM107" s="148"/>
      <c r="AN107" s="148"/>
      <c r="AO107" s="124"/>
      <c r="AP107" s="124"/>
      <c r="AQ107" s="124"/>
      <c r="AR107" s="124"/>
      <c r="AS107" s="124"/>
      <c r="AT107" s="72"/>
      <c r="AU107" s="72"/>
    </row>
    <row r="108" spans="1:58" ht="15.95" customHeight="1">
      <c r="K108" s="96"/>
      <c r="L108" s="96"/>
      <c r="M108" s="96"/>
      <c r="N108" s="96"/>
      <c r="O108" s="96"/>
      <c r="P108" s="96"/>
      <c r="Q108" s="96"/>
      <c r="R108" s="96"/>
      <c r="AB108" s="92"/>
      <c r="AT108" s="93"/>
      <c r="AU108" s="93"/>
    </row>
    <row r="109" spans="1:58" ht="15.95" customHeight="1">
      <c r="A109" s="158" t="s">
        <v>203</v>
      </c>
      <c r="B109" s="101" t="s">
        <v>208</v>
      </c>
      <c r="K109" s="129" t="s">
        <v>209</v>
      </c>
      <c r="L109" s="129"/>
      <c r="M109" s="129"/>
      <c r="N109" s="129"/>
      <c r="O109" s="129"/>
      <c r="P109" s="129"/>
      <c r="Q109" s="129"/>
      <c r="R109" s="129"/>
      <c r="S109" s="412" t="s">
        <v>209</v>
      </c>
    </row>
    <row r="110" spans="1:58" ht="15.95" customHeight="1">
      <c r="A110" s="410" t="s">
        <v>341</v>
      </c>
      <c r="B110" s="410"/>
      <c r="C110" s="411">
        <v>2007</v>
      </c>
      <c r="D110" s="411">
        <v>2008</v>
      </c>
      <c r="E110" s="411">
        <v>2009</v>
      </c>
      <c r="F110" s="411">
        <v>2010</v>
      </c>
      <c r="G110" s="411">
        <v>2011</v>
      </c>
      <c r="H110" s="411">
        <v>2012</v>
      </c>
      <c r="I110" s="411">
        <v>2013</v>
      </c>
      <c r="J110" s="411">
        <v>2013</v>
      </c>
      <c r="K110" s="129"/>
      <c r="L110" s="435" t="str">
        <f t="shared" ref="L110:M110" si="89">L30</f>
        <v>Q1/2010</v>
      </c>
      <c r="M110" s="435" t="str">
        <f t="shared" si="89"/>
        <v>Q2/2010</v>
      </c>
      <c r="N110" s="435" t="str">
        <f>N30</f>
        <v>Q3/2010</v>
      </c>
      <c r="O110" s="435" t="str">
        <f t="shared" ref="O110:AA110" si="90">O30</f>
        <v>Q4/2010</v>
      </c>
      <c r="P110" s="435" t="str">
        <f t="shared" si="90"/>
        <v>Q1/2011</v>
      </c>
      <c r="Q110" s="435" t="str">
        <f t="shared" si="90"/>
        <v>Q2/2011</v>
      </c>
      <c r="R110" s="435" t="str">
        <f t="shared" si="90"/>
        <v>Q3/2011</v>
      </c>
      <c r="S110" s="435" t="str">
        <f t="shared" si="90"/>
        <v>Q4/2011</v>
      </c>
      <c r="T110" s="435" t="str">
        <f t="shared" si="90"/>
        <v>Q1/2012</v>
      </c>
      <c r="U110" s="435" t="str">
        <f t="shared" si="90"/>
        <v>Q2/2012</v>
      </c>
      <c r="V110" s="435" t="str">
        <f t="shared" si="90"/>
        <v>Q3/2012</v>
      </c>
      <c r="W110" s="435" t="str">
        <f t="shared" si="90"/>
        <v>Q4/2012</v>
      </c>
      <c r="X110" s="435" t="str">
        <f t="shared" si="90"/>
        <v>Q1/2013</v>
      </c>
      <c r="Y110" s="435" t="str">
        <f t="shared" ref="Y110" si="91">Y30</f>
        <v>Q2/2013</v>
      </c>
      <c r="Z110" s="411" t="s">
        <v>849</v>
      </c>
      <c r="AA110" s="435" t="str">
        <f t="shared" si="90"/>
        <v>9M</v>
      </c>
    </row>
    <row r="111" spans="1:58" s="128" customFormat="1" ht="15.95" customHeight="1">
      <c r="A111" s="159" t="s">
        <v>327</v>
      </c>
      <c r="B111" s="159" t="s">
        <v>83</v>
      </c>
      <c r="C111" s="160" t="str">
        <f ca="1">IF(ISERROR(VLOOKUP($B111,OFFSET(INDIRECT(""&amp;$B$109&amp;"!$A$4"),0,0,200,100),MATCH(C$110,INDIRECT(""&amp;$B$109&amp;"!$A$4"):INDIRECT(""&amp;$B$109&amp;"!$o$4"),0),FALSE)),"",VLOOKUP($B111,OFFSET(INDIRECT(""&amp;$B$109&amp;"!$A$4"),0,0,200,100),MATCH(C$110,INDIRECT(""&amp;$B$109&amp;"!$A$4"):INDIRECT(""&amp;$B$109&amp;"!$o$4"),0),FALSE))</f>
        <v/>
      </c>
      <c r="D111" s="160" t="str">
        <f ca="1">IF(ISERROR(VLOOKUP($B111,OFFSET(INDIRECT(""&amp;$B$109&amp;"!$A$4"),0,0,200,100),MATCH(D$110,INDIRECT(""&amp;$B$109&amp;"!$A$4"):INDIRECT(""&amp;$B$109&amp;"!$o$4"),0),FALSE)),"",VLOOKUP($B111,OFFSET(INDIRECT(""&amp;$B$109&amp;"!$A$4"),0,0,200,100),MATCH(D$110,INDIRECT(""&amp;$B$109&amp;"!$A$4"):INDIRECT(""&amp;$B$109&amp;"!$o$4"),0),FALSE))</f>
        <v/>
      </c>
      <c r="E111" s="160" t="str">
        <f ca="1">IF(ISERROR(VLOOKUP($B111,OFFSET(INDIRECT(""&amp;$B$109&amp;"!$A$4"),0,0,200,100),MATCH(E$110,INDIRECT(""&amp;$B$109&amp;"!$A$4"):INDIRECT(""&amp;$B$109&amp;"!$o$4"),0),FALSE)),"",VLOOKUP($B111,OFFSET(INDIRECT(""&amp;$B$109&amp;"!$A$4"),0,0,200,100),MATCH(E$110,INDIRECT(""&amp;$B$109&amp;"!$A$4"):INDIRECT(""&amp;$B$109&amp;"!$o$4"),0),FALSE))</f>
        <v/>
      </c>
      <c r="F111" s="160" t="str">
        <f ca="1">IF(ISERROR(VLOOKUP($B111,OFFSET(INDIRECT(""&amp;$B$109&amp;"!$A$4"),0,0,200,100),MATCH(F$110,INDIRECT(""&amp;$B$109&amp;"!$A$4"):INDIRECT(""&amp;$B$109&amp;"!$o$4"),0),FALSE)),"",VLOOKUP($B111,OFFSET(INDIRECT(""&amp;$B$109&amp;"!$A$4"),0,0,200,100),MATCH(F$110,INDIRECT(""&amp;$B$109&amp;"!$A$4"):INDIRECT(""&amp;$B$109&amp;"!$o$4"),0),FALSE))</f>
        <v/>
      </c>
      <c r="G111" s="160" t="str">
        <f ca="1">IF(ISERROR(VLOOKUP($B111,OFFSET(INDIRECT(""&amp;$B$109&amp;"!$A$4"),0,0,200,100),MATCH(G$110,INDIRECT(""&amp;$B$109&amp;"!$A$4"):INDIRECT(""&amp;$B$109&amp;"!$o$4"),0),FALSE)),"",VLOOKUP($B111,OFFSET(INDIRECT(""&amp;$B$109&amp;"!$A$4"),0,0,200,100),MATCH(G$110,INDIRECT(""&amp;$B$109&amp;"!$A$4"):INDIRECT(""&amp;$B$109&amp;"!$o$4"),0),FALSE))</f>
        <v/>
      </c>
      <c r="H111" s="160"/>
      <c r="I111" s="160"/>
      <c r="J111" s="160"/>
      <c r="K111" s="129" t="s">
        <v>83</v>
      </c>
      <c r="L111" s="160" t="str">
        <f ca="1">IF(ISERROR(VLOOKUP($K111,OFFSET(INDIRECT(""&amp;$S$109&amp;"!$A$4"),0,0,200,100),MATCH(L$110,INDIRECT(""&amp;$S$109&amp;"!$A$4"):INDIRECT(""&amp;$S$109&amp;"!$o$4"),0),FALSE)),"",VLOOKUP($K111,OFFSET(INDIRECT(""&amp;$S$109&amp;"!$A$4"),0,0,200,100),MATCH(L$110,INDIRECT(""&amp;$S$109&amp;"!$A$4"):INDIRECT(""&amp;$S$109&amp;"!$o$4"),0),FALSE))</f>
        <v/>
      </c>
      <c r="M111" s="160" t="str">
        <f ca="1">IF(ISERROR(VLOOKUP($K111,OFFSET(INDIRECT(""&amp;$S$109&amp;"!$A$4"),0,0,200,100),MATCH(M$110,INDIRECT(""&amp;$S$109&amp;"!$A$4"):INDIRECT(""&amp;$S$109&amp;"!$o$4"),0),FALSE)),"",VLOOKUP($K111,OFFSET(INDIRECT(""&amp;$S$109&amp;"!$A$4"),0,0,200,100),MATCH(M$110,INDIRECT(""&amp;$S$109&amp;"!$A$4"):INDIRECT(""&amp;$S$109&amp;"!$o$4"),0),FALSE))</f>
        <v/>
      </c>
      <c r="N111" s="160" t="str">
        <f ca="1">IF(ISERROR(VLOOKUP($K111,OFFSET(INDIRECT(""&amp;$S$109&amp;"!$A$4"),0,0,200,100),MATCH(N$110,INDIRECT(""&amp;$S$109&amp;"!$A$4"):INDIRECT(""&amp;$S$109&amp;"!$o$4"),0),FALSE)),"",VLOOKUP($K111,OFFSET(INDIRECT(""&amp;$S$109&amp;"!$A$4"),0,0,200,100),MATCH(N$110,INDIRECT(""&amp;$S$109&amp;"!$A$4"):INDIRECT(""&amp;$S$109&amp;"!$o$4"),0),FALSE))</f>
        <v/>
      </c>
      <c r="O111" s="160" t="str">
        <f ca="1">IF(ISERROR(VLOOKUP($K111,OFFSET(INDIRECT(""&amp;$S$109&amp;"!$A$4"),0,0,200,100),MATCH(O$110,INDIRECT(""&amp;$S$109&amp;"!$A$4"):INDIRECT(""&amp;$S$109&amp;"!$o$4"),0),FALSE)),"",VLOOKUP($K111,OFFSET(INDIRECT(""&amp;$S$109&amp;"!$A$4"),0,0,200,100),MATCH(O$110,INDIRECT(""&amp;$S$109&amp;"!$A$4"):INDIRECT(""&amp;$S$109&amp;"!$o$4"),0),FALSE))</f>
        <v/>
      </c>
      <c r="P111" s="160" t="str">
        <f ca="1">IF(ISERROR(VLOOKUP($K111,OFFSET(INDIRECT(""&amp;$S$109&amp;"!$A$4"),0,0,200,100),MATCH(P$110,INDIRECT(""&amp;$S$109&amp;"!$A$4"):INDIRECT(""&amp;$S$109&amp;"!$o$4"),0),FALSE)),"",VLOOKUP($K111,OFFSET(INDIRECT(""&amp;$S$109&amp;"!$A$4"),0,0,200,100),MATCH(P$110,INDIRECT(""&amp;$S$109&amp;"!$A$4"):INDIRECT(""&amp;$S$109&amp;"!$o$4"),0),FALSE))</f>
        <v/>
      </c>
      <c r="Q111" s="160" t="str">
        <f ca="1">IF(ISERROR(VLOOKUP($K111,OFFSET(INDIRECT(""&amp;$S$109&amp;"!$A$4"),0,0,200,100),MATCH(Q$110,INDIRECT(""&amp;$S$109&amp;"!$A$4"):INDIRECT(""&amp;$S$109&amp;"!$o$4"),0),FALSE)),"",VLOOKUP($K111,OFFSET(INDIRECT(""&amp;$S$109&amp;"!$A$4"),0,0,200,100),MATCH(Q$110,INDIRECT(""&amp;$S$109&amp;"!$A$4"):INDIRECT(""&amp;$S$109&amp;"!$o$4"),0),FALSE))</f>
        <v/>
      </c>
      <c r="R111" s="160" t="str">
        <f ca="1">IF(ISERROR(VLOOKUP($K111,OFFSET(INDIRECT(""&amp;$S$109&amp;"!$A$4"),0,0,200,100),MATCH(R$110,INDIRECT(""&amp;$S$109&amp;"!$A$4"):INDIRECT(""&amp;$S$109&amp;"!$o$4"),0),FALSE)),"",VLOOKUP($K111,OFFSET(INDIRECT(""&amp;$S$109&amp;"!$A$4"),0,0,200,100),MATCH(R$110,INDIRECT(""&amp;$S$109&amp;"!$A$4"):INDIRECT(""&amp;$S$109&amp;"!$o$4"),0),FALSE))</f>
        <v/>
      </c>
      <c r="S111" s="160" t="str">
        <f ca="1">IF(ISERROR(VLOOKUP($K111,OFFSET(INDIRECT(""&amp;$S$109&amp;"!$A$4"),0,0,200,100),MATCH(S$110,INDIRECT(""&amp;$S$109&amp;"!$A$4"):INDIRECT(""&amp;$S$109&amp;"!$o$4"),0),FALSE)),"",VLOOKUP($K111,OFFSET(INDIRECT(""&amp;$S$109&amp;"!$A$4"),0,0,200,100),MATCH(S$110,INDIRECT(""&amp;$S$109&amp;"!$A$4"):INDIRECT(""&amp;$S$109&amp;"!$o$4"),0),FALSE))</f>
        <v/>
      </c>
      <c r="T111" s="160" t="str">
        <f ca="1">IF(ISERROR(VLOOKUP($K111,OFFSET(INDIRECT(""&amp;$S$109&amp;"!$A$4"),0,0,200,100),MATCH(T$110,INDIRECT(""&amp;$S$109&amp;"!$A$4"):INDIRECT(""&amp;$S$109&amp;"!$o$4"),0),FALSE)),"",VLOOKUP($K111,OFFSET(INDIRECT(""&amp;$S$109&amp;"!$A$4"),0,0,200,100),MATCH(T$110,INDIRECT(""&amp;$S$109&amp;"!$A$4"):INDIRECT(""&amp;$S$109&amp;"!$o$4"),0),FALSE))</f>
        <v/>
      </c>
      <c r="U111" s="160" t="str">
        <f ca="1">IF(ISERROR(VLOOKUP($K111,OFFSET(INDIRECT(""&amp;$S$109&amp;"!$A$4"),0,0,200,100),MATCH(U$110,INDIRECT(""&amp;$S$109&amp;"!$A$4"):INDIRECT(""&amp;$S$109&amp;"!$o$4"),0),FALSE)),"",VLOOKUP($K111,OFFSET(INDIRECT(""&amp;$S$109&amp;"!$A$4"),0,0,200,100),MATCH(U$110,INDIRECT(""&amp;$S$109&amp;"!$A$4"):INDIRECT(""&amp;$S$109&amp;"!$o$4"),0),FALSE))</f>
        <v/>
      </c>
      <c r="V111" s="160" t="str">
        <f ca="1">IF(ISERROR(VLOOKUP($K111,OFFSET(INDIRECT(""&amp;$S$109&amp;"!$A$4"),0,0,200,100),MATCH(V$110,INDIRECT(""&amp;$S$109&amp;"!$A$4"):INDIRECT(""&amp;$S$109&amp;"!$o$4"),0),FALSE)),"",VLOOKUP($K111,OFFSET(INDIRECT(""&amp;$S$109&amp;"!$A$4"),0,0,200,100),MATCH(V$110,INDIRECT(""&amp;$S$109&amp;"!$A$4"):INDIRECT(""&amp;$S$109&amp;"!$o$4"),0),FALSE))</f>
        <v/>
      </c>
      <c r="W111" s="160" t="str">
        <f ca="1">IF(ISERROR(VLOOKUP($K111,OFFSET(INDIRECT(""&amp;$S$109&amp;"!$A$4"),0,0,200,100),MATCH(W$110,INDIRECT(""&amp;$S$109&amp;"!$A$4"):INDIRECT(""&amp;$S$109&amp;"!$o$4"),0),FALSE)),"",VLOOKUP($K111,OFFSET(INDIRECT(""&amp;$S$109&amp;"!$A$4"),0,0,200,100),MATCH(W$110,INDIRECT(""&amp;$S$109&amp;"!$A$4"):INDIRECT(""&amp;$S$109&amp;"!$o$4"),0),FALSE))</f>
        <v/>
      </c>
      <c r="X111" s="160" t="str">
        <f ca="1">IF(ISERROR(VLOOKUP($K111,OFFSET(INDIRECT(""&amp;$S$109&amp;"!$A$4"),0,0,200,100),MATCH(X$110,INDIRECT(""&amp;$S$109&amp;"!$A$4"):INDIRECT(""&amp;$S$109&amp;"!$o$4"),0),FALSE)),"",VLOOKUP($K111,OFFSET(INDIRECT(""&amp;$S$109&amp;"!$A$4"),0,0,200,100),MATCH(X$110,INDIRECT(""&amp;$S$109&amp;"!$A$4"):INDIRECT(""&amp;$S$109&amp;"!$o$4"),0),FALSE))</f>
        <v/>
      </c>
      <c r="Y111" s="160" t="str">
        <f ca="1">IF(ISERROR(VLOOKUP($K111,OFFSET(INDIRECT(""&amp;$S$109&amp;"!$A$4"),0,0,200,100),MATCH(Y$110,INDIRECT(""&amp;$S$109&amp;"!$A$4"):INDIRECT(""&amp;$S$109&amp;"!$o$4"),0),FALSE)),"",VLOOKUP($K111,OFFSET(INDIRECT(""&amp;$S$109&amp;"!$A$4"),0,0,200,100),MATCH(Y$110,INDIRECT(""&amp;$S$109&amp;"!$A$4"):INDIRECT(""&amp;$S$109&amp;"!$o$4"),0),FALSE))</f>
        <v/>
      </c>
      <c r="Z111" s="160"/>
      <c r="AA111" s="160"/>
      <c r="AC111" s="126"/>
      <c r="AD111" s="126"/>
      <c r="AE111" s="126"/>
      <c r="AF111" s="126"/>
      <c r="AG111" s="126"/>
      <c r="AH111" s="126"/>
      <c r="AI111" s="148"/>
      <c r="AJ111" s="148"/>
      <c r="AK111" s="148"/>
      <c r="AL111" s="148"/>
      <c r="AM111" s="148"/>
      <c r="AN111" s="148"/>
      <c r="AO111" s="126"/>
      <c r="AP111" s="126"/>
      <c r="AQ111" s="126"/>
      <c r="AR111" s="126"/>
      <c r="AS111" s="126"/>
      <c r="AT111" s="72"/>
      <c r="AU111" s="72"/>
      <c r="AV111" s="73"/>
      <c r="AW111" s="73"/>
      <c r="AX111" s="73"/>
      <c r="AY111" s="73"/>
      <c r="AZ111" s="73"/>
      <c r="BA111" s="73"/>
      <c r="BB111" s="73"/>
      <c r="BC111" s="73"/>
      <c r="BD111" s="73"/>
      <c r="BE111" s="73"/>
      <c r="BF111" s="73"/>
    </row>
    <row r="112" spans="1:58" s="128" customFormat="1" ht="15.95" customHeight="1">
      <c r="A112" s="111" t="s">
        <v>301</v>
      </c>
      <c r="B112" s="111" t="s">
        <v>346</v>
      </c>
      <c r="C112" s="74">
        <f ca="1">IF(ISERROR(VLOOKUP($B112,OFFSET(INDIRECT(""&amp;$B$109&amp;"!$A$4"),0,0,200,100),MATCH(C$110,INDIRECT(""&amp;$B$109&amp;"!$A$4"):INDIRECT(""&amp;$B$109&amp;"!$o$4"),0),FALSE)),"",VLOOKUP($B112,OFFSET(INDIRECT(""&amp;$B$109&amp;"!$A$4"),0,0,200,100),MATCH(C$110,INDIRECT(""&amp;$B$109&amp;"!$A$4"):INDIRECT(""&amp;$B$109&amp;"!$o$4"),0),FALSE))</f>
        <v>47574.547602999999</v>
      </c>
      <c r="D112" s="74">
        <f ca="1">IF(ISERROR(VLOOKUP($B112,OFFSET(INDIRECT(""&amp;$B$109&amp;"!$A$4"),0,0,200,100),MATCH(D$110,INDIRECT(""&amp;$B$109&amp;"!$A$4"):INDIRECT(""&amp;$B$109&amp;"!$o$4"),0),FALSE)),"",VLOOKUP($B112,OFFSET(INDIRECT(""&amp;$B$109&amp;"!$A$4"),0,0,200,100),MATCH(D$110,INDIRECT(""&amp;$B$109&amp;"!$A$4"):INDIRECT(""&amp;$B$109&amp;"!$o$4"),0),FALSE))</f>
        <v>48546.440063000002</v>
      </c>
      <c r="E112" s="74">
        <f ca="1">IF(ISERROR(VLOOKUP($B112,OFFSET(INDIRECT(""&amp;$B$109&amp;"!$A$4"),0,0,200,100),MATCH(E$110,INDIRECT(""&amp;$B$109&amp;"!$A$4"):INDIRECT(""&amp;$B$109&amp;"!$o$4"),0),FALSE)),"",VLOOKUP($B112,OFFSET(INDIRECT(""&amp;$B$109&amp;"!$A$4"),0,0,200,100),MATCH(E$110,INDIRECT(""&amp;$B$109&amp;"!$A$4"):INDIRECT(""&amp;$B$109&amp;"!$o$4"),0),FALSE))</f>
        <v>81831.908953000006</v>
      </c>
      <c r="F112" s="74">
        <f ca="1">IF(ISERROR(VLOOKUP($B112,OFFSET(INDIRECT(""&amp;$B$109&amp;"!$A$4"),0,0,200,100),MATCH(F$110,INDIRECT(""&amp;$B$109&amp;"!$A$4"):INDIRECT(""&amp;$B$109&amp;"!$o$4"),0),FALSE)),"",VLOOKUP($B112,OFFSET(INDIRECT(""&amp;$B$109&amp;"!$A$4"),0,0,200,100),MATCH(F$110,INDIRECT(""&amp;$B$109&amp;"!$A$4"):INDIRECT(""&amp;$B$109&amp;"!$o$4"),0),FALSE))</f>
        <v>69587.135345000002</v>
      </c>
      <c r="G112" s="74">
        <f ca="1">IF(ISERROR(VLOOKUP($B112,OFFSET(INDIRECT(""&amp;$B$109&amp;"!$A$4"),0,0,200,100),MATCH(G$110,INDIRECT(""&amp;$B$109&amp;"!$A$4"):INDIRECT(""&amp;$B$109&amp;"!$o$4"),0),FALSE)),"",VLOOKUP($B112,OFFSET(INDIRECT(""&amp;$B$109&amp;"!$A$4"),0,0,200,100),MATCH(G$110,INDIRECT(""&amp;$B$109&amp;"!$A$4"):INDIRECT(""&amp;$B$109&amp;"!$o$4"),0),FALSE))</f>
        <v>47040.089518000001</v>
      </c>
      <c r="H112" s="74">
        <f ca="1">IF(ISERROR(VLOOKUP($B112,OFFSET(INDIRECT(""&amp;$B$109&amp;"!$A$4"),0,0,200,100),MATCH(H$110,INDIRECT(""&amp;$B$109&amp;"!$A$4"):INDIRECT(""&amp;$B$109&amp;"!$o$4"),0),FALSE)),"",VLOOKUP($B112,OFFSET(INDIRECT(""&amp;$B$109&amp;"!$A$4"),0,0,200,100),MATCH(H$110,INDIRECT(""&amp;$B$109&amp;"!$A$4"):INDIRECT(""&amp;$B$109&amp;"!$o$4"),0),FALSE))</f>
        <v>18842.470161000001</v>
      </c>
      <c r="I112" s="74">
        <f ca="1">IF(ISERROR(VLOOKUP($B112,OFFSET(INDIRECT(""&amp;$B$109&amp;"!$A$4"),0,0,200,100),MATCH(I$110,INDIRECT(""&amp;$B$109&amp;"!$A$4"):INDIRECT(""&amp;$B$109&amp;"!$o$4"),0),FALSE)),"",VLOOKUP($B112,OFFSET(INDIRECT(""&amp;$B$109&amp;"!$A$4"),0,0,200,100),MATCH(I$110,INDIRECT(""&amp;$B$109&amp;"!$A$4"):INDIRECT(""&amp;$B$109&amp;"!$o$4"),0),FALSE))</f>
        <v>10730.692444</v>
      </c>
      <c r="J112" s="74">
        <f ca="1">IF(ISERROR(VLOOKUP($B112,OFFSET(INDIRECT(""&amp;$B$109&amp;"!$A$4"),0,0,200,100),MATCH(J$110,INDIRECT(""&amp;$B$109&amp;"!$A$4"):INDIRECT(""&amp;$B$109&amp;"!$o$4"),0),FALSE)),"",VLOOKUP($B112,OFFSET(INDIRECT(""&amp;$B$109&amp;"!$A$4"),0,0,200,100),MATCH(J$110,INDIRECT(""&amp;$B$109&amp;"!$A$4"):INDIRECT(""&amp;$B$109&amp;"!$o$4"),0),FALSE))</f>
        <v>10730.692444</v>
      </c>
      <c r="K112" s="129" t="s">
        <v>346</v>
      </c>
      <c r="L112" s="160">
        <f ca="1">IF(ISERROR(VLOOKUP($K112,OFFSET(INDIRECT(""&amp;$S$109&amp;"!$A$4"),0,0,200,100),MATCH(L$110,INDIRECT(""&amp;$S$109&amp;"!$A$4"):INDIRECT(""&amp;$S$109&amp;"!$o$4"),0),FALSE)),"",VLOOKUP($K112,OFFSET(INDIRECT(""&amp;$S$109&amp;"!$A$4"),0,0,200,100),MATCH(L$110,INDIRECT(""&amp;$S$109&amp;"!$A$4"):INDIRECT(""&amp;$S$109&amp;"!$o$4"),0),FALSE))</f>
        <v>0</v>
      </c>
      <c r="M112" s="160">
        <f ca="1">IF(ISERROR(VLOOKUP($K112,OFFSET(INDIRECT(""&amp;$S$109&amp;"!$A$4"),0,0,200,100),MATCH(M$110,INDIRECT(""&amp;$S$109&amp;"!$A$4"):INDIRECT(""&amp;$S$109&amp;"!$o$4"),0),FALSE)),"",VLOOKUP($K112,OFFSET(INDIRECT(""&amp;$S$109&amp;"!$A$4"),0,0,200,100),MATCH(M$110,INDIRECT(""&amp;$S$109&amp;"!$A$4"):INDIRECT(""&amp;$S$109&amp;"!$o$4"),0),FALSE))</f>
        <v>46082.891752000003</v>
      </c>
      <c r="N112" s="160">
        <f ca="1">IF(ISERROR(VLOOKUP($K112,OFFSET(INDIRECT(""&amp;$S$109&amp;"!$A$4"),0,0,200,100),MATCH(N$110,INDIRECT(""&amp;$S$109&amp;"!$A$4"):INDIRECT(""&amp;$S$109&amp;"!$o$4"),0),FALSE)),"",VLOOKUP($K112,OFFSET(INDIRECT(""&amp;$S$109&amp;"!$A$4"),0,0,200,100),MATCH(N$110,INDIRECT(""&amp;$S$109&amp;"!$A$4"):INDIRECT(""&amp;$S$109&amp;"!$o$4"),0),FALSE))</f>
        <v>0</v>
      </c>
      <c r="O112" s="160">
        <f ca="1">IF(ISERROR(VLOOKUP($K112,OFFSET(INDIRECT(""&amp;$S$109&amp;"!$A$4"),0,0,200,100),MATCH(O$110,INDIRECT(""&amp;$S$109&amp;"!$A$4"):INDIRECT(""&amp;$S$109&amp;"!$o$4"),0),FALSE)),"",VLOOKUP($K112,OFFSET(INDIRECT(""&amp;$S$109&amp;"!$A$4"),0,0,200,100),MATCH(O$110,INDIRECT(""&amp;$S$109&amp;"!$A$4"):INDIRECT(""&amp;$S$109&amp;"!$o$4"),0),FALSE))</f>
        <v>0</v>
      </c>
      <c r="P112" s="160">
        <f ca="1">IF(ISERROR(VLOOKUP($K112,OFFSET(INDIRECT(""&amp;$S$109&amp;"!$A$4"),0,0,200,100),MATCH(P$110,INDIRECT(""&amp;$S$109&amp;"!$A$4"):INDIRECT(""&amp;$S$109&amp;"!$o$4"),0),FALSE)),"",VLOOKUP($K112,OFFSET(INDIRECT(""&amp;$S$109&amp;"!$A$4"),0,0,200,100),MATCH(P$110,INDIRECT(""&amp;$S$109&amp;"!$A$4"):INDIRECT(""&amp;$S$109&amp;"!$o$4"),0),FALSE))</f>
        <v>0</v>
      </c>
      <c r="Q112" s="160">
        <f ca="1">IF(ISERROR(VLOOKUP($K112,OFFSET(INDIRECT(""&amp;$S$109&amp;"!$A$4"),0,0,200,100),MATCH(Q$110,INDIRECT(""&amp;$S$109&amp;"!$A$4"):INDIRECT(""&amp;$S$109&amp;"!$o$4"),0),FALSE)),"",VLOOKUP($K112,OFFSET(INDIRECT(""&amp;$S$109&amp;"!$A$4"),0,0,200,100),MATCH(Q$110,INDIRECT(""&amp;$S$109&amp;"!$A$4"):INDIRECT(""&amp;$S$109&amp;"!$o$4"),0),FALSE))</f>
        <v>0</v>
      </c>
      <c r="R112" s="160">
        <f ca="1">IF(ISERROR(VLOOKUP($K112,OFFSET(INDIRECT(""&amp;$S$109&amp;"!$A$4"),0,0,200,100),MATCH(R$110,INDIRECT(""&amp;$S$109&amp;"!$A$4"):INDIRECT(""&amp;$S$109&amp;"!$o$4"),0),FALSE)),"",VLOOKUP($K112,OFFSET(INDIRECT(""&amp;$S$109&amp;"!$A$4"),0,0,200,100),MATCH(R$110,INDIRECT(""&amp;$S$109&amp;"!$A$4"):INDIRECT(""&amp;$S$109&amp;"!$o$4"),0),FALSE))</f>
        <v>0</v>
      </c>
      <c r="S112" s="160">
        <f ca="1">IF(ISERROR(VLOOKUP($K112,OFFSET(INDIRECT(""&amp;$S$109&amp;"!$A$4"),0,0,200,100),MATCH(S$110,INDIRECT(""&amp;$S$109&amp;"!$A$4"):INDIRECT(""&amp;$S$109&amp;"!$o$4"),0),FALSE)),"",VLOOKUP($K112,OFFSET(INDIRECT(""&amp;$S$109&amp;"!$A$4"),0,0,200,100),MATCH(S$110,INDIRECT(""&amp;$S$109&amp;"!$A$4"):INDIRECT(""&amp;$S$109&amp;"!$o$4"),0),FALSE))</f>
        <v>0</v>
      </c>
      <c r="T112" s="160">
        <f ca="1">IF(ISERROR(VLOOKUP($K112,OFFSET(INDIRECT(""&amp;$S$109&amp;"!$A$4"),0,0,200,100),MATCH(T$110,INDIRECT(""&amp;$S$109&amp;"!$A$4"):INDIRECT(""&amp;$S$109&amp;"!$o$4"),0),FALSE)),"",VLOOKUP($K112,OFFSET(INDIRECT(""&amp;$S$109&amp;"!$A$4"),0,0,200,100),MATCH(T$110,INDIRECT(""&amp;$S$109&amp;"!$A$4"):INDIRECT(""&amp;$S$109&amp;"!$o$4"),0),FALSE))</f>
        <v>0</v>
      </c>
      <c r="U112" s="160">
        <f ca="1">IF(ISERROR(VLOOKUP($K112,OFFSET(INDIRECT(""&amp;$S$109&amp;"!$A$4"),0,0,200,100),MATCH(U$110,INDIRECT(""&amp;$S$109&amp;"!$A$4"):INDIRECT(""&amp;$S$109&amp;"!$o$4"),0),FALSE)),"",VLOOKUP($K112,OFFSET(INDIRECT(""&amp;$S$109&amp;"!$A$4"),0,0,200,100),MATCH(U$110,INDIRECT(""&amp;$S$109&amp;"!$A$4"):INDIRECT(""&amp;$S$109&amp;"!$o$4"),0),FALSE))</f>
        <v>0</v>
      </c>
      <c r="V112" s="160">
        <f ca="1">IF(ISERROR(VLOOKUP($K112,OFFSET(INDIRECT(""&amp;$S$109&amp;"!$A$4"),0,0,200,100),MATCH(V$110,INDIRECT(""&amp;$S$109&amp;"!$A$4"):INDIRECT(""&amp;$S$109&amp;"!$o$4"),0),FALSE)),"",VLOOKUP($K112,OFFSET(INDIRECT(""&amp;$S$109&amp;"!$A$4"),0,0,200,100),MATCH(V$110,INDIRECT(""&amp;$S$109&amp;"!$A$4"):INDIRECT(""&amp;$S$109&amp;"!$o$4"),0),FALSE))</f>
        <v>0</v>
      </c>
      <c r="W112" s="160">
        <f ca="1">IF(ISERROR(VLOOKUP($K112,OFFSET(INDIRECT(""&amp;$S$109&amp;"!$A$4"),0,0,200,100),MATCH(W$110,INDIRECT(""&amp;$S$109&amp;"!$A$4"):INDIRECT(""&amp;$S$109&amp;"!$o$4"),0),FALSE)),"",VLOOKUP($K112,OFFSET(INDIRECT(""&amp;$S$109&amp;"!$A$4"),0,0,200,100),MATCH(W$110,INDIRECT(""&amp;$S$109&amp;"!$A$4"):INDIRECT(""&amp;$S$109&amp;"!$o$4"),0),FALSE))</f>
        <v>0</v>
      </c>
      <c r="X112" s="160">
        <f ca="1">IF(ISERROR(VLOOKUP($K112,OFFSET(INDIRECT(""&amp;$S$109&amp;"!$A$4"),0,0,200,100),MATCH(X$110,INDIRECT(""&amp;$S$109&amp;"!$A$4"):INDIRECT(""&amp;$S$109&amp;"!$o$4"),0),FALSE)),"",VLOOKUP($K112,OFFSET(INDIRECT(""&amp;$S$109&amp;"!$A$4"),0,0,200,100),MATCH(X$110,INDIRECT(""&amp;$S$109&amp;"!$A$4"):INDIRECT(""&amp;$S$109&amp;"!$o$4"),0),FALSE))</f>
        <v>0</v>
      </c>
      <c r="Y112" s="160">
        <f ca="1">IF(ISERROR(VLOOKUP($K112,OFFSET(INDIRECT(""&amp;$S$109&amp;"!$A$4"),0,0,200,100),MATCH(Y$110,INDIRECT(""&amp;$S$109&amp;"!$A$4"):INDIRECT(""&amp;$S$109&amp;"!$o$4"),0),FALSE)),"",VLOOKUP($K112,OFFSET(INDIRECT(""&amp;$S$109&amp;"!$A$4"),0,0,200,100),MATCH(Y$110,INDIRECT(""&amp;$S$109&amp;"!$A$4"):INDIRECT(""&amp;$S$109&amp;"!$o$4"),0),FALSE))</f>
        <v>0</v>
      </c>
      <c r="Z112" s="160">
        <f ca="1">IF(ISERROR(VLOOKUP($K112,OFFSET(INDIRECT(""&amp;$S$109&amp;"!$A$4"),0,0,200,100),MATCH(Z$110,INDIRECT(""&amp;$S$109&amp;"!$A$4"):INDIRECT(""&amp;$S$109&amp;"!$P$4"),0),FALSE)),"",VLOOKUP($K112,OFFSET(INDIRECT(""&amp;$S$109&amp;"!$A$4"),0,0,200,100),MATCH(Z$110,INDIRECT(""&amp;$S$109&amp;"!$A$4"):INDIRECT(""&amp;$S$109&amp;"!$P$4"),0),FALSE))</f>
        <v>0</v>
      </c>
      <c r="AA112" s="160"/>
      <c r="AC112" s="126"/>
      <c r="AD112" s="126"/>
      <c r="AE112" s="126"/>
      <c r="AF112" s="126"/>
      <c r="AG112" s="126"/>
      <c r="AH112" s="126"/>
      <c r="AI112" s="148"/>
      <c r="AJ112" s="148"/>
      <c r="AK112" s="148"/>
      <c r="AL112" s="148"/>
      <c r="AM112" s="148"/>
      <c r="AN112" s="148"/>
      <c r="AO112" s="126"/>
      <c r="AP112" s="126"/>
      <c r="AQ112" s="126"/>
      <c r="AR112" s="126"/>
      <c r="AS112" s="126"/>
      <c r="AT112" s="72"/>
      <c r="AU112" s="72"/>
      <c r="AV112" s="73"/>
      <c r="AW112" s="73"/>
      <c r="AX112" s="73"/>
      <c r="AY112" s="73"/>
      <c r="AZ112" s="73"/>
      <c r="BA112" s="73"/>
      <c r="BB112" s="73"/>
      <c r="BC112" s="73"/>
      <c r="BD112" s="73"/>
      <c r="BE112" s="73"/>
      <c r="BF112" s="73"/>
    </row>
    <row r="113" spans="1:58" s="128" customFormat="1" ht="15.95" customHeight="1">
      <c r="A113" s="111" t="s">
        <v>302</v>
      </c>
      <c r="B113" s="111"/>
      <c r="C113" s="74" t="str">
        <f ca="1">IF(ISERROR(VLOOKUP($B113,OFFSET(INDIRECT(""&amp;$B$109&amp;"!$A$4"),0,0,200,100),MATCH(C$110,INDIRECT(""&amp;$B$109&amp;"!$A$4"):INDIRECT(""&amp;$B$109&amp;"!$o$4"),0),FALSE)),"",VLOOKUP($B113,OFFSET(INDIRECT(""&amp;$B$109&amp;"!$A$4"),0,0,200,100),MATCH(C$110,INDIRECT(""&amp;$B$109&amp;"!$A$4"):INDIRECT(""&amp;$B$109&amp;"!$o$4"),0),FALSE))</f>
        <v/>
      </c>
      <c r="D113" s="74" t="str">
        <f ca="1">IF(ISERROR(VLOOKUP($B113,OFFSET(INDIRECT(""&amp;$B$109&amp;"!$A$4"),0,0,200,100),MATCH(D$110,INDIRECT(""&amp;$B$109&amp;"!$A$4"):INDIRECT(""&amp;$B$109&amp;"!$o$4"),0),FALSE)),"",VLOOKUP($B113,OFFSET(INDIRECT(""&amp;$B$109&amp;"!$A$4"),0,0,200,100),MATCH(D$110,INDIRECT(""&amp;$B$109&amp;"!$A$4"):INDIRECT(""&amp;$B$109&amp;"!$o$4"),0),FALSE))</f>
        <v/>
      </c>
      <c r="E113" s="74" t="str">
        <f ca="1">IF(ISERROR(VLOOKUP($B113,OFFSET(INDIRECT(""&amp;$B$109&amp;"!$A$4"),0,0,200,100),MATCH(E$110,INDIRECT(""&amp;$B$109&amp;"!$A$4"):INDIRECT(""&amp;$B$109&amp;"!$o$4"),0),FALSE)),"",VLOOKUP($B113,OFFSET(INDIRECT(""&amp;$B$109&amp;"!$A$4"),0,0,200,100),MATCH(E$110,INDIRECT(""&amp;$B$109&amp;"!$A$4"):INDIRECT(""&amp;$B$109&amp;"!$o$4"),0),FALSE))</f>
        <v/>
      </c>
      <c r="F113" s="74" t="str">
        <f ca="1">IF(ISERROR(VLOOKUP($B113,OFFSET(INDIRECT(""&amp;$B$109&amp;"!$A$4"),0,0,200,100),MATCH(F$110,INDIRECT(""&amp;$B$109&amp;"!$A$4"):INDIRECT(""&amp;$B$109&amp;"!$o$4"),0),FALSE)),"",VLOOKUP($B113,OFFSET(INDIRECT(""&amp;$B$109&amp;"!$A$4"),0,0,200,100),MATCH(F$110,INDIRECT(""&amp;$B$109&amp;"!$A$4"):INDIRECT(""&amp;$B$109&amp;"!$o$4"),0),FALSE))</f>
        <v/>
      </c>
      <c r="G113" s="74" t="str">
        <f ca="1">IF(ISERROR(VLOOKUP($B113,OFFSET(INDIRECT(""&amp;$B$109&amp;"!$A$4"),0,0,200,100),MATCH(G$110,INDIRECT(""&amp;$B$109&amp;"!$A$4"):INDIRECT(""&amp;$B$109&amp;"!$o$4"),0),FALSE)),"",VLOOKUP($B113,OFFSET(INDIRECT(""&amp;$B$109&amp;"!$A$4"),0,0,200,100),MATCH(G$110,INDIRECT(""&amp;$B$109&amp;"!$A$4"):INDIRECT(""&amp;$B$109&amp;"!$o$4"),0),FALSE))</f>
        <v/>
      </c>
      <c r="H113" s="74" t="str">
        <f ca="1">IF(ISERROR(VLOOKUP($B113,OFFSET(INDIRECT(""&amp;$B$109&amp;"!$A$4"),0,0,200,100),MATCH(H$110,INDIRECT(""&amp;$B$109&amp;"!$A$4"):INDIRECT(""&amp;$B$109&amp;"!$o$4"),0),FALSE)),"",VLOOKUP($B113,OFFSET(INDIRECT(""&amp;$B$109&amp;"!$A$4"),0,0,200,100),MATCH(H$110,INDIRECT(""&amp;$B$109&amp;"!$A$4"):INDIRECT(""&amp;$B$109&amp;"!$o$4"),0),FALSE))</f>
        <v/>
      </c>
      <c r="I113" s="74" t="str">
        <f ca="1">IF(ISERROR(VLOOKUP($B113,OFFSET(INDIRECT(""&amp;$B$109&amp;"!$A$4"),0,0,200,100),MATCH(I$110,INDIRECT(""&amp;$B$109&amp;"!$A$4"):INDIRECT(""&amp;$B$109&amp;"!$o$4"),0),FALSE)),"",VLOOKUP($B113,OFFSET(INDIRECT(""&amp;$B$109&amp;"!$A$4"),0,0,200,100),MATCH(I$110,INDIRECT(""&amp;$B$109&amp;"!$A$4"):INDIRECT(""&amp;$B$109&amp;"!$o$4"),0),FALSE))</f>
        <v/>
      </c>
      <c r="J113" s="74" t="str">
        <f ca="1">IF(ISERROR(VLOOKUP($B113,OFFSET(INDIRECT(""&amp;$B$109&amp;"!$A$4"),0,0,200,100),MATCH(J$110,INDIRECT(""&amp;$B$109&amp;"!$A$4"):INDIRECT(""&amp;$B$109&amp;"!$o$4"),0),FALSE)),"",VLOOKUP($B113,OFFSET(INDIRECT(""&amp;$B$109&amp;"!$A$4"),0,0,200,100),MATCH(J$110,INDIRECT(""&amp;$B$109&amp;"!$A$4"):INDIRECT(""&amp;$B$109&amp;"!$o$4"),0),FALSE))</f>
        <v/>
      </c>
      <c r="K113" s="129"/>
      <c r="L113" s="160" t="str">
        <f ca="1">IF(ISERROR(VLOOKUP($K113,OFFSET(INDIRECT(""&amp;$S$109&amp;"!$A$4"),0,0,200,100),MATCH(L$110,INDIRECT(""&amp;$S$109&amp;"!$A$4"):INDIRECT(""&amp;$S$109&amp;"!$o$4"),0),FALSE)),"",VLOOKUP($K113,OFFSET(INDIRECT(""&amp;$S$109&amp;"!$A$4"),0,0,200,100),MATCH(L$110,INDIRECT(""&amp;$S$109&amp;"!$A$4"):INDIRECT(""&amp;$S$109&amp;"!$o$4"),0),FALSE))</f>
        <v/>
      </c>
      <c r="M113" s="160" t="str">
        <f ca="1">IF(ISERROR(VLOOKUP($K113,OFFSET(INDIRECT(""&amp;$S$109&amp;"!$A$4"),0,0,200,100),MATCH(M$110,INDIRECT(""&amp;$S$109&amp;"!$A$4"):INDIRECT(""&amp;$S$109&amp;"!$o$4"),0),FALSE)),"",VLOOKUP($K113,OFFSET(INDIRECT(""&amp;$S$109&amp;"!$A$4"),0,0,200,100),MATCH(M$110,INDIRECT(""&amp;$S$109&amp;"!$A$4"):INDIRECT(""&amp;$S$109&amp;"!$o$4"),0),FALSE))</f>
        <v/>
      </c>
      <c r="N113" s="160" t="str">
        <f ca="1">IF(ISERROR(VLOOKUP($K113,OFFSET(INDIRECT(""&amp;$S$109&amp;"!$A$4"),0,0,200,100),MATCH(N$110,INDIRECT(""&amp;$S$109&amp;"!$A$4"):INDIRECT(""&amp;$S$109&amp;"!$o$4"),0),FALSE)),"",VLOOKUP($K113,OFFSET(INDIRECT(""&amp;$S$109&amp;"!$A$4"),0,0,200,100),MATCH(N$110,INDIRECT(""&amp;$S$109&amp;"!$A$4"):INDIRECT(""&amp;$S$109&amp;"!$o$4"),0),FALSE))</f>
        <v/>
      </c>
      <c r="O113" s="160" t="str">
        <f ca="1">IF(ISERROR(VLOOKUP($K113,OFFSET(INDIRECT(""&amp;$S$109&amp;"!$A$4"),0,0,200,100),MATCH(O$110,INDIRECT(""&amp;$S$109&amp;"!$A$4"):INDIRECT(""&amp;$S$109&amp;"!$o$4"),0),FALSE)),"",VLOOKUP($K113,OFFSET(INDIRECT(""&amp;$S$109&amp;"!$A$4"),0,0,200,100),MATCH(O$110,INDIRECT(""&amp;$S$109&amp;"!$A$4"):INDIRECT(""&amp;$S$109&amp;"!$o$4"),0),FALSE))</f>
        <v/>
      </c>
      <c r="P113" s="160" t="str">
        <f ca="1">IF(ISERROR(VLOOKUP($K113,OFFSET(INDIRECT(""&amp;$S$109&amp;"!$A$4"),0,0,200,100),MATCH(P$110,INDIRECT(""&amp;$S$109&amp;"!$A$4"):INDIRECT(""&amp;$S$109&amp;"!$o$4"),0),FALSE)),"",VLOOKUP($K113,OFFSET(INDIRECT(""&amp;$S$109&amp;"!$A$4"),0,0,200,100),MATCH(P$110,INDIRECT(""&amp;$S$109&amp;"!$A$4"):INDIRECT(""&amp;$S$109&amp;"!$o$4"),0),FALSE))</f>
        <v/>
      </c>
      <c r="Q113" s="160" t="str">
        <f ca="1">IF(ISERROR(VLOOKUP($K113,OFFSET(INDIRECT(""&amp;$S$109&amp;"!$A$4"),0,0,200,100),MATCH(Q$110,INDIRECT(""&amp;$S$109&amp;"!$A$4"):INDIRECT(""&amp;$S$109&amp;"!$o$4"),0),FALSE)),"",VLOOKUP($K113,OFFSET(INDIRECT(""&amp;$S$109&amp;"!$A$4"),0,0,200,100),MATCH(Q$110,INDIRECT(""&amp;$S$109&amp;"!$A$4"):INDIRECT(""&amp;$S$109&amp;"!$o$4"),0),FALSE))</f>
        <v/>
      </c>
      <c r="R113" s="160" t="str">
        <f ca="1">IF(ISERROR(VLOOKUP($K113,OFFSET(INDIRECT(""&amp;$S$109&amp;"!$A$4"),0,0,200,100),MATCH(R$110,INDIRECT(""&amp;$S$109&amp;"!$A$4"):INDIRECT(""&amp;$S$109&amp;"!$o$4"),0),FALSE)),"",VLOOKUP($K113,OFFSET(INDIRECT(""&amp;$S$109&amp;"!$A$4"),0,0,200,100),MATCH(R$110,INDIRECT(""&amp;$S$109&amp;"!$A$4"):INDIRECT(""&amp;$S$109&amp;"!$o$4"),0),FALSE))</f>
        <v/>
      </c>
      <c r="S113" s="160" t="str">
        <f ca="1">IF(ISERROR(VLOOKUP($K113,OFFSET(INDIRECT(""&amp;$S$109&amp;"!$A$4"),0,0,200,100),MATCH(S$110,INDIRECT(""&amp;$S$109&amp;"!$A$4"):INDIRECT(""&amp;$S$109&amp;"!$o$4"),0),FALSE)),"",VLOOKUP($K113,OFFSET(INDIRECT(""&amp;$S$109&amp;"!$A$4"),0,0,200,100),MATCH(S$110,INDIRECT(""&amp;$S$109&amp;"!$A$4"):INDIRECT(""&amp;$S$109&amp;"!$o$4"),0),FALSE))</f>
        <v/>
      </c>
      <c r="T113" s="160" t="str">
        <f ca="1">IF(ISERROR(VLOOKUP($K113,OFFSET(INDIRECT(""&amp;$S$109&amp;"!$A$4"),0,0,200,100),MATCH(T$110,INDIRECT(""&amp;$S$109&amp;"!$A$4"):INDIRECT(""&amp;$S$109&amp;"!$o$4"),0),FALSE)),"",VLOOKUP($K113,OFFSET(INDIRECT(""&amp;$S$109&amp;"!$A$4"),0,0,200,100),MATCH(T$110,INDIRECT(""&amp;$S$109&amp;"!$A$4"):INDIRECT(""&amp;$S$109&amp;"!$o$4"),0),FALSE))</f>
        <v/>
      </c>
      <c r="U113" s="160" t="str">
        <f ca="1">IF(ISERROR(VLOOKUP($K113,OFFSET(INDIRECT(""&amp;$S$109&amp;"!$A$4"),0,0,200,100),MATCH(U$110,INDIRECT(""&amp;$S$109&amp;"!$A$4"):INDIRECT(""&amp;$S$109&amp;"!$o$4"),0),FALSE)),"",VLOOKUP($K113,OFFSET(INDIRECT(""&amp;$S$109&amp;"!$A$4"),0,0,200,100),MATCH(U$110,INDIRECT(""&amp;$S$109&amp;"!$A$4"):INDIRECT(""&amp;$S$109&amp;"!$o$4"),0),FALSE))</f>
        <v/>
      </c>
      <c r="V113" s="160" t="str">
        <f ca="1">IF(ISERROR(VLOOKUP($K113,OFFSET(INDIRECT(""&amp;$S$109&amp;"!$A$4"),0,0,200,100),MATCH(V$110,INDIRECT(""&amp;$S$109&amp;"!$A$4"):INDIRECT(""&amp;$S$109&amp;"!$o$4"),0),FALSE)),"",VLOOKUP($K113,OFFSET(INDIRECT(""&amp;$S$109&amp;"!$A$4"),0,0,200,100),MATCH(V$110,INDIRECT(""&amp;$S$109&amp;"!$A$4"):INDIRECT(""&amp;$S$109&amp;"!$o$4"),0),FALSE))</f>
        <v/>
      </c>
      <c r="W113" s="160" t="str">
        <f ca="1">IF(ISERROR(VLOOKUP($K113,OFFSET(INDIRECT(""&amp;$S$109&amp;"!$A$4"),0,0,200,100),MATCH(W$110,INDIRECT(""&amp;$S$109&amp;"!$A$4"):INDIRECT(""&amp;$S$109&amp;"!$o$4"),0),FALSE)),"",VLOOKUP($K113,OFFSET(INDIRECT(""&amp;$S$109&amp;"!$A$4"),0,0,200,100),MATCH(W$110,INDIRECT(""&amp;$S$109&amp;"!$A$4"):INDIRECT(""&amp;$S$109&amp;"!$o$4"),0),FALSE))</f>
        <v/>
      </c>
      <c r="X113" s="160" t="str">
        <f ca="1">IF(ISERROR(VLOOKUP($K113,OFFSET(INDIRECT(""&amp;$S$109&amp;"!$A$4"),0,0,200,100),MATCH(X$110,INDIRECT(""&amp;$S$109&amp;"!$A$4"):INDIRECT(""&amp;$S$109&amp;"!$o$4"),0),FALSE)),"",VLOOKUP($K113,OFFSET(INDIRECT(""&amp;$S$109&amp;"!$A$4"),0,0,200,100),MATCH(X$110,INDIRECT(""&amp;$S$109&amp;"!$A$4"):INDIRECT(""&amp;$S$109&amp;"!$o$4"),0),FALSE))</f>
        <v/>
      </c>
      <c r="Y113" s="160" t="str">
        <f ca="1">IF(ISERROR(VLOOKUP($K113,OFFSET(INDIRECT(""&amp;$S$109&amp;"!$A$4"),0,0,200,100),MATCH(Y$110,INDIRECT(""&amp;$S$109&amp;"!$A$4"):INDIRECT(""&amp;$S$109&amp;"!$o$4"),0),FALSE)),"",VLOOKUP($K113,OFFSET(INDIRECT(""&amp;$S$109&amp;"!$A$4"),0,0,200,100),MATCH(Y$110,INDIRECT(""&amp;$S$109&amp;"!$A$4"):INDIRECT(""&amp;$S$109&amp;"!$o$4"),0),FALSE))</f>
        <v/>
      </c>
      <c r="Z113" s="160" t="str">
        <f ca="1">IF(ISERROR(VLOOKUP($K113,OFFSET(INDIRECT(""&amp;$S$109&amp;"!$A$4"),0,0,200,100),MATCH(Z$110,INDIRECT(""&amp;$S$109&amp;"!$A$4"):INDIRECT(""&amp;$S$109&amp;"!$P$4"),0),FALSE)),"",VLOOKUP($K113,OFFSET(INDIRECT(""&amp;$S$109&amp;"!$A$4"),0,0,200,100),MATCH(Z$110,INDIRECT(""&amp;$S$109&amp;"!$A$4"):INDIRECT(""&amp;$S$109&amp;"!$P$4"),0),FALSE))</f>
        <v/>
      </c>
      <c r="AA113" s="160"/>
      <c r="AC113" s="126"/>
      <c r="AD113" s="126"/>
      <c r="AE113" s="126"/>
      <c r="AF113" s="126"/>
      <c r="AG113" s="126"/>
      <c r="AH113" s="126"/>
      <c r="AI113" s="148"/>
      <c r="AJ113" s="148"/>
      <c r="AK113" s="148"/>
      <c r="AL113" s="148"/>
      <c r="AM113" s="148"/>
      <c r="AN113" s="148"/>
      <c r="AO113" s="126"/>
      <c r="AP113" s="126"/>
      <c r="AQ113" s="126"/>
      <c r="AR113" s="126"/>
      <c r="AS113" s="126"/>
      <c r="AT113" s="72"/>
      <c r="AU113" s="72"/>
      <c r="AV113" s="73"/>
      <c r="AW113" s="73"/>
      <c r="AX113" s="73"/>
      <c r="AY113" s="73"/>
      <c r="AZ113" s="73"/>
      <c r="BA113" s="73"/>
      <c r="BB113" s="73"/>
      <c r="BC113" s="73"/>
      <c r="BD113" s="73"/>
      <c r="BE113" s="73"/>
      <c r="BF113" s="73"/>
    </row>
    <row r="114" spans="1:58" s="128" customFormat="1" ht="15.95" customHeight="1">
      <c r="A114" s="111" t="s">
        <v>303</v>
      </c>
      <c r="B114" s="111" t="s">
        <v>380</v>
      </c>
      <c r="C114" s="74">
        <f ca="1">IF(ISERROR(VLOOKUP($B114,OFFSET(INDIRECT(""&amp;$B$109&amp;"!$A$4"),0,0,200,100),MATCH(C$110,INDIRECT(""&amp;$B$109&amp;"!$A$4"):INDIRECT(""&amp;$B$109&amp;"!$o$4"),0),FALSE)),"",VLOOKUP($B114,OFFSET(INDIRECT(""&amp;$B$109&amp;"!$A$4"),0,0,200,100),MATCH(C$110,INDIRECT(""&amp;$B$109&amp;"!$A$4"):INDIRECT(""&amp;$B$109&amp;"!$o$4"),0),FALSE))</f>
        <v>2438.149715</v>
      </c>
      <c r="D114" s="74">
        <f ca="1">IF(ISERROR(VLOOKUP($B114,OFFSET(INDIRECT(""&amp;$B$109&amp;"!$A$4"),0,0,200,100),MATCH(D$110,INDIRECT(""&amp;$B$109&amp;"!$A$4"):INDIRECT(""&amp;$B$109&amp;"!$o$4"),0),FALSE)),"",VLOOKUP($B114,OFFSET(INDIRECT(""&amp;$B$109&amp;"!$A$4"),0,0,200,100),MATCH(D$110,INDIRECT(""&amp;$B$109&amp;"!$A$4"):INDIRECT(""&amp;$B$109&amp;"!$o$4"),0),FALSE))</f>
        <v>2606.8362860000002</v>
      </c>
      <c r="E114" s="74">
        <f ca="1">IF(ISERROR(VLOOKUP($B114,OFFSET(INDIRECT(""&amp;$B$109&amp;"!$A$4"),0,0,200,100),MATCH(E$110,INDIRECT(""&amp;$B$109&amp;"!$A$4"):INDIRECT(""&amp;$B$109&amp;"!$o$4"),0),FALSE)),"",VLOOKUP($B114,OFFSET(INDIRECT(""&amp;$B$109&amp;"!$A$4"),0,0,200,100),MATCH(E$110,INDIRECT(""&amp;$B$109&amp;"!$A$4"):INDIRECT(""&amp;$B$109&amp;"!$o$4"),0),FALSE))</f>
        <v>2355.2017070000002</v>
      </c>
      <c r="F114" s="74">
        <f ca="1">IF(ISERROR(VLOOKUP($B114,OFFSET(INDIRECT(""&amp;$B$109&amp;"!$A$4"),0,0,200,100),MATCH(F$110,INDIRECT(""&amp;$B$109&amp;"!$A$4"):INDIRECT(""&amp;$B$109&amp;"!$o$4"),0),FALSE)),"",VLOOKUP($B114,OFFSET(INDIRECT(""&amp;$B$109&amp;"!$A$4"),0,0,200,100),MATCH(F$110,INDIRECT(""&amp;$B$109&amp;"!$A$4"):INDIRECT(""&amp;$B$109&amp;"!$o$4"),0),FALSE))</f>
        <v>3493.4532760000002</v>
      </c>
      <c r="G114" s="74">
        <f ca="1">IF(ISERROR(VLOOKUP($B114,OFFSET(INDIRECT(""&amp;$B$109&amp;"!$A$4"),0,0,200,100),MATCH(G$110,INDIRECT(""&amp;$B$109&amp;"!$A$4"):INDIRECT(""&amp;$B$109&amp;"!$o$4"),0),FALSE)),"",VLOOKUP($B114,OFFSET(INDIRECT(""&amp;$B$109&amp;"!$A$4"),0,0,200,100),MATCH(G$110,INDIRECT(""&amp;$B$109&amp;"!$A$4"):INDIRECT(""&amp;$B$109&amp;"!$o$4"),0),FALSE))</f>
        <v>7952.5981869999996</v>
      </c>
      <c r="H114" s="74">
        <f ca="1">IF(ISERROR(VLOOKUP($B114,OFFSET(INDIRECT(""&amp;$B$109&amp;"!$A$4"),0,0,200,100),MATCH(H$110,INDIRECT(""&amp;$B$109&amp;"!$A$4"):INDIRECT(""&amp;$B$109&amp;"!$o$4"),0),FALSE)),"",VLOOKUP($B114,OFFSET(INDIRECT(""&amp;$B$109&amp;"!$A$4"),0,0,200,100),MATCH(H$110,INDIRECT(""&amp;$B$109&amp;"!$A$4"):INDIRECT(""&amp;$B$109&amp;"!$o$4"),0),FALSE))</f>
        <v>16059.227774000001</v>
      </c>
      <c r="I114" s="74">
        <f ca="1">IF(ISERROR(VLOOKUP($B114,OFFSET(INDIRECT(""&amp;$B$109&amp;"!$A$4"),0,0,200,100),MATCH(I$110,INDIRECT(""&amp;$B$109&amp;"!$A$4"):INDIRECT(""&amp;$B$109&amp;"!$o$4"),0),FALSE)),"",VLOOKUP($B114,OFFSET(INDIRECT(""&amp;$B$109&amp;"!$A$4"),0,0,200,100),MATCH(I$110,INDIRECT(""&amp;$B$109&amp;"!$A$4"):INDIRECT(""&amp;$B$109&amp;"!$o$4"),0),FALSE))</f>
        <v>11980.664847</v>
      </c>
      <c r="J114" s="74">
        <f ca="1">IF(ISERROR(VLOOKUP($B114,OFFSET(INDIRECT(""&amp;$B$109&amp;"!$A$4"),0,0,200,100),MATCH(J$110,INDIRECT(""&amp;$B$109&amp;"!$A$4"):INDIRECT(""&amp;$B$109&amp;"!$o$4"),0),FALSE)),"",VLOOKUP($B114,OFFSET(INDIRECT(""&amp;$B$109&amp;"!$A$4"),0,0,200,100),MATCH(J$110,INDIRECT(""&amp;$B$109&amp;"!$A$4"):INDIRECT(""&amp;$B$109&amp;"!$o$4"),0),FALSE))</f>
        <v>11980.664847</v>
      </c>
      <c r="K114" s="129" t="s">
        <v>380</v>
      </c>
      <c r="L114" s="190">
        <f ca="1">IF(ISERROR(VLOOKUP($K114,OFFSET(INDIRECT(""&amp;$S$109&amp;"!$A$4"),0,0,200,100),MATCH(L$110,INDIRECT(""&amp;$S$109&amp;"!$A$4"):INDIRECT(""&amp;$S$109&amp;"!$o$4"),0),FALSE)),"",VLOOKUP($K114,OFFSET(INDIRECT(""&amp;$S$109&amp;"!$A$4"),0,0,200,100),MATCH(L$110,INDIRECT(""&amp;$S$109&amp;"!$A$4"):INDIRECT(""&amp;$S$109&amp;"!$o$4"),0),FALSE))</f>
        <v>823.11336100000005</v>
      </c>
      <c r="M114" s="190">
        <f ca="1">IF(ISERROR(VLOOKUP($K114,OFFSET(INDIRECT(""&amp;$S$109&amp;"!$A$4"),0,0,200,100),MATCH(M$110,INDIRECT(""&amp;$S$109&amp;"!$A$4"):INDIRECT(""&amp;$S$109&amp;"!$o$4"),0),FALSE)),"",VLOOKUP($K114,OFFSET(INDIRECT(""&amp;$S$109&amp;"!$A$4"),0,0,200,100),MATCH(M$110,INDIRECT(""&amp;$S$109&amp;"!$A$4"):INDIRECT(""&amp;$S$109&amp;"!$o$4"),0),FALSE))</f>
        <v>1673.931679</v>
      </c>
      <c r="N114" s="190">
        <f ca="1">IF(ISERROR(VLOOKUP($K114,OFFSET(INDIRECT(""&amp;$S$109&amp;"!$A$4"),0,0,200,100),MATCH(N$110,INDIRECT(""&amp;$S$109&amp;"!$A$4"):INDIRECT(""&amp;$S$109&amp;"!$o$4"),0),FALSE)),"",VLOOKUP($K114,OFFSET(INDIRECT(""&amp;$S$109&amp;"!$A$4"),0,0,200,100),MATCH(N$110,INDIRECT(""&amp;$S$109&amp;"!$A$4"):INDIRECT(""&amp;$S$109&amp;"!$o$4"),0),FALSE))</f>
        <v>0</v>
      </c>
      <c r="O114" s="190">
        <f ca="1">IF(ISERROR(VLOOKUP($K114,OFFSET(INDIRECT(""&amp;$S$109&amp;"!$A$4"),0,0,200,100),MATCH(O$110,INDIRECT(""&amp;$S$109&amp;"!$A$4"):INDIRECT(""&amp;$S$109&amp;"!$o$4"),0),FALSE)),"",VLOOKUP($K114,OFFSET(INDIRECT(""&amp;$S$109&amp;"!$A$4"),0,0,200,100),MATCH(O$110,INDIRECT(""&amp;$S$109&amp;"!$A$4"):INDIRECT(""&amp;$S$109&amp;"!$o$4"),0),FALSE))</f>
        <v>0</v>
      </c>
      <c r="P114" s="190">
        <f ca="1">IF(ISERROR(VLOOKUP($K114,OFFSET(INDIRECT(""&amp;$S$109&amp;"!$A$4"),0,0,200,100),MATCH(P$110,INDIRECT(""&amp;$S$109&amp;"!$A$4"):INDIRECT(""&amp;$S$109&amp;"!$o$4"),0),FALSE)),"",VLOOKUP($K114,OFFSET(INDIRECT(""&amp;$S$109&amp;"!$A$4"),0,0,200,100),MATCH(P$110,INDIRECT(""&amp;$S$109&amp;"!$A$4"):INDIRECT(""&amp;$S$109&amp;"!$o$4"),0),FALSE))</f>
        <v>900.23720400000002</v>
      </c>
      <c r="Q114" s="190">
        <f ca="1">IF(ISERROR(VLOOKUP($K114,OFFSET(INDIRECT(""&amp;$S$109&amp;"!$A$4"),0,0,200,100),MATCH(Q$110,INDIRECT(""&amp;$S$109&amp;"!$A$4"):INDIRECT(""&amp;$S$109&amp;"!$o$4"),0),FALSE)),"",VLOOKUP($K114,OFFSET(INDIRECT(""&amp;$S$109&amp;"!$A$4"),0,0,200,100),MATCH(Q$110,INDIRECT(""&amp;$S$109&amp;"!$A$4"):INDIRECT(""&amp;$S$109&amp;"!$o$4"),0),FALSE))</f>
        <v>0</v>
      </c>
      <c r="R114" s="190">
        <f ca="1">IF(ISERROR(VLOOKUP($K114,OFFSET(INDIRECT(""&amp;$S$109&amp;"!$A$4"),0,0,200,100),MATCH(R$110,INDIRECT(""&amp;$S$109&amp;"!$A$4"):INDIRECT(""&amp;$S$109&amp;"!$o$4"),0),FALSE)),"",VLOOKUP($K114,OFFSET(INDIRECT(""&amp;$S$109&amp;"!$A$4"),0,0,200,100),MATCH(R$110,INDIRECT(""&amp;$S$109&amp;"!$A$4"):INDIRECT(""&amp;$S$109&amp;"!$o$4"),0),FALSE))</f>
        <v>0</v>
      </c>
      <c r="S114" s="190">
        <f ca="1">IF(ISERROR(VLOOKUP($K114,OFFSET(INDIRECT(""&amp;$S$109&amp;"!$A$4"),0,0,200,100),MATCH(S$110,INDIRECT(""&amp;$S$109&amp;"!$A$4"):INDIRECT(""&amp;$S$109&amp;"!$o$4"),0),FALSE)),"",VLOOKUP($K114,OFFSET(INDIRECT(""&amp;$S$109&amp;"!$A$4"),0,0,200,100),MATCH(S$110,INDIRECT(""&amp;$S$109&amp;"!$A$4"):INDIRECT(""&amp;$S$109&amp;"!$o$4"),0),FALSE))</f>
        <v>0</v>
      </c>
      <c r="T114" s="190">
        <f ca="1">IF(ISERROR(VLOOKUP($K114,OFFSET(INDIRECT(""&amp;$S$109&amp;"!$A$4"),0,0,200,100),MATCH(T$110,INDIRECT(""&amp;$S$109&amp;"!$A$4"):INDIRECT(""&amp;$S$109&amp;"!$o$4"),0),FALSE)),"",VLOOKUP($K114,OFFSET(INDIRECT(""&amp;$S$109&amp;"!$A$4"),0,0,200,100),MATCH(T$110,INDIRECT(""&amp;$S$109&amp;"!$A$4"):INDIRECT(""&amp;$S$109&amp;"!$o$4"),0),FALSE))</f>
        <v>3445.0779790000001</v>
      </c>
      <c r="U114" s="190">
        <f ca="1">IF(ISERROR(VLOOKUP($K114,OFFSET(INDIRECT(""&amp;$S$109&amp;"!$A$4"),0,0,200,100),MATCH(U$110,INDIRECT(""&amp;$S$109&amp;"!$A$4"):INDIRECT(""&amp;$S$109&amp;"!$o$4"),0),FALSE)),"",VLOOKUP($K114,OFFSET(INDIRECT(""&amp;$S$109&amp;"!$A$4"),0,0,200,100),MATCH(U$110,INDIRECT(""&amp;$S$109&amp;"!$A$4"):INDIRECT(""&amp;$S$109&amp;"!$o$4"),0),FALSE))</f>
        <v>4486.8556859999999</v>
      </c>
      <c r="V114" s="190">
        <f ca="1">IF(ISERROR(VLOOKUP($K114,OFFSET(INDIRECT(""&amp;$S$109&amp;"!$A$4"),0,0,200,100),MATCH(V$110,INDIRECT(""&amp;$S$109&amp;"!$A$4"):INDIRECT(""&amp;$S$109&amp;"!$o$4"),0),FALSE)),"",VLOOKUP($K114,OFFSET(INDIRECT(""&amp;$S$109&amp;"!$A$4"),0,0,200,100),MATCH(V$110,INDIRECT(""&amp;$S$109&amp;"!$A$4"):INDIRECT(""&amp;$S$109&amp;"!$o$4"),0),FALSE))</f>
        <v>0</v>
      </c>
      <c r="W114" s="190">
        <f ca="1">IF(ISERROR(VLOOKUP($K114,OFFSET(INDIRECT(""&amp;$S$109&amp;"!$A$4"),0,0,200,100),MATCH(W$110,INDIRECT(""&amp;$S$109&amp;"!$A$4"):INDIRECT(""&amp;$S$109&amp;"!$o$4"),0),FALSE)),"",VLOOKUP($K114,OFFSET(INDIRECT(""&amp;$S$109&amp;"!$A$4"),0,0,200,100),MATCH(W$110,INDIRECT(""&amp;$S$109&amp;"!$A$4"):INDIRECT(""&amp;$S$109&amp;"!$o$4"),0),FALSE))</f>
        <v>0</v>
      </c>
      <c r="X114" s="190">
        <f ca="1">IF(ISERROR(VLOOKUP($K114,OFFSET(INDIRECT(""&amp;$S$109&amp;"!$A$4"),0,0,200,100),MATCH(X$110,INDIRECT(""&amp;$S$109&amp;"!$A$4"):INDIRECT(""&amp;$S$109&amp;"!$o$4"),0),FALSE)),"",VLOOKUP($K114,OFFSET(INDIRECT(""&amp;$S$109&amp;"!$A$4"),0,0,200,100),MATCH(X$110,INDIRECT(""&amp;$S$109&amp;"!$A$4"):INDIRECT(""&amp;$S$109&amp;"!$o$4"),0),FALSE))</f>
        <v>0</v>
      </c>
      <c r="Y114" s="190">
        <f ca="1">IF(ISERROR(VLOOKUP($K114,OFFSET(INDIRECT(""&amp;$S$109&amp;"!$A$4"),0,0,200,100),MATCH(Y$110,INDIRECT(""&amp;$S$109&amp;"!$A$4"):INDIRECT(""&amp;$S$109&amp;"!$o$4"),0),FALSE)),"",VLOOKUP($K114,OFFSET(INDIRECT(""&amp;$S$109&amp;"!$A$4"),0,0,200,100),MATCH(Y$110,INDIRECT(""&amp;$S$109&amp;"!$A$4"):INDIRECT(""&amp;$S$109&amp;"!$o$4"),0),FALSE))</f>
        <v>0</v>
      </c>
      <c r="Z114" s="160">
        <f ca="1">IF(ISERROR(VLOOKUP($K114,OFFSET(INDIRECT(""&amp;$S$109&amp;"!$A$4"),0,0,200,100),MATCH(Z$110,INDIRECT(""&amp;$S$109&amp;"!$A$4"):INDIRECT(""&amp;$S$109&amp;"!$P$4"),0),FALSE)),"",VLOOKUP($K114,OFFSET(INDIRECT(""&amp;$S$109&amp;"!$A$4"),0,0,200,100),MATCH(Z$110,INDIRECT(""&amp;$S$109&amp;"!$A$4"):INDIRECT(""&amp;$S$109&amp;"!$P$4"),0),FALSE))</f>
        <v>0</v>
      </c>
      <c r="AA114" s="190"/>
      <c r="AC114" s="126"/>
      <c r="AD114" s="126"/>
      <c r="AE114" s="126"/>
      <c r="AF114" s="126"/>
      <c r="AG114" s="126"/>
      <c r="AH114" s="126"/>
      <c r="AI114" s="148"/>
      <c r="AJ114" s="148"/>
      <c r="AK114" s="148"/>
      <c r="AL114" s="148"/>
      <c r="AM114" s="148"/>
      <c r="AN114" s="148"/>
      <c r="AO114" s="126"/>
      <c r="AP114" s="126"/>
      <c r="AQ114" s="126"/>
      <c r="AR114" s="126"/>
      <c r="AS114" s="126"/>
      <c r="AT114" s="72"/>
      <c r="AU114" s="72"/>
      <c r="AV114" s="73"/>
      <c r="AW114" s="73"/>
      <c r="AX114" s="73"/>
      <c r="AY114" s="73"/>
      <c r="AZ114" s="73"/>
      <c r="BA114" s="73"/>
      <c r="BB114" s="73"/>
      <c r="BC114" s="73"/>
      <c r="BD114" s="73"/>
      <c r="BE114" s="73"/>
      <c r="BF114" s="73"/>
    </row>
    <row r="115" spans="1:58" s="128" customFormat="1" ht="15.95" customHeight="1">
      <c r="A115" s="111" t="s">
        <v>304</v>
      </c>
      <c r="B115" s="111" t="s">
        <v>347</v>
      </c>
      <c r="C115" s="74">
        <f ca="1">IF(ISERROR(VLOOKUP($B115,OFFSET(INDIRECT(""&amp;$B$109&amp;"!$A$4"),0,0,200,100),MATCH(C$110,INDIRECT(""&amp;$B$109&amp;"!$A$4"):INDIRECT(""&amp;$B$109&amp;"!$o$4"),0),FALSE)),"",VLOOKUP($B115,OFFSET(INDIRECT(""&amp;$B$109&amp;"!$A$4"),0,0,200,100),MATCH(C$110,INDIRECT(""&amp;$B$109&amp;"!$A$4"):INDIRECT(""&amp;$B$109&amp;"!$o$4"),0),FALSE))</f>
        <v>4243.0519100000001</v>
      </c>
      <c r="D115" s="74">
        <f ca="1">IF(ISERROR(VLOOKUP($B115,OFFSET(INDIRECT(""&amp;$B$109&amp;"!$A$4"),0,0,200,100),MATCH(D$110,INDIRECT(""&amp;$B$109&amp;"!$A$4"):INDIRECT(""&amp;$B$109&amp;"!$o$4"),0),FALSE)),"",VLOOKUP($B115,OFFSET(INDIRECT(""&amp;$B$109&amp;"!$A$4"),0,0,200,100),MATCH(D$110,INDIRECT(""&amp;$B$109&amp;"!$A$4"):INDIRECT(""&amp;$B$109&amp;"!$o$4"),0),FALSE))</f>
        <v>14572.818316000001</v>
      </c>
      <c r="E115" s="74">
        <f ca="1">IF(ISERROR(VLOOKUP($B115,OFFSET(INDIRECT(""&amp;$B$109&amp;"!$A$4"),0,0,200,100),MATCH(E$110,INDIRECT(""&amp;$B$109&amp;"!$A$4"):INDIRECT(""&amp;$B$109&amp;"!$o$4"),0),FALSE)),"",VLOOKUP($B115,OFFSET(INDIRECT(""&amp;$B$109&amp;"!$A$4"),0,0,200,100),MATCH(E$110,INDIRECT(""&amp;$B$109&amp;"!$A$4"):INDIRECT(""&amp;$B$109&amp;"!$o$4"),0),FALSE))</f>
        <v>-14824.007885000001</v>
      </c>
      <c r="F115" s="74">
        <f ca="1">IF(ISERROR(VLOOKUP($B115,OFFSET(INDIRECT(""&amp;$B$109&amp;"!$A$4"),0,0,200,100),MATCH(F$110,INDIRECT(""&amp;$B$109&amp;"!$A$4"):INDIRECT(""&amp;$B$109&amp;"!$o$4"),0),FALSE)),"",VLOOKUP($B115,OFFSET(INDIRECT(""&amp;$B$109&amp;"!$A$4"),0,0,200,100),MATCH(F$110,INDIRECT(""&amp;$B$109&amp;"!$A$4"):INDIRECT(""&amp;$B$109&amp;"!$o$4"),0),FALSE))</f>
        <v>1859.2595759999999</v>
      </c>
      <c r="G115" s="74">
        <f ca="1">IF(ISERROR(VLOOKUP($B115,OFFSET(INDIRECT(""&amp;$B$109&amp;"!$A$4"),0,0,200,100),MATCH(G$110,INDIRECT(""&amp;$B$109&amp;"!$A$4"):INDIRECT(""&amp;$B$109&amp;"!$o$4"),0),FALSE)),"",VLOOKUP($B115,OFFSET(INDIRECT(""&amp;$B$109&amp;"!$A$4"),0,0,200,100),MATCH(G$110,INDIRECT(""&amp;$B$109&amp;"!$A$4"):INDIRECT(""&amp;$B$109&amp;"!$o$4"),0),FALSE))</f>
        <v>8160.8602780000001</v>
      </c>
      <c r="H115" s="74">
        <f ca="1">IF(ISERROR(VLOOKUP($B115,OFFSET(INDIRECT(""&amp;$B$109&amp;"!$A$4"),0,0,200,100),MATCH(H$110,INDIRECT(""&amp;$B$109&amp;"!$A$4"):INDIRECT(""&amp;$B$109&amp;"!$o$4"),0),FALSE)),"",VLOOKUP($B115,OFFSET(INDIRECT(""&amp;$B$109&amp;"!$A$4"),0,0,200,100),MATCH(H$110,INDIRECT(""&amp;$B$109&amp;"!$A$4"):INDIRECT(""&amp;$B$109&amp;"!$o$4"),0),FALSE))</f>
        <v>1663.6724200000001</v>
      </c>
      <c r="I115" s="74">
        <f ca="1">IF(ISERROR(VLOOKUP($B115,OFFSET(INDIRECT(""&amp;$B$109&amp;"!$A$4"),0,0,200,100),MATCH(I$110,INDIRECT(""&amp;$B$109&amp;"!$A$4"):INDIRECT(""&amp;$B$109&amp;"!$o$4"),0),FALSE)),"",VLOOKUP($B115,OFFSET(INDIRECT(""&amp;$B$109&amp;"!$A$4"),0,0,200,100),MATCH(I$110,INDIRECT(""&amp;$B$109&amp;"!$A$4"):INDIRECT(""&amp;$B$109&amp;"!$o$4"),0),FALSE))</f>
        <v>3381.6562269999999</v>
      </c>
      <c r="J115" s="74">
        <f ca="1">IF(ISERROR(VLOOKUP($B115,OFFSET(INDIRECT(""&amp;$B$109&amp;"!$A$4"),0,0,200,100),MATCH(J$110,INDIRECT(""&amp;$B$109&amp;"!$A$4"):INDIRECT(""&amp;$B$109&amp;"!$o$4"),0),FALSE)),"",VLOOKUP($B115,OFFSET(INDIRECT(""&amp;$B$109&amp;"!$A$4"),0,0,200,100),MATCH(J$110,INDIRECT(""&amp;$B$109&amp;"!$A$4"):INDIRECT(""&amp;$B$109&amp;"!$o$4"),0),FALSE))</f>
        <v>3381.6562269999999</v>
      </c>
      <c r="K115" s="129" t="s">
        <v>347</v>
      </c>
      <c r="L115" s="190">
        <f ca="1">IF(ISERROR(VLOOKUP($K115,OFFSET(INDIRECT(""&amp;$S$109&amp;"!$A$4"),0,0,200,100),MATCH(L$110,INDIRECT(""&amp;$S$109&amp;"!$A$4"):INDIRECT(""&amp;$S$109&amp;"!$o$4"),0),FALSE)),"",VLOOKUP($K115,OFFSET(INDIRECT(""&amp;$S$109&amp;"!$A$4"),0,0,200,100),MATCH(L$110,INDIRECT(""&amp;$S$109&amp;"!$A$4"):INDIRECT(""&amp;$S$109&amp;"!$o$4"),0),FALSE))</f>
        <v>0</v>
      </c>
      <c r="M115" s="190">
        <f ca="1">IF(ISERROR(VLOOKUP($K115,OFFSET(INDIRECT(""&amp;$S$109&amp;"!$A$4"),0,0,200,100),MATCH(M$110,INDIRECT(""&amp;$S$109&amp;"!$A$4"):INDIRECT(""&amp;$S$109&amp;"!$o$4"),0),FALSE)),"",VLOOKUP($K115,OFFSET(INDIRECT(""&amp;$S$109&amp;"!$A$4"),0,0,200,100),MATCH(M$110,INDIRECT(""&amp;$S$109&amp;"!$A$4"):INDIRECT(""&amp;$S$109&amp;"!$o$4"),0),FALSE))</f>
        <v>101.40254</v>
      </c>
      <c r="N115" s="190">
        <f ca="1">IF(ISERROR(VLOOKUP($K115,OFFSET(INDIRECT(""&amp;$S$109&amp;"!$A$4"),0,0,200,100),MATCH(N$110,INDIRECT(""&amp;$S$109&amp;"!$A$4"):INDIRECT(""&amp;$S$109&amp;"!$o$4"),0),FALSE)),"",VLOOKUP($K115,OFFSET(INDIRECT(""&amp;$S$109&amp;"!$A$4"),0,0,200,100),MATCH(N$110,INDIRECT(""&amp;$S$109&amp;"!$A$4"):INDIRECT(""&amp;$S$109&amp;"!$o$4"),0),FALSE))</f>
        <v>0</v>
      </c>
      <c r="O115" s="190">
        <f ca="1">IF(ISERROR(VLOOKUP($K115,OFFSET(INDIRECT(""&amp;$S$109&amp;"!$A$4"),0,0,200,100),MATCH(O$110,INDIRECT(""&amp;$S$109&amp;"!$A$4"):INDIRECT(""&amp;$S$109&amp;"!$o$4"),0),FALSE)),"",VLOOKUP($K115,OFFSET(INDIRECT(""&amp;$S$109&amp;"!$A$4"),0,0,200,100),MATCH(O$110,INDIRECT(""&amp;$S$109&amp;"!$A$4"):INDIRECT(""&amp;$S$109&amp;"!$o$4"),0),FALSE))</f>
        <v>0</v>
      </c>
      <c r="P115" s="190">
        <f ca="1">IF(ISERROR(VLOOKUP($K115,OFFSET(INDIRECT(""&amp;$S$109&amp;"!$A$4"),0,0,200,100),MATCH(P$110,INDIRECT(""&amp;$S$109&amp;"!$A$4"):INDIRECT(""&amp;$S$109&amp;"!$o$4"),0),FALSE)),"",VLOOKUP($K115,OFFSET(INDIRECT(""&amp;$S$109&amp;"!$A$4"),0,0,200,100),MATCH(P$110,INDIRECT(""&amp;$S$109&amp;"!$A$4"):INDIRECT(""&amp;$S$109&amp;"!$o$4"),0),FALSE))</f>
        <v>0</v>
      </c>
      <c r="Q115" s="190">
        <f ca="1">IF(ISERROR(VLOOKUP($K115,OFFSET(INDIRECT(""&amp;$S$109&amp;"!$A$4"),0,0,200,100),MATCH(Q$110,INDIRECT(""&amp;$S$109&amp;"!$A$4"):INDIRECT(""&amp;$S$109&amp;"!$o$4"),0),FALSE)),"",VLOOKUP($K115,OFFSET(INDIRECT(""&amp;$S$109&amp;"!$A$4"),0,0,200,100),MATCH(Q$110,INDIRECT(""&amp;$S$109&amp;"!$A$4"):INDIRECT(""&amp;$S$109&amp;"!$o$4"),0),FALSE))</f>
        <v>0</v>
      </c>
      <c r="R115" s="190">
        <f ca="1">IF(ISERROR(VLOOKUP($K115,OFFSET(INDIRECT(""&amp;$S$109&amp;"!$A$4"),0,0,200,100),MATCH(R$110,INDIRECT(""&amp;$S$109&amp;"!$A$4"):INDIRECT(""&amp;$S$109&amp;"!$o$4"),0),FALSE)),"",VLOOKUP($K115,OFFSET(INDIRECT(""&amp;$S$109&amp;"!$A$4"),0,0,200,100),MATCH(R$110,INDIRECT(""&amp;$S$109&amp;"!$A$4"):INDIRECT(""&amp;$S$109&amp;"!$o$4"),0),FALSE))</f>
        <v>0</v>
      </c>
      <c r="S115" s="190">
        <f ca="1">IF(ISERROR(VLOOKUP($K115,OFFSET(INDIRECT(""&amp;$S$109&amp;"!$A$4"),0,0,200,100),MATCH(S$110,INDIRECT(""&amp;$S$109&amp;"!$A$4"):INDIRECT(""&amp;$S$109&amp;"!$o$4"),0),FALSE)),"",VLOOKUP($K115,OFFSET(INDIRECT(""&amp;$S$109&amp;"!$A$4"),0,0,200,100),MATCH(S$110,INDIRECT(""&amp;$S$109&amp;"!$A$4"):INDIRECT(""&amp;$S$109&amp;"!$o$4"),0),FALSE))</f>
        <v>0</v>
      </c>
      <c r="T115" s="190">
        <f ca="1">IF(ISERROR(VLOOKUP($K115,OFFSET(INDIRECT(""&amp;$S$109&amp;"!$A$4"),0,0,200,100),MATCH(T$110,INDIRECT(""&amp;$S$109&amp;"!$A$4"):INDIRECT(""&amp;$S$109&amp;"!$o$4"),0),FALSE)),"",VLOOKUP($K115,OFFSET(INDIRECT(""&amp;$S$109&amp;"!$A$4"),0,0,200,100),MATCH(T$110,INDIRECT(""&amp;$S$109&amp;"!$A$4"):INDIRECT(""&amp;$S$109&amp;"!$o$4"),0),FALSE))</f>
        <v>0</v>
      </c>
      <c r="U115" s="190">
        <f ca="1">IF(ISERROR(VLOOKUP($K115,OFFSET(INDIRECT(""&amp;$S$109&amp;"!$A$4"),0,0,200,100),MATCH(U$110,INDIRECT(""&amp;$S$109&amp;"!$A$4"):INDIRECT(""&amp;$S$109&amp;"!$o$4"),0),FALSE)),"",VLOOKUP($K115,OFFSET(INDIRECT(""&amp;$S$109&amp;"!$A$4"),0,0,200,100),MATCH(U$110,INDIRECT(""&amp;$S$109&amp;"!$A$4"):INDIRECT(""&amp;$S$109&amp;"!$o$4"),0),FALSE))</f>
        <v>0</v>
      </c>
      <c r="V115" s="190">
        <f ca="1">IF(ISERROR(VLOOKUP($K115,OFFSET(INDIRECT(""&amp;$S$109&amp;"!$A$4"),0,0,200,100),MATCH(V$110,INDIRECT(""&amp;$S$109&amp;"!$A$4"):INDIRECT(""&amp;$S$109&amp;"!$o$4"),0),FALSE)),"",VLOOKUP($K115,OFFSET(INDIRECT(""&amp;$S$109&amp;"!$A$4"),0,0,200,100),MATCH(V$110,INDIRECT(""&amp;$S$109&amp;"!$A$4"):INDIRECT(""&amp;$S$109&amp;"!$o$4"),0),FALSE))</f>
        <v>0</v>
      </c>
      <c r="W115" s="190">
        <f ca="1">IF(ISERROR(VLOOKUP($K115,OFFSET(INDIRECT(""&amp;$S$109&amp;"!$A$4"),0,0,200,100),MATCH(W$110,INDIRECT(""&amp;$S$109&amp;"!$A$4"):INDIRECT(""&amp;$S$109&amp;"!$o$4"),0),FALSE)),"",VLOOKUP($K115,OFFSET(INDIRECT(""&amp;$S$109&amp;"!$A$4"),0,0,200,100),MATCH(W$110,INDIRECT(""&amp;$S$109&amp;"!$A$4"):INDIRECT(""&amp;$S$109&amp;"!$o$4"),0),FALSE))</f>
        <v>0</v>
      </c>
      <c r="X115" s="190">
        <f ca="1">IF(ISERROR(VLOOKUP($K115,OFFSET(INDIRECT(""&amp;$S$109&amp;"!$A$4"),0,0,200,100),MATCH(X$110,INDIRECT(""&amp;$S$109&amp;"!$A$4"):INDIRECT(""&amp;$S$109&amp;"!$o$4"),0),FALSE)),"",VLOOKUP($K115,OFFSET(INDIRECT(""&amp;$S$109&amp;"!$A$4"),0,0,200,100),MATCH(X$110,INDIRECT(""&amp;$S$109&amp;"!$A$4"):INDIRECT(""&amp;$S$109&amp;"!$o$4"),0),FALSE))</f>
        <v>0</v>
      </c>
      <c r="Y115" s="190">
        <f ca="1">IF(ISERROR(VLOOKUP($K115,OFFSET(INDIRECT(""&amp;$S$109&amp;"!$A$4"),0,0,200,100),MATCH(Y$110,INDIRECT(""&amp;$S$109&amp;"!$A$4"):INDIRECT(""&amp;$S$109&amp;"!$o$4"),0),FALSE)),"",VLOOKUP($K115,OFFSET(INDIRECT(""&amp;$S$109&amp;"!$A$4"),0,0,200,100),MATCH(Y$110,INDIRECT(""&amp;$S$109&amp;"!$A$4"):INDIRECT(""&amp;$S$109&amp;"!$o$4"),0),FALSE))</f>
        <v>0</v>
      </c>
      <c r="Z115" s="160">
        <f ca="1">IF(ISERROR(VLOOKUP($K115,OFFSET(INDIRECT(""&amp;$S$109&amp;"!$A$4"),0,0,200,100),MATCH(Z$110,INDIRECT(""&amp;$S$109&amp;"!$A$4"):INDIRECT(""&amp;$S$109&amp;"!$P$4"),0),FALSE)),"",VLOOKUP($K115,OFFSET(INDIRECT(""&amp;$S$109&amp;"!$A$4"),0,0,200,100),MATCH(Z$110,INDIRECT(""&amp;$S$109&amp;"!$A$4"):INDIRECT(""&amp;$S$109&amp;"!$P$4"),0),FALSE))</f>
        <v>0</v>
      </c>
      <c r="AA115" s="190"/>
      <c r="AC115" s="126"/>
      <c r="AD115" s="126"/>
      <c r="AE115" s="126"/>
      <c r="AF115" s="126"/>
      <c r="AG115" s="126"/>
      <c r="AH115" s="126"/>
      <c r="AI115" s="148"/>
      <c r="AJ115" s="148"/>
      <c r="AK115" s="148"/>
      <c r="AL115" s="148"/>
      <c r="AM115" s="148"/>
      <c r="AN115" s="148"/>
      <c r="AO115" s="126"/>
      <c r="AP115" s="126"/>
      <c r="AQ115" s="126"/>
      <c r="AR115" s="126"/>
      <c r="AS115" s="126"/>
      <c r="AT115" s="72"/>
      <c r="AU115" s="72"/>
      <c r="AV115" s="73"/>
      <c r="AW115" s="73"/>
      <c r="AX115" s="73"/>
      <c r="AY115" s="73"/>
      <c r="AZ115" s="73"/>
      <c r="BA115" s="73"/>
      <c r="BB115" s="73"/>
      <c r="BC115" s="73"/>
      <c r="BD115" s="73"/>
      <c r="BE115" s="73"/>
      <c r="BF115" s="73"/>
    </row>
    <row r="116" spans="1:58" s="128" customFormat="1" ht="15.95" customHeight="1">
      <c r="A116" s="111" t="s">
        <v>305</v>
      </c>
      <c r="B116" s="111" t="s">
        <v>348</v>
      </c>
      <c r="C116" s="74">
        <f ca="1">IF(ISERROR(VLOOKUP($B116,OFFSET(INDIRECT(""&amp;$B$109&amp;"!$A$4"),0,0,200,100),MATCH(C$110,INDIRECT(""&amp;$B$109&amp;"!$A$4"):INDIRECT(""&amp;$B$109&amp;"!$o$4"),0),FALSE)),"",VLOOKUP($B116,OFFSET(INDIRECT(""&amp;$B$109&amp;"!$A$4"),0,0,200,100),MATCH(C$110,INDIRECT(""&amp;$B$109&amp;"!$A$4"):INDIRECT(""&amp;$B$109&amp;"!$o$4"),0),FALSE))</f>
        <v>0</v>
      </c>
      <c r="D116" s="74">
        <f ca="1">IF(ISERROR(VLOOKUP($B116,OFFSET(INDIRECT(""&amp;$B$109&amp;"!$A$4"),0,0,200,100),MATCH(D$110,INDIRECT(""&amp;$B$109&amp;"!$A$4"):INDIRECT(""&amp;$B$109&amp;"!$o$4"),0),FALSE)),"",VLOOKUP($B116,OFFSET(INDIRECT(""&amp;$B$109&amp;"!$A$4"),0,0,200,100),MATCH(D$110,INDIRECT(""&amp;$B$109&amp;"!$A$4"):INDIRECT(""&amp;$B$109&amp;"!$o$4"),0),FALSE))</f>
        <v>0</v>
      </c>
      <c r="E116" s="74">
        <f ca="1">IF(ISERROR(VLOOKUP($B116,OFFSET(INDIRECT(""&amp;$B$109&amp;"!$A$4"),0,0,200,100),MATCH(E$110,INDIRECT(""&amp;$B$109&amp;"!$A$4"):INDIRECT(""&amp;$B$109&amp;"!$o$4"),0),FALSE)),"",VLOOKUP($B116,OFFSET(INDIRECT(""&amp;$B$109&amp;"!$A$4"),0,0,200,100),MATCH(E$110,INDIRECT(""&amp;$B$109&amp;"!$A$4"):INDIRECT(""&amp;$B$109&amp;"!$o$4"),0),FALSE))</f>
        <v>0</v>
      </c>
      <c r="F116" s="74">
        <f ca="1">IF(ISERROR(VLOOKUP($B116,OFFSET(INDIRECT(""&amp;$B$109&amp;"!$A$4"),0,0,200,100),MATCH(F$110,INDIRECT(""&amp;$B$109&amp;"!$A$4"):INDIRECT(""&amp;$B$109&amp;"!$o$4"),0),FALSE)),"",VLOOKUP($B116,OFFSET(INDIRECT(""&amp;$B$109&amp;"!$A$4"),0,0,200,100),MATCH(F$110,INDIRECT(""&amp;$B$109&amp;"!$A$4"):INDIRECT(""&amp;$B$109&amp;"!$o$4"),0),FALSE))</f>
        <v>0</v>
      </c>
      <c r="G116" s="74">
        <f ca="1">IF(ISERROR(VLOOKUP($B116,OFFSET(INDIRECT(""&amp;$B$109&amp;"!$A$4"),0,0,200,100),MATCH(G$110,INDIRECT(""&amp;$B$109&amp;"!$A$4"):INDIRECT(""&amp;$B$109&amp;"!$o$4"),0),FALSE)),"",VLOOKUP($B116,OFFSET(INDIRECT(""&amp;$B$109&amp;"!$A$4"),0,0,200,100),MATCH(G$110,INDIRECT(""&amp;$B$109&amp;"!$A$4"):INDIRECT(""&amp;$B$109&amp;"!$o$4"),0),FALSE))</f>
        <v>0</v>
      </c>
      <c r="H116" s="74">
        <f ca="1">IF(ISERROR(VLOOKUP($B116,OFFSET(INDIRECT(""&amp;$B$109&amp;"!$A$4"),0,0,200,100),MATCH(H$110,INDIRECT(""&amp;$B$109&amp;"!$A$4"):INDIRECT(""&amp;$B$109&amp;"!$o$4"),0),FALSE)),"",VLOOKUP($B116,OFFSET(INDIRECT(""&amp;$B$109&amp;"!$A$4"),0,0,200,100),MATCH(H$110,INDIRECT(""&amp;$B$109&amp;"!$A$4"):INDIRECT(""&amp;$B$109&amp;"!$o$4"),0),FALSE))</f>
        <v>0</v>
      </c>
      <c r="I116" s="74">
        <f ca="1">IF(ISERROR(VLOOKUP($B116,OFFSET(INDIRECT(""&amp;$B$109&amp;"!$A$4"),0,0,200,100),MATCH(I$110,INDIRECT(""&amp;$B$109&amp;"!$A$4"):INDIRECT(""&amp;$B$109&amp;"!$o$4"),0),FALSE)),"",VLOOKUP($B116,OFFSET(INDIRECT(""&amp;$B$109&amp;"!$A$4"),0,0,200,100),MATCH(I$110,INDIRECT(""&amp;$B$109&amp;"!$A$4"):INDIRECT(""&amp;$B$109&amp;"!$o$4"),0),FALSE))</f>
        <v>0</v>
      </c>
      <c r="J116" s="74">
        <f ca="1">IF(ISERROR(VLOOKUP($B116,OFFSET(INDIRECT(""&amp;$B$109&amp;"!$A$4"),0,0,200,100),MATCH(J$110,INDIRECT(""&amp;$B$109&amp;"!$A$4"):INDIRECT(""&amp;$B$109&amp;"!$o$4"),0),FALSE)),"",VLOOKUP($B116,OFFSET(INDIRECT(""&amp;$B$109&amp;"!$A$4"),0,0,200,100),MATCH(J$110,INDIRECT(""&amp;$B$109&amp;"!$A$4"):INDIRECT(""&amp;$B$109&amp;"!$o$4"),0),FALSE))</f>
        <v>0</v>
      </c>
      <c r="K116" s="129" t="s">
        <v>348</v>
      </c>
      <c r="L116" s="190">
        <f ca="1">IF(ISERROR(VLOOKUP($K116,OFFSET(INDIRECT(""&amp;$S$109&amp;"!$A$4"),0,0,200,100),MATCH(L$110,INDIRECT(""&amp;$S$109&amp;"!$A$4"):INDIRECT(""&amp;$S$109&amp;"!$o$4"),0),FALSE)),"",VLOOKUP($K116,OFFSET(INDIRECT(""&amp;$S$109&amp;"!$A$4"),0,0,200,100),MATCH(L$110,INDIRECT(""&amp;$S$109&amp;"!$A$4"):INDIRECT(""&amp;$S$109&amp;"!$o$4"),0),FALSE))</f>
        <v>0</v>
      </c>
      <c r="M116" s="190">
        <f ca="1">IF(ISERROR(VLOOKUP($K116,OFFSET(INDIRECT(""&amp;$S$109&amp;"!$A$4"),0,0,200,100),MATCH(M$110,INDIRECT(""&amp;$S$109&amp;"!$A$4"):INDIRECT(""&amp;$S$109&amp;"!$o$4"),0),FALSE)),"",VLOOKUP($K116,OFFSET(INDIRECT(""&amp;$S$109&amp;"!$A$4"),0,0,200,100),MATCH(M$110,INDIRECT(""&amp;$S$109&amp;"!$A$4"):INDIRECT(""&amp;$S$109&amp;"!$o$4"),0),FALSE))</f>
        <v>0</v>
      </c>
      <c r="N116" s="190">
        <f ca="1">IF(ISERROR(VLOOKUP($K116,OFFSET(INDIRECT(""&amp;$S$109&amp;"!$A$4"),0,0,200,100),MATCH(N$110,INDIRECT(""&amp;$S$109&amp;"!$A$4"):INDIRECT(""&amp;$S$109&amp;"!$o$4"),0),FALSE)),"",VLOOKUP($K116,OFFSET(INDIRECT(""&amp;$S$109&amp;"!$A$4"),0,0,200,100),MATCH(N$110,INDIRECT(""&amp;$S$109&amp;"!$A$4"):INDIRECT(""&amp;$S$109&amp;"!$o$4"),0),FALSE))</f>
        <v>0</v>
      </c>
      <c r="O116" s="190">
        <f ca="1">IF(ISERROR(VLOOKUP($K116,OFFSET(INDIRECT(""&amp;$S$109&amp;"!$A$4"),0,0,200,100),MATCH(O$110,INDIRECT(""&amp;$S$109&amp;"!$A$4"):INDIRECT(""&amp;$S$109&amp;"!$o$4"),0),FALSE)),"",VLOOKUP($K116,OFFSET(INDIRECT(""&amp;$S$109&amp;"!$A$4"),0,0,200,100),MATCH(O$110,INDIRECT(""&amp;$S$109&amp;"!$A$4"):INDIRECT(""&amp;$S$109&amp;"!$o$4"),0),FALSE))</f>
        <v>0</v>
      </c>
      <c r="P116" s="190">
        <f ca="1">IF(ISERROR(VLOOKUP($K116,OFFSET(INDIRECT(""&amp;$S$109&amp;"!$A$4"),0,0,200,100),MATCH(P$110,INDIRECT(""&amp;$S$109&amp;"!$A$4"):INDIRECT(""&amp;$S$109&amp;"!$o$4"),0),FALSE)),"",VLOOKUP($K116,OFFSET(INDIRECT(""&amp;$S$109&amp;"!$A$4"),0,0,200,100),MATCH(P$110,INDIRECT(""&amp;$S$109&amp;"!$A$4"):INDIRECT(""&amp;$S$109&amp;"!$o$4"),0),FALSE))</f>
        <v>0</v>
      </c>
      <c r="Q116" s="190">
        <f ca="1">IF(ISERROR(VLOOKUP($K116,OFFSET(INDIRECT(""&amp;$S$109&amp;"!$A$4"),0,0,200,100),MATCH(Q$110,INDIRECT(""&amp;$S$109&amp;"!$A$4"):INDIRECT(""&amp;$S$109&amp;"!$o$4"),0),FALSE)),"",VLOOKUP($K116,OFFSET(INDIRECT(""&amp;$S$109&amp;"!$A$4"),0,0,200,100),MATCH(Q$110,INDIRECT(""&amp;$S$109&amp;"!$A$4"):INDIRECT(""&amp;$S$109&amp;"!$o$4"),0),FALSE))</f>
        <v>0</v>
      </c>
      <c r="R116" s="190">
        <f ca="1">IF(ISERROR(VLOOKUP($K116,OFFSET(INDIRECT(""&amp;$S$109&amp;"!$A$4"),0,0,200,100),MATCH(R$110,INDIRECT(""&amp;$S$109&amp;"!$A$4"):INDIRECT(""&amp;$S$109&amp;"!$o$4"),0),FALSE)),"",VLOOKUP($K116,OFFSET(INDIRECT(""&amp;$S$109&amp;"!$A$4"),0,0,200,100),MATCH(R$110,INDIRECT(""&amp;$S$109&amp;"!$A$4"):INDIRECT(""&amp;$S$109&amp;"!$o$4"),0),FALSE))</f>
        <v>0</v>
      </c>
      <c r="S116" s="190">
        <f ca="1">IF(ISERROR(VLOOKUP($K116,OFFSET(INDIRECT(""&amp;$S$109&amp;"!$A$4"),0,0,200,100),MATCH(S$110,INDIRECT(""&amp;$S$109&amp;"!$A$4"):INDIRECT(""&amp;$S$109&amp;"!$o$4"),0),FALSE)),"",VLOOKUP($K116,OFFSET(INDIRECT(""&amp;$S$109&amp;"!$A$4"),0,0,200,100),MATCH(S$110,INDIRECT(""&amp;$S$109&amp;"!$A$4"):INDIRECT(""&amp;$S$109&amp;"!$o$4"),0),FALSE))</f>
        <v>0</v>
      </c>
      <c r="T116" s="190">
        <f ca="1">IF(ISERROR(VLOOKUP($K116,OFFSET(INDIRECT(""&amp;$S$109&amp;"!$A$4"),0,0,200,100),MATCH(T$110,INDIRECT(""&amp;$S$109&amp;"!$A$4"):INDIRECT(""&amp;$S$109&amp;"!$o$4"),0),FALSE)),"",VLOOKUP($K116,OFFSET(INDIRECT(""&amp;$S$109&amp;"!$A$4"),0,0,200,100),MATCH(T$110,INDIRECT(""&amp;$S$109&amp;"!$A$4"):INDIRECT(""&amp;$S$109&amp;"!$o$4"),0),FALSE))</f>
        <v>0</v>
      </c>
      <c r="U116" s="190">
        <f ca="1">IF(ISERROR(VLOOKUP($K116,OFFSET(INDIRECT(""&amp;$S$109&amp;"!$A$4"),0,0,200,100),MATCH(U$110,INDIRECT(""&amp;$S$109&amp;"!$A$4"):INDIRECT(""&amp;$S$109&amp;"!$o$4"),0),FALSE)),"",VLOOKUP($K116,OFFSET(INDIRECT(""&amp;$S$109&amp;"!$A$4"),0,0,200,100),MATCH(U$110,INDIRECT(""&amp;$S$109&amp;"!$A$4"):INDIRECT(""&amp;$S$109&amp;"!$o$4"),0),FALSE))</f>
        <v>0</v>
      </c>
      <c r="V116" s="190">
        <f ca="1">IF(ISERROR(VLOOKUP($K116,OFFSET(INDIRECT(""&amp;$S$109&amp;"!$A$4"),0,0,200,100),MATCH(V$110,INDIRECT(""&amp;$S$109&amp;"!$A$4"):INDIRECT(""&amp;$S$109&amp;"!$o$4"),0),FALSE)),"",VLOOKUP($K116,OFFSET(INDIRECT(""&amp;$S$109&amp;"!$A$4"),0,0,200,100),MATCH(V$110,INDIRECT(""&amp;$S$109&amp;"!$A$4"):INDIRECT(""&amp;$S$109&amp;"!$o$4"),0),FALSE))</f>
        <v>0</v>
      </c>
      <c r="W116" s="190">
        <f ca="1">IF(ISERROR(VLOOKUP($K116,OFFSET(INDIRECT(""&amp;$S$109&amp;"!$A$4"),0,0,200,100),MATCH(W$110,INDIRECT(""&amp;$S$109&amp;"!$A$4"):INDIRECT(""&amp;$S$109&amp;"!$o$4"),0),FALSE)),"",VLOOKUP($K116,OFFSET(INDIRECT(""&amp;$S$109&amp;"!$A$4"),0,0,200,100),MATCH(W$110,INDIRECT(""&amp;$S$109&amp;"!$A$4"):INDIRECT(""&amp;$S$109&amp;"!$o$4"),0),FALSE))</f>
        <v>0</v>
      </c>
      <c r="X116" s="190">
        <f ca="1">IF(ISERROR(VLOOKUP($K116,OFFSET(INDIRECT(""&amp;$S$109&amp;"!$A$4"),0,0,200,100),MATCH(X$110,INDIRECT(""&amp;$S$109&amp;"!$A$4"):INDIRECT(""&amp;$S$109&amp;"!$o$4"),0),FALSE)),"",VLOOKUP($K116,OFFSET(INDIRECT(""&amp;$S$109&amp;"!$A$4"),0,0,200,100),MATCH(X$110,INDIRECT(""&amp;$S$109&amp;"!$A$4"):INDIRECT(""&amp;$S$109&amp;"!$o$4"),0),FALSE))</f>
        <v>0</v>
      </c>
      <c r="Y116" s="190">
        <f ca="1">IF(ISERROR(VLOOKUP($K116,OFFSET(INDIRECT(""&amp;$S$109&amp;"!$A$4"),0,0,200,100),MATCH(Y$110,INDIRECT(""&amp;$S$109&amp;"!$A$4"):INDIRECT(""&amp;$S$109&amp;"!$o$4"),0),FALSE)),"",VLOOKUP($K116,OFFSET(INDIRECT(""&amp;$S$109&amp;"!$A$4"),0,0,200,100),MATCH(Y$110,INDIRECT(""&amp;$S$109&amp;"!$A$4"):INDIRECT(""&amp;$S$109&amp;"!$o$4"),0),FALSE))</f>
        <v>0</v>
      </c>
      <c r="Z116" s="160">
        <f ca="1">IF(ISERROR(VLOOKUP($K116,OFFSET(INDIRECT(""&amp;$S$109&amp;"!$A$4"),0,0,200,100),MATCH(Z$110,INDIRECT(""&amp;$S$109&amp;"!$A$4"):INDIRECT(""&amp;$S$109&amp;"!$P$4"),0),FALSE)),"",VLOOKUP($K116,OFFSET(INDIRECT(""&amp;$S$109&amp;"!$A$4"),0,0,200,100),MATCH(Z$110,INDIRECT(""&amp;$S$109&amp;"!$A$4"):INDIRECT(""&amp;$S$109&amp;"!$P$4"),0),FALSE))</f>
        <v>0</v>
      </c>
      <c r="AA116" s="190"/>
      <c r="AC116" s="126"/>
      <c r="AD116" s="126"/>
      <c r="AE116" s="126"/>
      <c r="AF116" s="126"/>
      <c r="AG116" s="126"/>
      <c r="AH116" s="126"/>
      <c r="AI116" s="148"/>
      <c r="AJ116" s="148"/>
      <c r="AK116" s="148"/>
      <c r="AL116" s="148"/>
      <c r="AM116" s="148"/>
      <c r="AN116" s="148"/>
      <c r="AO116" s="126"/>
      <c r="AP116" s="126"/>
      <c r="AQ116" s="126"/>
      <c r="AR116" s="126"/>
      <c r="AS116" s="126"/>
      <c r="AT116" s="72"/>
      <c r="AU116" s="72"/>
      <c r="AV116" s="73"/>
      <c r="AW116" s="73"/>
      <c r="AX116" s="73"/>
      <c r="AY116" s="73"/>
      <c r="AZ116" s="73"/>
      <c r="BA116" s="73"/>
      <c r="BB116" s="73"/>
      <c r="BC116" s="73"/>
      <c r="BD116" s="73"/>
      <c r="BE116" s="73"/>
      <c r="BF116" s="73"/>
    </row>
    <row r="117" spans="1:58" s="128" customFormat="1" ht="15.95" customHeight="1">
      <c r="A117" s="111" t="s">
        <v>306</v>
      </c>
      <c r="B117" s="111" t="s">
        <v>349</v>
      </c>
      <c r="C117" s="74">
        <f ca="1">IF(ISERROR(VLOOKUP($B117,OFFSET(INDIRECT(""&amp;$B$109&amp;"!$A$4"),0,0,200,100),MATCH(C$110,INDIRECT(""&amp;$B$109&amp;"!$A$4"):INDIRECT(""&amp;$B$109&amp;"!$o$4"),0),FALSE)),"",VLOOKUP($B117,OFFSET(INDIRECT(""&amp;$B$109&amp;"!$A$4"),0,0,200,100),MATCH(C$110,INDIRECT(""&amp;$B$109&amp;"!$A$4"):INDIRECT(""&amp;$B$109&amp;"!$o$4"),0),FALSE))</f>
        <v>0</v>
      </c>
      <c r="D117" s="74">
        <f ca="1">IF(ISERROR(VLOOKUP($B117,OFFSET(INDIRECT(""&amp;$B$109&amp;"!$A$4"),0,0,200,100),MATCH(D$110,INDIRECT(""&amp;$B$109&amp;"!$A$4"):INDIRECT(""&amp;$B$109&amp;"!$o$4"),0),FALSE)),"",VLOOKUP($B117,OFFSET(INDIRECT(""&amp;$B$109&amp;"!$A$4"),0,0,200,100),MATCH(D$110,INDIRECT(""&amp;$B$109&amp;"!$A$4"):INDIRECT(""&amp;$B$109&amp;"!$o$4"),0),FALSE))</f>
        <v>0</v>
      </c>
      <c r="E117" s="74">
        <f ca="1">IF(ISERROR(VLOOKUP($B117,OFFSET(INDIRECT(""&amp;$B$109&amp;"!$A$4"),0,0,200,100),MATCH(E$110,INDIRECT(""&amp;$B$109&amp;"!$A$4"):INDIRECT(""&amp;$B$109&amp;"!$o$4"),0),FALSE)),"",VLOOKUP($B117,OFFSET(INDIRECT(""&amp;$B$109&amp;"!$A$4"),0,0,200,100),MATCH(E$110,INDIRECT(""&amp;$B$109&amp;"!$A$4"):INDIRECT(""&amp;$B$109&amp;"!$o$4"),0),FALSE))</f>
        <v>0</v>
      </c>
      <c r="F117" s="74">
        <f ca="1">IF(ISERROR(VLOOKUP($B117,OFFSET(INDIRECT(""&amp;$B$109&amp;"!$A$4"),0,0,200,100),MATCH(F$110,INDIRECT(""&amp;$B$109&amp;"!$A$4"):INDIRECT(""&amp;$B$109&amp;"!$o$4"),0),FALSE)),"",VLOOKUP($B117,OFFSET(INDIRECT(""&amp;$B$109&amp;"!$A$4"),0,0,200,100),MATCH(F$110,INDIRECT(""&amp;$B$109&amp;"!$A$4"):INDIRECT(""&amp;$B$109&amp;"!$o$4"),0),FALSE))</f>
        <v>0</v>
      </c>
      <c r="G117" s="74">
        <f ca="1">IF(ISERROR(VLOOKUP($B117,OFFSET(INDIRECT(""&amp;$B$109&amp;"!$A$4"),0,0,200,100),MATCH(G$110,INDIRECT(""&amp;$B$109&amp;"!$A$4"):INDIRECT(""&amp;$B$109&amp;"!$o$4"),0),FALSE)),"",VLOOKUP($B117,OFFSET(INDIRECT(""&amp;$B$109&amp;"!$A$4"),0,0,200,100),MATCH(G$110,INDIRECT(""&amp;$B$109&amp;"!$A$4"):INDIRECT(""&amp;$B$109&amp;"!$o$4"),0),FALSE))</f>
        <v>0</v>
      </c>
      <c r="H117" s="74">
        <f ca="1">IF(ISERROR(VLOOKUP($B117,OFFSET(INDIRECT(""&amp;$B$109&amp;"!$A$4"),0,0,200,100),MATCH(H$110,INDIRECT(""&amp;$B$109&amp;"!$A$4"):INDIRECT(""&amp;$B$109&amp;"!$o$4"),0),FALSE)),"",VLOOKUP($B117,OFFSET(INDIRECT(""&amp;$B$109&amp;"!$A$4"),0,0,200,100),MATCH(H$110,INDIRECT(""&amp;$B$109&amp;"!$A$4"):INDIRECT(""&amp;$B$109&amp;"!$o$4"),0),FALSE))</f>
        <v>0</v>
      </c>
      <c r="I117" s="74">
        <f ca="1">IF(ISERROR(VLOOKUP($B117,OFFSET(INDIRECT(""&amp;$B$109&amp;"!$A$4"),0,0,200,100),MATCH(I$110,INDIRECT(""&amp;$B$109&amp;"!$A$4"):INDIRECT(""&amp;$B$109&amp;"!$o$4"),0),FALSE)),"",VLOOKUP($B117,OFFSET(INDIRECT(""&amp;$B$109&amp;"!$A$4"),0,0,200,100),MATCH(I$110,INDIRECT(""&amp;$B$109&amp;"!$A$4"):INDIRECT(""&amp;$B$109&amp;"!$o$4"),0),FALSE))</f>
        <v>0</v>
      </c>
      <c r="J117" s="74">
        <f ca="1">IF(ISERROR(VLOOKUP($B117,OFFSET(INDIRECT(""&amp;$B$109&amp;"!$A$4"),0,0,200,100),MATCH(J$110,INDIRECT(""&amp;$B$109&amp;"!$A$4"):INDIRECT(""&amp;$B$109&amp;"!$o$4"),0),FALSE)),"",VLOOKUP($B117,OFFSET(INDIRECT(""&amp;$B$109&amp;"!$A$4"),0,0,200,100),MATCH(J$110,INDIRECT(""&amp;$B$109&amp;"!$A$4"):INDIRECT(""&amp;$B$109&amp;"!$o$4"),0),FALSE))</f>
        <v>0</v>
      </c>
      <c r="K117" s="129" t="s">
        <v>349</v>
      </c>
      <c r="L117" s="190">
        <f ca="1">IF(ISERROR(VLOOKUP($K117,OFFSET(INDIRECT(""&amp;$S$109&amp;"!$A$4"),0,0,200,100),MATCH(L$110,INDIRECT(""&amp;$S$109&amp;"!$A$4"):INDIRECT(""&amp;$S$109&amp;"!$o$4"),0),FALSE)),"",VLOOKUP($K117,OFFSET(INDIRECT(""&amp;$S$109&amp;"!$A$4"),0,0,200,100),MATCH(L$110,INDIRECT(""&amp;$S$109&amp;"!$A$4"):INDIRECT(""&amp;$S$109&amp;"!$o$4"),0),FALSE))</f>
        <v>0</v>
      </c>
      <c r="M117" s="190">
        <f ca="1">IF(ISERROR(VLOOKUP($K117,OFFSET(INDIRECT(""&amp;$S$109&amp;"!$A$4"),0,0,200,100),MATCH(M$110,INDIRECT(""&amp;$S$109&amp;"!$A$4"):INDIRECT(""&amp;$S$109&amp;"!$o$4"),0),FALSE)),"",VLOOKUP($K117,OFFSET(INDIRECT(""&amp;$S$109&amp;"!$A$4"),0,0,200,100),MATCH(M$110,INDIRECT(""&amp;$S$109&amp;"!$A$4"):INDIRECT(""&amp;$S$109&amp;"!$o$4"),0),FALSE))</f>
        <v>0</v>
      </c>
      <c r="N117" s="190">
        <f ca="1">IF(ISERROR(VLOOKUP($K117,OFFSET(INDIRECT(""&amp;$S$109&amp;"!$A$4"),0,0,200,100),MATCH(N$110,INDIRECT(""&amp;$S$109&amp;"!$A$4"):INDIRECT(""&amp;$S$109&amp;"!$o$4"),0),FALSE)),"",VLOOKUP($K117,OFFSET(INDIRECT(""&amp;$S$109&amp;"!$A$4"),0,0,200,100),MATCH(N$110,INDIRECT(""&amp;$S$109&amp;"!$A$4"):INDIRECT(""&amp;$S$109&amp;"!$o$4"),0),FALSE))</f>
        <v>0</v>
      </c>
      <c r="O117" s="190">
        <f ca="1">IF(ISERROR(VLOOKUP($K117,OFFSET(INDIRECT(""&amp;$S$109&amp;"!$A$4"),0,0,200,100),MATCH(O$110,INDIRECT(""&amp;$S$109&amp;"!$A$4"):INDIRECT(""&amp;$S$109&amp;"!$o$4"),0),FALSE)),"",VLOOKUP($K117,OFFSET(INDIRECT(""&amp;$S$109&amp;"!$A$4"),0,0,200,100),MATCH(O$110,INDIRECT(""&amp;$S$109&amp;"!$A$4"):INDIRECT(""&amp;$S$109&amp;"!$o$4"),0),FALSE))</f>
        <v>0</v>
      </c>
      <c r="P117" s="190">
        <f ca="1">IF(ISERROR(VLOOKUP($K117,OFFSET(INDIRECT(""&amp;$S$109&amp;"!$A$4"),0,0,200,100),MATCH(P$110,INDIRECT(""&amp;$S$109&amp;"!$A$4"):INDIRECT(""&amp;$S$109&amp;"!$o$4"),0),FALSE)),"",VLOOKUP($K117,OFFSET(INDIRECT(""&amp;$S$109&amp;"!$A$4"),0,0,200,100),MATCH(P$110,INDIRECT(""&amp;$S$109&amp;"!$A$4"):INDIRECT(""&amp;$S$109&amp;"!$o$4"),0),FALSE))</f>
        <v>0</v>
      </c>
      <c r="Q117" s="190">
        <f ca="1">IF(ISERROR(VLOOKUP($K117,OFFSET(INDIRECT(""&amp;$S$109&amp;"!$A$4"),0,0,200,100),MATCH(Q$110,INDIRECT(""&amp;$S$109&amp;"!$A$4"):INDIRECT(""&amp;$S$109&amp;"!$o$4"),0),FALSE)),"",VLOOKUP($K117,OFFSET(INDIRECT(""&amp;$S$109&amp;"!$A$4"),0,0,200,100),MATCH(Q$110,INDIRECT(""&amp;$S$109&amp;"!$A$4"):INDIRECT(""&amp;$S$109&amp;"!$o$4"),0),FALSE))</f>
        <v>0</v>
      </c>
      <c r="R117" s="190">
        <f ca="1">IF(ISERROR(VLOOKUP($K117,OFFSET(INDIRECT(""&amp;$S$109&amp;"!$A$4"),0,0,200,100),MATCH(R$110,INDIRECT(""&amp;$S$109&amp;"!$A$4"):INDIRECT(""&amp;$S$109&amp;"!$o$4"),0),FALSE)),"",VLOOKUP($K117,OFFSET(INDIRECT(""&amp;$S$109&amp;"!$A$4"),0,0,200,100),MATCH(R$110,INDIRECT(""&amp;$S$109&amp;"!$A$4"):INDIRECT(""&amp;$S$109&amp;"!$o$4"),0),FALSE))</f>
        <v>0</v>
      </c>
      <c r="S117" s="190">
        <f ca="1">IF(ISERROR(VLOOKUP($K117,OFFSET(INDIRECT(""&amp;$S$109&amp;"!$A$4"),0,0,200,100),MATCH(S$110,INDIRECT(""&amp;$S$109&amp;"!$A$4"):INDIRECT(""&amp;$S$109&amp;"!$o$4"),0),FALSE)),"",VLOOKUP($K117,OFFSET(INDIRECT(""&amp;$S$109&amp;"!$A$4"),0,0,200,100),MATCH(S$110,INDIRECT(""&amp;$S$109&amp;"!$A$4"):INDIRECT(""&amp;$S$109&amp;"!$o$4"),0),FALSE))</f>
        <v>0</v>
      </c>
      <c r="T117" s="190">
        <f ca="1">IF(ISERROR(VLOOKUP($K117,OFFSET(INDIRECT(""&amp;$S$109&amp;"!$A$4"),0,0,200,100),MATCH(T$110,INDIRECT(""&amp;$S$109&amp;"!$A$4"):INDIRECT(""&amp;$S$109&amp;"!$o$4"),0),FALSE)),"",VLOOKUP($K117,OFFSET(INDIRECT(""&amp;$S$109&amp;"!$A$4"),0,0,200,100),MATCH(T$110,INDIRECT(""&amp;$S$109&amp;"!$A$4"):INDIRECT(""&amp;$S$109&amp;"!$o$4"),0),FALSE))</f>
        <v>0</v>
      </c>
      <c r="U117" s="190">
        <f ca="1">IF(ISERROR(VLOOKUP($K117,OFFSET(INDIRECT(""&amp;$S$109&amp;"!$A$4"),0,0,200,100),MATCH(U$110,INDIRECT(""&amp;$S$109&amp;"!$A$4"):INDIRECT(""&amp;$S$109&amp;"!$o$4"),0),FALSE)),"",VLOOKUP($K117,OFFSET(INDIRECT(""&amp;$S$109&amp;"!$A$4"),0,0,200,100),MATCH(U$110,INDIRECT(""&amp;$S$109&amp;"!$A$4"):INDIRECT(""&amp;$S$109&amp;"!$o$4"),0),FALSE))</f>
        <v>0</v>
      </c>
      <c r="V117" s="190">
        <f ca="1">IF(ISERROR(VLOOKUP($K117,OFFSET(INDIRECT(""&amp;$S$109&amp;"!$A$4"),0,0,200,100),MATCH(V$110,INDIRECT(""&amp;$S$109&amp;"!$A$4"):INDIRECT(""&amp;$S$109&amp;"!$o$4"),0),FALSE)),"",VLOOKUP($K117,OFFSET(INDIRECT(""&amp;$S$109&amp;"!$A$4"),0,0,200,100),MATCH(V$110,INDIRECT(""&amp;$S$109&amp;"!$A$4"):INDIRECT(""&amp;$S$109&amp;"!$o$4"),0),FALSE))</f>
        <v>0</v>
      </c>
      <c r="W117" s="190">
        <f ca="1">IF(ISERROR(VLOOKUP($K117,OFFSET(INDIRECT(""&amp;$S$109&amp;"!$A$4"),0,0,200,100),MATCH(W$110,INDIRECT(""&amp;$S$109&amp;"!$A$4"):INDIRECT(""&amp;$S$109&amp;"!$o$4"),0),FALSE)),"",VLOOKUP($K117,OFFSET(INDIRECT(""&amp;$S$109&amp;"!$A$4"),0,0,200,100),MATCH(W$110,INDIRECT(""&amp;$S$109&amp;"!$A$4"):INDIRECT(""&amp;$S$109&amp;"!$o$4"),0),FALSE))</f>
        <v>0</v>
      </c>
      <c r="X117" s="190">
        <f ca="1">IF(ISERROR(VLOOKUP($K117,OFFSET(INDIRECT(""&amp;$S$109&amp;"!$A$4"),0,0,200,100),MATCH(X$110,INDIRECT(""&amp;$S$109&amp;"!$A$4"):INDIRECT(""&amp;$S$109&amp;"!$o$4"),0),FALSE)),"",VLOOKUP($K117,OFFSET(INDIRECT(""&amp;$S$109&amp;"!$A$4"),0,0,200,100),MATCH(X$110,INDIRECT(""&amp;$S$109&amp;"!$A$4"):INDIRECT(""&amp;$S$109&amp;"!$o$4"),0),FALSE))</f>
        <v>0</v>
      </c>
      <c r="Y117" s="190">
        <f ca="1">IF(ISERROR(VLOOKUP($K117,OFFSET(INDIRECT(""&amp;$S$109&amp;"!$A$4"),0,0,200,100),MATCH(Y$110,INDIRECT(""&amp;$S$109&amp;"!$A$4"):INDIRECT(""&amp;$S$109&amp;"!$o$4"),0),FALSE)),"",VLOOKUP($K117,OFFSET(INDIRECT(""&amp;$S$109&amp;"!$A$4"),0,0,200,100),MATCH(Y$110,INDIRECT(""&amp;$S$109&amp;"!$A$4"):INDIRECT(""&amp;$S$109&amp;"!$o$4"),0),FALSE))</f>
        <v>0</v>
      </c>
      <c r="Z117" s="160">
        <f ca="1">IF(ISERROR(VLOOKUP($K117,OFFSET(INDIRECT(""&amp;$S$109&amp;"!$A$4"),0,0,200,100),MATCH(Z$110,INDIRECT(""&amp;$S$109&amp;"!$A$4"):INDIRECT(""&amp;$S$109&amp;"!$P$4"),0),FALSE)),"",VLOOKUP($K117,OFFSET(INDIRECT(""&amp;$S$109&amp;"!$A$4"),0,0,200,100),MATCH(Z$110,INDIRECT(""&amp;$S$109&amp;"!$A$4"):INDIRECT(""&amp;$S$109&amp;"!$P$4"),0),FALSE))</f>
        <v>0</v>
      </c>
      <c r="AA117" s="190"/>
      <c r="AC117" s="126"/>
      <c r="AD117" s="126"/>
      <c r="AE117" s="126"/>
      <c r="AF117" s="126"/>
      <c r="AG117" s="126"/>
      <c r="AH117" s="126"/>
      <c r="AI117" s="148"/>
      <c r="AJ117" s="148"/>
      <c r="AK117" s="148"/>
      <c r="AL117" s="148"/>
      <c r="AM117" s="148"/>
      <c r="AN117" s="148"/>
      <c r="AO117" s="126"/>
      <c r="AP117" s="126"/>
      <c r="AQ117" s="126"/>
      <c r="AR117" s="126"/>
      <c r="AS117" s="126"/>
      <c r="AT117" s="72"/>
      <c r="AU117" s="72"/>
      <c r="AV117" s="73"/>
      <c r="AW117" s="73"/>
      <c r="AX117" s="73"/>
      <c r="AY117" s="73"/>
      <c r="AZ117" s="73"/>
      <c r="BA117" s="73"/>
      <c r="BB117" s="73"/>
      <c r="BC117" s="73"/>
      <c r="BD117" s="73"/>
      <c r="BE117" s="73"/>
      <c r="BF117" s="73"/>
    </row>
    <row r="118" spans="1:58" s="128" customFormat="1" ht="15.95" customHeight="1">
      <c r="A118" s="111" t="s">
        <v>307</v>
      </c>
      <c r="B118" s="111" t="s">
        <v>350</v>
      </c>
      <c r="C118" s="74">
        <f ca="1">IF(ISERROR(VLOOKUP($B118,OFFSET(INDIRECT(""&amp;$B$109&amp;"!$A$4"),0,0,200,100),MATCH(C$110,INDIRECT(""&amp;$B$109&amp;"!$A$4"):INDIRECT(""&amp;$B$109&amp;"!$o$4"),0),FALSE)),"",VLOOKUP($B118,OFFSET(INDIRECT(""&amp;$B$109&amp;"!$A$4"),0,0,200,100),MATCH(C$110,INDIRECT(""&amp;$B$109&amp;"!$A$4"):INDIRECT(""&amp;$B$109&amp;"!$o$4"),0),FALSE))</f>
        <v>-3661.6203679999999</v>
      </c>
      <c r="D118" s="74">
        <f ca="1">IF(ISERROR(VLOOKUP($B118,OFFSET(INDIRECT(""&amp;$B$109&amp;"!$A$4"),0,0,200,100),MATCH(D$110,INDIRECT(""&amp;$B$109&amp;"!$A$4"):INDIRECT(""&amp;$B$109&amp;"!$o$4"),0),FALSE)),"",VLOOKUP($B118,OFFSET(INDIRECT(""&amp;$B$109&amp;"!$A$4"),0,0,200,100),MATCH(D$110,INDIRECT(""&amp;$B$109&amp;"!$A$4"):INDIRECT(""&amp;$B$109&amp;"!$o$4"),0),FALSE))</f>
        <v>1532.2413469999999</v>
      </c>
      <c r="E118" s="74">
        <f ca="1">IF(ISERROR(VLOOKUP($B118,OFFSET(INDIRECT(""&amp;$B$109&amp;"!$A$4"),0,0,200,100),MATCH(E$110,INDIRECT(""&amp;$B$109&amp;"!$A$4"):INDIRECT(""&amp;$B$109&amp;"!$o$4"),0),FALSE)),"",VLOOKUP($B118,OFFSET(INDIRECT(""&amp;$B$109&amp;"!$A$4"),0,0,200,100),MATCH(E$110,INDIRECT(""&amp;$B$109&amp;"!$A$4"):INDIRECT(""&amp;$B$109&amp;"!$o$4"),0),FALSE))</f>
        <v>-6863.2409449999996</v>
      </c>
      <c r="F118" s="74">
        <f ca="1">IF(ISERROR(VLOOKUP($B118,OFFSET(INDIRECT(""&amp;$B$109&amp;"!$A$4"),0,0,200,100),MATCH(F$110,INDIRECT(""&amp;$B$109&amp;"!$A$4"):INDIRECT(""&amp;$B$109&amp;"!$o$4"),0),FALSE)),"",VLOOKUP($B118,OFFSET(INDIRECT(""&amp;$B$109&amp;"!$A$4"),0,0,200,100),MATCH(F$110,INDIRECT(""&amp;$B$109&amp;"!$A$4"):INDIRECT(""&amp;$B$109&amp;"!$o$4"),0),FALSE))</f>
        <v>-3793.5073240000002</v>
      </c>
      <c r="G118" s="74">
        <f ca="1">IF(ISERROR(VLOOKUP($B118,OFFSET(INDIRECT(""&amp;$B$109&amp;"!$A$4"),0,0,200,100),MATCH(G$110,INDIRECT(""&amp;$B$109&amp;"!$A$4"):INDIRECT(""&amp;$B$109&amp;"!$o$4"),0),FALSE)),"",VLOOKUP($B118,OFFSET(INDIRECT(""&amp;$B$109&amp;"!$A$4"),0,0,200,100),MATCH(G$110,INDIRECT(""&amp;$B$109&amp;"!$A$4"):INDIRECT(""&amp;$B$109&amp;"!$o$4"),0),FALSE))</f>
        <v>-8184.4152430000004</v>
      </c>
      <c r="H118" s="74">
        <f ca="1">IF(ISERROR(VLOOKUP($B118,OFFSET(INDIRECT(""&amp;$B$109&amp;"!$A$4"),0,0,200,100),MATCH(H$110,INDIRECT(""&amp;$B$109&amp;"!$A$4"):INDIRECT(""&amp;$B$109&amp;"!$o$4"),0),FALSE)),"",VLOOKUP($B118,OFFSET(INDIRECT(""&amp;$B$109&amp;"!$A$4"),0,0,200,100),MATCH(H$110,INDIRECT(""&amp;$B$109&amp;"!$A$4"):INDIRECT(""&amp;$B$109&amp;"!$o$4"),0),FALSE))</f>
        <v>-3124.9562510000001</v>
      </c>
      <c r="I118" s="74">
        <f ca="1">IF(ISERROR(VLOOKUP($B118,OFFSET(INDIRECT(""&amp;$B$109&amp;"!$A$4"),0,0,200,100),MATCH(I$110,INDIRECT(""&amp;$B$109&amp;"!$A$4"):INDIRECT(""&amp;$B$109&amp;"!$o$4"),0),FALSE)),"",VLOOKUP($B118,OFFSET(INDIRECT(""&amp;$B$109&amp;"!$A$4"),0,0,200,100),MATCH(I$110,INDIRECT(""&amp;$B$109&amp;"!$A$4"):INDIRECT(""&amp;$B$109&amp;"!$o$4"),0),FALSE))</f>
        <v>-2770.5120459999998</v>
      </c>
      <c r="J118" s="74">
        <f ca="1">IF(ISERROR(VLOOKUP($B118,OFFSET(INDIRECT(""&amp;$B$109&amp;"!$A$4"),0,0,200,100),MATCH(J$110,INDIRECT(""&amp;$B$109&amp;"!$A$4"):INDIRECT(""&amp;$B$109&amp;"!$o$4"),0),FALSE)),"",VLOOKUP($B118,OFFSET(INDIRECT(""&amp;$B$109&amp;"!$A$4"),0,0,200,100),MATCH(J$110,INDIRECT(""&amp;$B$109&amp;"!$A$4"):INDIRECT(""&amp;$B$109&amp;"!$o$4"),0),FALSE))</f>
        <v>-2770.5120459999998</v>
      </c>
      <c r="K118" s="129" t="s">
        <v>350</v>
      </c>
      <c r="L118" s="190">
        <f ca="1">IF(ISERROR(VLOOKUP($K118,OFFSET(INDIRECT(""&amp;$S$109&amp;"!$A$4"),0,0,200,100),MATCH(L$110,INDIRECT(""&amp;$S$109&amp;"!$A$4"):INDIRECT(""&amp;$S$109&amp;"!$o$4"),0),FALSE)),"",VLOOKUP($K118,OFFSET(INDIRECT(""&amp;$S$109&amp;"!$A$4"),0,0,200,100),MATCH(L$110,INDIRECT(""&amp;$S$109&amp;"!$A$4"):INDIRECT(""&amp;$S$109&amp;"!$o$4"),0),FALSE))</f>
        <v>0</v>
      </c>
      <c r="M118" s="190">
        <f ca="1">IF(ISERROR(VLOOKUP($K118,OFFSET(INDIRECT(""&amp;$S$109&amp;"!$A$4"),0,0,200,100),MATCH(M$110,INDIRECT(""&amp;$S$109&amp;"!$A$4"):INDIRECT(""&amp;$S$109&amp;"!$o$4"),0),FALSE)),"",VLOOKUP($K118,OFFSET(INDIRECT(""&amp;$S$109&amp;"!$A$4"),0,0,200,100),MATCH(M$110,INDIRECT(""&amp;$S$109&amp;"!$A$4"):INDIRECT(""&amp;$S$109&amp;"!$o$4"),0),FALSE))</f>
        <v>-7911.1668</v>
      </c>
      <c r="N118" s="190">
        <f ca="1">IF(ISERROR(VLOOKUP($K118,OFFSET(INDIRECT(""&amp;$S$109&amp;"!$A$4"),0,0,200,100),MATCH(N$110,INDIRECT(""&amp;$S$109&amp;"!$A$4"):INDIRECT(""&amp;$S$109&amp;"!$o$4"),0),FALSE)),"",VLOOKUP($K118,OFFSET(INDIRECT(""&amp;$S$109&amp;"!$A$4"),0,0,200,100),MATCH(N$110,INDIRECT(""&amp;$S$109&amp;"!$A$4"):INDIRECT(""&amp;$S$109&amp;"!$o$4"),0),FALSE))</f>
        <v>0</v>
      </c>
      <c r="O118" s="190">
        <f ca="1">IF(ISERROR(VLOOKUP($K118,OFFSET(INDIRECT(""&amp;$S$109&amp;"!$A$4"),0,0,200,100),MATCH(O$110,INDIRECT(""&amp;$S$109&amp;"!$A$4"):INDIRECT(""&amp;$S$109&amp;"!$o$4"),0),FALSE)),"",VLOOKUP($K118,OFFSET(INDIRECT(""&amp;$S$109&amp;"!$A$4"),0,0,200,100),MATCH(O$110,INDIRECT(""&amp;$S$109&amp;"!$A$4"):INDIRECT(""&amp;$S$109&amp;"!$o$4"),0),FALSE))</f>
        <v>0</v>
      </c>
      <c r="P118" s="190">
        <f ca="1">IF(ISERROR(VLOOKUP($K118,OFFSET(INDIRECT(""&amp;$S$109&amp;"!$A$4"),0,0,200,100),MATCH(P$110,INDIRECT(""&amp;$S$109&amp;"!$A$4"):INDIRECT(""&amp;$S$109&amp;"!$o$4"),0),FALSE)),"",VLOOKUP($K118,OFFSET(INDIRECT(""&amp;$S$109&amp;"!$A$4"),0,0,200,100),MATCH(P$110,INDIRECT(""&amp;$S$109&amp;"!$A$4"):INDIRECT(""&amp;$S$109&amp;"!$o$4"),0),FALSE))</f>
        <v>0</v>
      </c>
      <c r="Q118" s="190">
        <f ca="1">IF(ISERROR(VLOOKUP($K118,OFFSET(INDIRECT(""&amp;$S$109&amp;"!$A$4"),0,0,200,100),MATCH(Q$110,INDIRECT(""&amp;$S$109&amp;"!$A$4"):INDIRECT(""&amp;$S$109&amp;"!$o$4"),0),FALSE)),"",VLOOKUP($K118,OFFSET(INDIRECT(""&amp;$S$109&amp;"!$A$4"),0,0,200,100),MATCH(Q$110,INDIRECT(""&amp;$S$109&amp;"!$A$4"):INDIRECT(""&amp;$S$109&amp;"!$o$4"),0),FALSE))</f>
        <v>0</v>
      </c>
      <c r="R118" s="190">
        <f ca="1">IF(ISERROR(VLOOKUP($K118,OFFSET(INDIRECT(""&amp;$S$109&amp;"!$A$4"),0,0,200,100),MATCH(R$110,INDIRECT(""&amp;$S$109&amp;"!$A$4"):INDIRECT(""&amp;$S$109&amp;"!$o$4"),0),FALSE)),"",VLOOKUP($K118,OFFSET(INDIRECT(""&amp;$S$109&amp;"!$A$4"),0,0,200,100),MATCH(R$110,INDIRECT(""&amp;$S$109&amp;"!$A$4"):INDIRECT(""&amp;$S$109&amp;"!$o$4"),0),FALSE))</f>
        <v>0</v>
      </c>
      <c r="S118" s="190">
        <f ca="1">IF(ISERROR(VLOOKUP($K118,OFFSET(INDIRECT(""&amp;$S$109&amp;"!$A$4"),0,0,200,100),MATCH(S$110,INDIRECT(""&amp;$S$109&amp;"!$A$4"):INDIRECT(""&amp;$S$109&amp;"!$o$4"),0),FALSE)),"",VLOOKUP($K118,OFFSET(INDIRECT(""&amp;$S$109&amp;"!$A$4"),0,0,200,100),MATCH(S$110,INDIRECT(""&amp;$S$109&amp;"!$A$4"):INDIRECT(""&amp;$S$109&amp;"!$o$4"),0),FALSE))</f>
        <v>0</v>
      </c>
      <c r="T118" s="190">
        <f ca="1">IF(ISERROR(VLOOKUP($K118,OFFSET(INDIRECT(""&amp;$S$109&amp;"!$A$4"),0,0,200,100),MATCH(T$110,INDIRECT(""&amp;$S$109&amp;"!$A$4"):INDIRECT(""&amp;$S$109&amp;"!$o$4"),0),FALSE)),"",VLOOKUP($K118,OFFSET(INDIRECT(""&amp;$S$109&amp;"!$A$4"),0,0,200,100),MATCH(T$110,INDIRECT(""&amp;$S$109&amp;"!$A$4"):INDIRECT(""&amp;$S$109&amp;"!$o$4"),0),FALSE))</f>
        <v>0</v>
      </c>
      <c r="U118" s="190">
        <f ca="1">IF(ISERROR(VLOOKUP($K118,OFFSET(INDIRECT(""&amp;$S$109&amp;"!$A$4"),0,0,200,100),MATCH(U$110,INDIRECT(""&amp;$S$109&amp;"!$A$4"):INDIRECT(""&amp;$S$109&amp;"!$o$4"),0),FALSE)),"",VLOOKUP($K118,OFFSET(INDIRECT(""&amp;$S$109&amp;"!$A$4"),0,0,200,100),MATCH(U$110,INDIRECT(""&amp;$S$109&amp;"!$A$4"):INDIRECT(""&amp;$S$109&amp;"!$o$4"),0),FALSE))</f>
        <v>0</v>
      </c>
      <c r="V118" s="190">
        <f ca="1">IF(ISERROR(VLOOKUP($K118,OFFSET(INDIRECT(""&amp;$S$109&amp;"!$A$4"),0,0,200,100),MATCH(V$110,INDIRECT(""&amp;$S$109&amp;"!$A$4"):INDIRECT(""&amp;$S$109&amp;"!$o$4"),0),FALSE)),"",VLOOKUP($K118,OFFSET(INDIRECT(""&amp;$S$109&amp;"!$A$4"),0,0,200,100),MATCH(V$110,INDIRECT(""&amp;$S$109&amp;"!$A$4"):INDIRECT(""&amp;$S$109&amp;"!$o$4"),0),FALSE))</f>
        <v>0</v>
      </c>
      <c r="W118" s="190">
        <f ca="1">IF(ISERROR(VLOOKUP($K118,OFFSET(INDIRECT(""&amp;$S$109&amp;"!$A$4"),0,0,200,100),MATCH(W$110,INDIRECT(""&amp;$S$109&amp;"!$A$4"):INDIRECT(""&amp;$S$109&amp;"!$o$4"),0),FALSE)),"",VLOOKUP($K118,OFFSET(INDIRECT(""&amp;$S$109&amp;"!$A$4"),0,0,200,100),MATCH(W$110,INDIRECT(""&amp;$S$109&amp;"!$A$4"):INDIRECT(""&amp;$S$109&amp;"!$o$4"),0),FALSE))</f>
        <v>0</v>
      </c>
      <c r="X118" s="190">
        <f ca="1">IF(ISERROR(VLOOKUP($K118,OFFSET(INDIRECT(""&amp;$S$109&amp;"!$A$4"),0,0,200,100),MATCH(X$110,INDIRECT(""&amp;$S$109&amp;"!$A$4"):INDIRECT(""&amp;$S$109&amp;"!$o$4"),0),FALSE)),"",VLOOKUP($K118,OFFSET(INDIRECT(""&amp;$S$109&amp;"!$A$4"),0,0,200,100),MATCH(X$110,INDIRECT(""&amp;$S$109&amp;"!$A$4"):INDIRECT(""&amp;$S$109&amp;"!$o$4"),0),FALSE))</f>
        <v>0</v>
      </c>
      <c r="Y118" s="190">
        <f ca="1">IF(ISERROR(VLOOKUP($K118,OFFSET(INDIRECT(""&amp;$S$109&amp;"!$A$4"),0,0,200,100),MATCH(Y$110,INDIRECT(""&amp;$S$109&amp;"!$A$4"):INDIRECT(""&amp;$S$109&amp;"!$o$4"),0),FALSE)),"",VLOOKUP($K118,OFFSET(INDIRECT(""&amp;$S$109&amp;"!$A$4"),0,0,200,100),MATCH(Y$110,INDIRECT(""&amp;$S$109&amp;"!$A$4"):INDIRECT(""&amp;$S$109&amp;"!$o$4"),0),FALSE))</f>
        <v>0</v>
      </c>
      <c r="Z118" s="160">
        <f ca="1">IF(ISERROR(VLOOKUP($K118,OFFSET(INDIRECT(""&amp;$S$109&amp;"!$A$4"),0,0,200,100),MATCH(Z$110,INDIRECT(""&amp;$S$109&amp;"!$A$4"):INDIRECT(""&amp;$S$109&amp;"!$P$4"),0),FALSE)),"",VLOOKUP($K118,OFFSET(INDIRECT(""&amp;$S$109&amp;"!$A$4"),0,0,200,100),MATCH(Z$110,INDIRECT(""&amp;$S$109&amp;"!$A$4"):INDIRECT(""&amp;$S$109&amp;"!$P$4"),0),FALSE))</f>
        <v>0</v>
      </c>
      <c r="AA118" s="190"/>
      <c r="AC118" s="126"/>
      <c r="AD118" s="126"/>
      <c r="AE118" s="126"/>
      <c r="AF118" s="126"/>
      <c r="AG118" s="126"/>
      <c r="AH118" s="126"/>
      <c r="AI118" s="148"/>
      <c r="AJ118" s="148"/>
      <c r="AK118" s="148"/>
      <c r="AL118" s="148"/>
      <c r="AM118" s="148"/>
      <c r="AN118" s="148"/>
      <c r="AO118" s="126"/>
      <c r="AP118" s="126"/>
      <c r="AQ118" s="126"/>
      <c r="AR118" s="126"/>
      <c r="AS118" s="126"/>
      <c r="AT118" s="72"/>
      <c r="AU118" s="72"/>
      <c r="AV118" s="73"/>
      <c r="AW118" s="73"/>
      <c r="AX118" s="73"/>
      <c r="AY118" s="73"/>
      <c r="AZ118" s="73"/>
      <c r="BA118" s="73"/>
      <c r="BB118" s="73"/>
      <c r="BC118" s="73"/>
      <c r="BD118" s="73"/>
      <c r="BE118" s="73"/>
      <c r="BF118" s="73"/>
    </row>
    <row r="119" spans="1:58" s="128" customFormat="1" ht="15.95" customHeight="1">
      <c r="A119" s="111" t="s">
        <v>308</v>
      </c>
      <c r="B119" s="111" t="s">
        <v>351</v>
      </c>
      <c r="C119" s="74">
        <f ca="1">IF(ISERROR(VLOOKUP($B119,OFFSET(INDIRECT(""&amp;$B$109&amp;"!$A$4"),0,0,200,100),MATCH(C$110,INDIRECT(""&amp;$B$109&amp;"!$A$4"):INDIRECT(""&amp;$B$109&amp;"!$o$4"),0),FALSE)),"",VLOOKUP($B119,OFFSET(INDIRECT(""&amp;$B$109&amp;"!$A$4"),0,0,200,100),MATCH(C$110,INDIRECT(""&amp;$B$109&amp;"!$A$4"):INDIRECT(""&amp;$B$109&amp;"!$o$4"),0),FALSE))</f>
        <v>107.537215</v>
      </c>
      <c r="D119" s="74">
        <f ca="1">IF(ISERROR(VLOOKUP($B119,OFFSET(INDIRECT(""&amp;$B$109&amp;"!$A$4"),0,0,200,100),MATCH(D$110,INDIRECT(""&amp;$B$109&amp;"!$A$4"):INDIRECT(""&amp;$B$109&amp;"!$o$4"),0),FALSE)),"",VLOOKUP($B119,OFFSET(INDIRECT(""&amp;$B$109&amp;"!$A$4"),0,0,200,100),MATCH(D$110,INDIRECT(""&amp;$B$109&amp;"!$A$4"):INDIRECT(""&amp;$B$109&amp;"!$o$4"),0),FALSE))</f>
        <v>164.89819299999999</v>
      </c>
      <c r="E119" s="74">
        <f ca="1">IF(ISERROR(VLOOKUP($B119,OFFSET(INDIRECT(""&amp;$B$109&amp;"!$A$4"),0,0,200,100),MATCH(E$110,INDIRECT(""&amp;$B$109&amp;"!$A$4"):INDIRECT(""&amp;$B$109&amp;"!$o$4"),0),FALSE)),"",VLOOKUP($B119,OFFSET(INDIRECT(""&amp;$B$109&amp;"!$A$4"),0,0,200,100),MATCH(E$110,INDIRECT(""&amp;$B$109&amp;"!$A$4"):INDIRECT(""&amp;$B$109&amp;"!$o$4"),0),FALSE))</f>
        <v>614.61596399999996</v>
      </c>
      <c r="F119" s="74">
        <f ca="1">IF(ISERROR(VLOOKUP($B119,OFFSET(INDIRECT(""&amp;$B$109&amp;"!$A$4"),0,0,200,100),MATCH(F$110,INDIRECT(""&amp;$B$109&amp;"!$A$4"):INDIRECT(""&amp;$B$109&amp;"!$o$4"),0),FALSE)),"",VLOOKUP($B119,OFFSET(INDIRECT(""&amp;$B$109&amp;"!$A$4"),0,0,200,100),MATCH(F$110,INDIRECT(""&amp;$B$109&amp;"!$A$4"):INDIRECT(""&amp;$B$109&amp;"!$o$4"),0),FALSE))</f>
        <v>1283.5399990000001</v>
      </c>
      <c r="G119" s="74">
        <f ca="1">IF(ISERROR(VLOOKUP($B119,OFFSET(INDIRECT(""&amp;$B$109&amp;"!$A$4"),0,0,200,100),MATCH(G$110,INDIRECT(""&amp;$B$109&amp;"!$A$4"):INDIRECT(""&amp;$B$109&amp;"!$o$4"),0),FALSE)),"",VLOOKUP($B119,OFFSET(INDIRECT(""&amp;$B$109&amp;"!$A$4"),0,0,200,100),MATCH(G$110,INDIRECT(""&amp;$B$109&amp;"!$A$4"):INDIRECT(""&amp;$B$109&amp;"!$o$4"),0),FALSE))</f>
        <v>8090.7236329999996</v>
      </c>
      <c r="H119" s="74">
        <f ca="1">IF(ISERROR(VLOOKUP($B119,OFFSET(INDIRECT(""&amp;$B$109&amp;"!$A$4"),0,0,200,100),MATCH(H$110,INDIRECT(""&amp;$B$109&amp;"!$A$4"):INDIRECT(""&amp;$B$109&amp;"!$o$4"),0),FALSE)),"",VLOOKUP($B119,OFFSET(INDIRECT(""&amp;$B$109&amp;"!$A$4"),0,0,200,100),MATCH(H$110,INDIRECT(""&amp;$B$109&amp;"!$A$4"):INDIRECT(""&amp;$B$109&amp;"!$o$4"),0),FALSE))</f>
        <v>4019.591238</v>
      </c>
      <c r="I119" s="74">
        <f ca="1">IF(ISERROR(VLOOKUP($B119,OFFSET(INDIRECT(""&amp;$B$109&amp;"!$A$4"),0,0,200,100),MATCH(I$110,INDIRECT(""&amp;$B$109&amp;"!$A$4"):INDIRECT(""&amp;$B$109&amp;"!$o$4"),0),FALSE)),"",VLOOKUP($B119,OFFSET(INDIRECT(""&amp;$B$109&amp;"!$A$4"),0,0,200,100),MATCH(I$110,INDIRECT(""&amp;$B$109&amp;"!$A$4"):INDIRECT(""&amp;$B$109&amp;"!$o$4"),0),FALSE))</f>
        <v>2645.4536149999999</v>
      </c>
      <c r="J119" s="74">
        <f ca="1">IF(ISERROR(VLOOKUP($B119,OFFSET(INDIRECT(""&amp;$B$109&amp;"!$A$4"),0,0,200,100),MATCH(J$110,INDIRECT(""&amp;$B$109&amp;"!$A$4"):INDIRECT(""&amp;$B$109&amp;"!$o$4"),0),FALSE)),"",VLOOKUP($B119,OFFSET(INDIRECT(""&amp;$B$109&amp;"!$A$4"),0,0,200,100),MATCH(J$110,INDIRECT(""&amp;$B$109&amp;"!$A$4"):INDIRECT(""&amp;$B$109&amp;"!$o$4"),0),FALSE))</f>
        <v>2645.4536149999999</v>
      </c>
      <c r="K119" s="129" t="s">
        <v>351</v>
      </c>
      <c r="L119" s="190">
        <f ca="1">IF(ISERROR(VLOOKUP($K119,OFFSET(INDIRECT(""&amp;$S$109&amp;"!$A$4"),0,0,200,100),MATCH(L$110,INDIRECT(""&amp;$S$109&amp;"!$A$4"):INDIRECT(""&amp;$S$109&amp;"!$o$4"),0),FALSE)),"",VLOOKUP($K119,OFFSET(INDIRECT(""&amp;$S$109&amp;"!$A$4"),0,0,200,100),MATCH(L$110,INDIRECT(""&amp;$S$109&amp;"!$A$4"):INDIRECT(""&amp;$S$109&amp;"!$o$4"),0),FALSE))</f>
        <v>0</v>
      </c>
      <c r="M119" s="190">
        <f ca="1">IF(ISERROR(VLOOKUP($K119,OFFSET(INDIRECT(""&amp;$S$109&amp;"!$A$4"),0,0,200,100),MATCH(M$110,INDIRECT(""&amp;$S$109&amp;"!$A$4"):INDIRECT(""&amp;$S$109&amp;"!$o$4"),0),FALSE)),"",VLOOKUP($K119,OFFSET(INDIRECT(""&amp;$S$109&amp;"!$A$4"),0,0,200,100),MATCH(M$110,INDIRECT(""&amp;$S$109&amp;"!$A$4"):INDIRECT(""&amp;$S$109&amp;"!$o$4"),0),FALSE))</f>
        <v>10.199999999999999</v>
      </c>
      <c r="N119" s="190">
        <f ca="1">IF(ISERROR(VLOOKUP($K119,OFFSET(INDIRECT(""&amp;$S$109&amp;"!$A$4"),0,0,200,100),MATCH(N$110,INDIRECT(""&amp;$S$109&amp;"!$A$4"):INDIRECT(""&amp;$S$109&amp;"!$o$4"),0),FALSE)),"",VLOOKUP($K119,OFFSET(INDIRECT(""&amp;$S$109&amp;"!$A$4"),0,0,200,100),MATCH(N$110,INDIRECT(""&amp;$S$109&amp;"!$A$4"):INDIRECT(""&amp;$S$109&amp;"!$o$4"),0),FALSE))</f>
        <v>0</v>
      </c>
      <c r="O119" s="190">
        <f ca="1">IF(ISERROR(VLOOKUP($K119,OFFSET(INDIRECT(""&amp;$S$109&amp;"!$A$4"),0,0,200,100),MATCH(O$110,INDIRECT(""&amp;$S$109&amp;"!$A$4"):INDIRECT(""&amp;$S$109&amp;"!$o$4"),0),FALSE)),"",VLOOKUP($K119,OFFSET(INDIRECT(""&amp;$S$109&amp;"!$A$4"),0,0,200,100),MATCH(O$110,INDIRECT(""&amp;$S$109&amp;"!$A$4"):INDIRECT(""&amp;$S$109&amp;"!$o$4"),0),FALSE))</f>
        <v>0</v>
      </c>
      <c r="P119" s="190">
        <f ca="1">IF(ISERROR(VLOOKUP($K119,OFFSET(INDIRECT(""&amp;$S$109&amp;"!$A$4"),0,0,200,100),MATCH(P$110,INDIRECT(""&amp;$S$109&amp;"!$A$4"):INDIRECT(""&amp;$S$109&amp;"!$o$4"),0),FALSE)),"",VLOOKUP($K119,OFFSET(INDIRECT(""&amp;$S$109&amp;"!$A$4"),0,0,200,100),MATCH(P$110,INDIRECT(""&amp;$S$109&amp;"!$A$4"):INDIRECT(""&amp;$S$109&amp;"!$o$4"),0),FALSE))</f>
        <v>0</v>
      </c>
      <c r="Q119" s="190">
        <f ca="1">IF(ISERROR(VLOOKUP($K119,OFFSET(INDIRECT(""&amp;$S$109&amp;"!$A$4"),0,0,200,100),MATCH(Q$110,INDIRECT(""&amp;$S$109&amp;"!$A$4"):INDIRECT(""&amp;$S$109&amp;"!$o$4"),0),FALSE)),"",VLOOKUP($K119,OFFSET(INDIRECT(""&amp;$S$109&amp;"!$A$4"),0,0,200,100),MATCH(Q$110,INDIRECT(""&amp;$S$109&amp;"!$A$4"):INDIRECT(""&amp;$S$109&amp;"!$o$4"),0),FALSE))</f>
        <v>0</v>
      </c>
      <c r="R119" s="190">
        <f ca="1">IF(ISERROR(VLOOKUP($K119,OFFSET(INDIRECT(""&amp;$S$109&amp;"!$A$4"),0,0,200,100),MATCH(R$110,INDIRECT(""&amp;$S$109&amp;"!$A$4"):INDIRECT(""&amp;$S$109&amp;"!$o$4"),0),FALSE)),"",VLOOKUP($K119,OFFSET(INDIRECT(""&amp;$S$109&amp;"!$A$4"),0,0,200,100),MATCH(R$110,INDIRECT(""&amp;$S$109&amp;"!$A$4"):INDIRECT(""&amp;$S$109&amp;"!$o$4"),0),FALSE))</f>
        <v>0</v>
      </c>
      <c r="S119" s="190">
        <f ca="1">IF(ISERROR(VLOOKUP($K119,OFFSET(INDIRECT(""&amp;$S$109&amp;"!$A$4"),0,0,200,100),MATCH(S$110,INDIRECT(""&amp;$S$109&amp;"!$A$4"):INDIRECT(""&amp;$S$109&amp;"!$o$4"),0),FALSE)),"",VLOOKUP($K119,OFFSET(INDIRECT(""&amp;$S$109&amp;"!$A$4"),0,0,200,100),MATCH(S$110,INDIRECT(""&amp;$S$109&amp;"!$A$4"):INDIRECT(""&amp;$S$109&amp;"!$o$4"),0),FALSE))</f>
        <v>0</v>
      </c>
      <c r="T119" s="190">
        <f ca="1">IF(ISERROR(VLOOKUP($K119,OFFSET(INDIRECT(""&amp;$S$109&amp;"!$A$4"),0,0,200,100),MATCH(T$110,INDIRECT(""&amp;$S$109&amp;"!$A$4"):INDIRECT(""&amp;$S$109&amp;"!$o$4"),0),FALSE)),"",VLOOKUP($K119,OFFSET(INDIRECT(""&amp;$S$109&amp;"!$A$4"),0,0,200,100),MATCH(T$110,INDIRECT(""&amp;$S$109&amp;"!$A$4"):INDIRECT(""&amp;$S$109&amp;"!$o$4"),0),FALSE))</f>
        <v>0</v>
      </c>
      <c r="U119" s="190">
        <f ca="1">IF(ISERROR(VLOOKUP($K119,OFFSET(INDIRECT(""&amp;$S$109&amp;"!$A$4"),0,0,200,100),MATCH(U$110,INDIRECT(""&amp;$S$109&amp;"!$A$4"):INDIRECT(""&amp;$S$109&amp;"!$o$4"),0),FALSE)),"",VLOOKUP($K119,OFFSET(INDIRECT(""&amp;$S$109&amp;"!$A$4"),0,0,200,100),MATCH(U$110,INDIRECT(""&amp;$S$109&amp;"!$A$4"):INDIRECT(""&amp;$S$109&amp;"!$o$4"),0),FALSE))</f>
        <v>0</v>
      </c>
      <c r="V119" s="190">
        <f ca="1">IF(ISERROR(VLOOKUP($K119,OFFSET(INDIRECT(""&amp;$S$109&amp;"!$A$4"),0,0,200,100),MATCH(V$110,INDIRECT(""&amp;$S$109&amp;"!$A$4"):INDIRECT(""&amp;$S$109&amp;"!$o$4"),0),FALSE)),"",VLOOKUP($K119,OFFSET(INDIRECT(""&amp;$S$109&amp;"!$A$4"),0,0,200,100),MATCH(V$110,INDIRECT(""&amp;$S$109&amp;"!$A$4"):INDIRECT(""&amp;$S$109&amp;"!$o$4"),0),FALSE))</f>
        <v>0</v>
      </c>
      <c r="W119" s="190">
        <f ca="1">IF(ISERROR(VLOOKUP($K119,OFFSET(INDIRECT(""&amp;$S$109&amp;"!$A$4"),0,0,200,100),MATCH(W$110,INDIRECT(""&amp;$S$109&amp;"!$A$4"):INDIRECT(""&amp;$S$109&amp;"!$o$4"),0),FALSE)),"",VLOOKUP($K119,OFFSET(INDIRECT(""&amp;$S$109&amp;"!$A$4"),0,0,200,100),MATCH(W$110,INDIRECT(""&amp;$S$109&amp;"!$A$4"):INDIRECT(""&amp;$S$109&amp;"!$o$4"),0),FALSE))</f>
        <v>0</v>
      </c>
      <c r="X119" s="190">
        <f ca="1">IF(ISERROR(VLOOKUP($K119,OFFSET(INDIRECT(""&amp;$S$109&amp;"!$A$4"),0,0,200,100),MATCH(X$110,INDIRECT(""&amp;$S$109&amp;"!$A$4"):INDIRECT(""&amp;$S$109&amp;"!$o$4"),0),FALSE)),"",VLOOKUP($K119,OFFSET(INDIRECT(""&amp;$S$109&amp;"!$A$4"),0,0,200,100),MATCH(X$110,INDIRECT(""&amp;$S$109&amp;"!$A$4"):INDIRECT(""&amp;$S$109&amp;"!$o$4"),0),FALSE))</f>
        <v>0</v>
      </c>
      <c r="Y119" s="190">
        <f ca="1">IF(ISERROR(VLOOKUP($K119,OFFSET(INDIRECT(""&amp;$S$109&amp;"!$A$4"),0,0,200,100),MATCH(Y$110,INDIRECT(""&amp;$S$109&amp;"!$A$4"):INDIRECT(""&amp;$S$109&amp;"!$o$4"),0),FALSE)),"",VLOOKUP($K119,OFFSET(INDIRECT(""&amp;$S$109&amp;"!$A$4"),0,0,200,100),MATCH(Y$110,INDIRECT(""&amp;$S$109&amp;"!$A$4"):INDIRECT(""&amp;$S$109&amp;"!$o$4"),0),FALSE))</f>
        <v>0</v>
      </c>
      <c r="Z119" s="160">
        <f ca="1">IF(ISERROR(VLOOKUP($K119,OFFSET(INDIRECT(""&amp;$S$109&amp;"!$A$4"),0,0,200,100),MATCH(Z$110,INDIRECT(""&amp;$S$109&amp;"!$A$4"):INDIRECT(""&amp;$S$109&amp;"!$P$4"),0),FALSE)),"",VLOOKUP($K119,OFFSET(INDIRECT(""&amp;$S$109&amp;"!$A$4"),0,0,200,100),MATCH(Z$110,INDIRECT(""&amp;$S$109&amp;"!$A$4"):INDIRECT(""&amp;$S$109&amp;"!$P$4"),0),FALSE))</f>
        <v>0</v>
      </c>
      <c r="AA119" s="190"/>
      <c r="AC119" s="126"/>
      <c r="AD119" s="126"/>
      <c r="AE119" s="126"/>
      <c r="AF119" s="126"/>
      <c r="AG119" s="126"/>
      <c r="AH119" s="126"/>
      <c r="AI119" s="148"/>
      <c r="AJ119" s="148"/>
      <c r="AK119" s="148"/>
      <c r="AL119" s="148"/>
      <c r="AM119" s="148"/>
      <c r="AN119" s="148"/>
      <c r="AO119" s="126"/>
      <c r="AP119" s="126"/>
      <c r="AQ119" s="126"/>
      <c r="AR119" s="126"/>
      <c r="AS119" s="126"/>
      <c r="AT119" s="72"/>
      <c r="AU119" s="72"/>
      <c r="AV119" s="73"/>
      <c r="AW119" s="73"/>
      <c r="AX119" s="73"/>
      <c r="AY119" s="73"/>
      <c r="AZ119" s="73"/>
      <c r="BA119" s="73"/>
      <c r="BB119" s="73"/>
      <c r="BC119" s="73"/>
      <c r="BD119" s="73"/>
      <c r="BE119" s="73"/>
      <c r="BF119" s="73"/>
    </row>
    <row r="120" spans="1:58" s="128" customFormat="1" ht="15.95" customHeight="1">
      <c r="A120" s="111" t="s">
        <v>309</v>
      </c>
      <c r="B120" s="111" t="s">
        <v>353</v>
      </c>
      <c r="C120" s="74">
        <f ca="1">IF(ISERROR(VLOOKUP($B120,OFFSET(INDIRECT(""&amp;$B$109&amp;"!$A$4"),0,0,200,100),MATCH(C$110,INDIRECT(""&amp;$B$109&amp;"!$A$4"):INDIRECT(""&amp;$B$109&amp;"!$o$4"),0),FALSE)),"",VLOOKUP($B120,OFFSET(INDIRECT(""&amp;$B$109&amp;"!$A$4"),0,0,200,100),MATCH(C$110,INDIRECT(""&amp;$B$109&amp;"!$A$4"):INDIRECT(""&amp;$B$109&amp;"!$o$4"),0),FALSE))</f>
        <v>50701.666075000001</v>
      </c>
      <c r="D120" s="74">
        <f ca="1">IF(ISERROR(VLOOKUP($B120,OFFSET(INDIRECT(""&amp;$B$109&amp;"!$A$4"),0,0,200,100),MATCH(D$110,INDIRECT(""&amp;$B$109&amp;"!$A$4"):INDIRECT(""&amp;$B$109&amp;"!$o$4"),0),FALSE)),"",VLOOKUP($B120,OFFSET(INDIRECT(""&amp;$B$109&amp;"!$A$4"),0,0,200,100),MATCH(D$110,INDIRECT(""&amp;$B$109&amp;"!$A$4"):INDIRECT(""&amp;$B$109&amp;"!$o$4"),0),FALSE))</f>
        <v>67423.234205000001</v>
      </c>
      <c r="E120" s="74">
        <f ca="1">IF(ISERROR(VLOOKUP($B120,OFFSET(INDIRECT(""&amp;$B$109&amp;"!$A$4"),0,0,200,100),MATCH(E$110,INDIRECT(""&amp;$B$109&amp;"!$A$4"):INDIRECT(""&amp;$B$109&amp;"!$o$4"),0),FALSE)),"",VLOOKUP($B120,OFFSET(INDIRECT(""&amp;$B$109&amp;"!$A$4"),0,0,200,100),MATCH(E$110,INDIRECT(""&amp;$B$109&amp;"!$A$4"):INDIRECT(""&amp;$B$109&amp;"!$o$4"),0),FALSE))</f>
        <v>63114.477793999999</v>
      </c>
      <c r="F120" s="74">
        <f ca="1">IF(ISERROR(VLOOKUP($B120,OFFSET(INDIRECT(""&amp;$B$109&amp;"!$A$4"),0,0,200,100),MATCH(F$110,INDIRECT(""&amp;$B$109&amp;"!$A$4"):INDIRECT(""&amp;$B$109&amp;"!$o$4"),0),FALSE)),"",VLOOKUP($B120,OFFSET(INDIRECT(""&amp;$B$109&amp;"!$A$4"),0,0,200,100),MATCH(F$110,INDIRECT(""&amp;$B$109&amp;"!$A$4"):INDIRECT(""&amp;$B$109&amp;"!$o$4"),0),FALSE))</f>
        <v>72429.880871999994</v>
      </c>
      <c r="G120" s="74">
        <f ca="1">IF(ISERROR(VLOOKUP($B120,OFFSET(INDIRECT(""&amp;$B$109&amp;"!$A$4"),0,0,200,100),MATCH(G$110,INDIRECT(""&amp;$B$109&amp;"!$A$4"):INDIRECT(""&amp;$B$109&amp;"!$o$4"),0),FALSE)),"",VLOOKUP($B120,OFFSET(INDIRECT(""&amp;$B$109&amp;"!$A$4"),0,0,200,100),MATCH(G$110,INDIRECT(""&amp;$B$109&amp;"!$A$4"):INDIRECT(""&amp;$B$109&amp;"!$o$4"),0),FALSE))</f>
        <v>63059.856373000002</v>
      </c>
      <c r="H120" s="74">
        <f ca="1">IF(ISERROR(VLOOKUP($B120,OFFSET(INDIRECT(""&amp;$B$109&amp;"!$A$4"),0,0,200,100),MATCH(H$110,INDIRECT(""&amp;$B$109&amp;"!$A$4"):INDIRECT(""&amp;$B$109&amp;"!$o$4"),0),FALSE)),"",VLOOKUP($B120,OFFSET(INDIRECT(""&amp;$B$109&amp;"!$A$4"),0,0,200,100),MATCH(H$110,INDIRECT(""&amp;$B$109&amp;"!$A$4"):INDIRECT(""&amp;$B$109&amp;"!$o$4"),0),FALSE))</f>
        <v>37460.005341999997</v>
      </c>
      <c r="I120" s="74">
        <f ca="1">IF(ISERROR(VLOOKUP($B120,OFFSET(INDIRECT(""&amp;$B$109&amp;"!$A$4"),0,0,200,100),MATCH(I$110,INDIRECT(""&amp;$B$109&amp;"!$A$4"):INDIRECT(""&amp;$B$109&amp;"!$o$4"),0),FALSE)),"",VLOOKUP($B120,OFFSET(INDIRECT(""&amp;$B$109&amp;"!$A$4"),0,0,200,100),MATCH(I$110,INDIRECT(""&amp;$B$109&amp;"!$A$4"):INDIRECT(""&amp;$B$109&amp;"!$o$4"),0),FALSE))</f>
        <v>25967.955086999998</v>
      </c>
      <c r="J120" s="74">
        <f ca="1">IF(ISERROR(VLOOKUP($B120,OFFSET(INDIRECT(""&amp;$B$109&amp;"!$A$4"),0,0,200,100),MATCH(J$110,INDIRECT(""&amp;$B$109&amp;"!$A$4"):INDIRECT(""&amp;$B$109&amp;"!$o$4"),0),FALSE)),"",VLOOKUP($B120,OFFSET(INDIRECT(""&amp;$B$109&amp;"!$A$4"),0,0,200,100),MATCH(J$110,INDIRECT(""&amp;$B$109&amp;"!$A$4"):INDIRECT(""&amp;$B$109&amp;"!$o$4"),0),FALSE))</f>
        <v>25967.955086999998</v>
      </c>
      <c r="K120" s="129" t="s">
        <v>353</v>
      </c>
      <c r="L120" s="190">
        <f ca="1">IF(ISERROR(VLOOKUP($K120,OFFSET(INDIRECT(""&amp;$S$109&amp;"!$A$4"),0,0,200,100),MATCH(L$110,INDIRECT(""&amp;$S$109&amp;"!$A$4"):INDIRECT(""&amp;$S$109&amp;"!$o$4"),0),FALSE)),"",VLOOKUP($K120,OFFSET(INDIRECT(""&amp;$S$109&amp;"!$A$4"),0,0,200,100),MATCH(L$110,INDIRECT(""&amp;$S$109&amp;"!$A$4"):INDIRECT(""&amp;$S$109&amp;"!$o$4"),0),FALSE))</f>
        <v>0</v>
      </c>
      <c r="M120" s="190">
        <f ca="1">IF(ISERROR(VLOOKUP($K120,OFFSET(INDIRECT(""&amp;$S$109&amp;"!$A$4"),0,0,200,100),MATCH(M$110,INDIRECT(""&amp;$S$109&amp;"!$A$4"):INDIRECT(""&amp;$S$109&amp;"!$o$4"),0),FALSE)),"",VLOOKUP($K120,OFFSET(INDIRECT(""&amp;$S$109&amp;"!$A$4"),0,0,200,100),MATCH(M$110,INDIRECT(""&amp;$S$109&amp;"!$A$4"):INDIRECT(""&amp;$S$109&amp;"!$o$4"),0),FALSE))</f>
        <v>39957.259170999998</v>
      </c>
      <c r="N120" s="190">
        <f ca="1">IF(ISERROR(VLOOKUP($K120,OFFSET(INDIRECT(""&amp;$S$109&amp;"!$A$4"),0,0,200,100),MATCH(N$110,INDIRECT(""&amp;$S$109&amp;"!$A$4"):INDIRECT(""&amp;$S$109&amp;"!$o$4"),0),FALSE)),"",VLOOKUP($K120,OFFSET(INDIRECT(""&amp;$S$109&amp;"!$A$4"),0,0,200,100),MATCH(N$110,INDIRECT(""&amp;$S$109&amp;"!$A$4"):INDIRECT(""&amp;$S$109&amp;"!$o$4"),0),FALSE))</f>
        <v>0</v>
      </c>
      <c r="O120" s="190">
        <f ca="1">IF(ISERROR(VLOOKUP($K120,OFFSET(INDIRECT(""&amp;$S$109&amp;"!$A$4"),0,0,200,100),MATCH(O$110,INDIRECT(""&amp;$S$109&amp;"!$A$4"):INDIRECT(""&amp;$S$109&amp;"!$o$4"),0),FALSE)),"",VLOOKUP($K120,OFFSET(INDIRECT(""&amp;$S$109&amp;"!$A$4"),0,0,200,100),MATCH(O$110,INDIRECT(""&amp;$S$109&amp;"!$A$4"):INDIRECT(""&amp;$S$109&amp;"!$o$4"),0),FALSE))</f>
        <v>0</v>
      </c>
      <c r="P120" s="190">
        <f ca="1">IF(ISERROR(VLOOKUP($K120,OFFSET(INDIRECT(""&amp;$S$109&amp;"!$A$4"),0,0,200,100),MATCH(P$110,INDIRECT(""&amp;$S$109&amp;"!$A$4"):INDIRECT(""&amp;$S$109&amp;"!$o$4"),0),FALSE)),"",VLOOKUP($K120,OFFSET(INDIRECT(""&amp;$S$109&amp;"!$A$4"),0,0,200,100),MATCH(P$110,INDIRECT(""&amp;$S$109&amp;"!$A$4"):INDIRECT(""&amp;$S$109&amp;"!$o$4"),0),FALSE))</f>
        <v>0</v>
      </c>
      <c r="Q120" s="190">
        <f ca="1">IF(ISERROR(VLOOKUP($K120,OFFSET(INDIRECT(""&amp;$S$109&amp;"!$A$4"),0,0,200,100),MATCH(Q$110,INDIRECT(""&amp;$S$109&amp;"!$A$4"):INDIRECT(""&amp;$S$109&amp;"!$o$4"),0),FALSE)),"",VLOOKUP($K120,OFFSET(INDIRECT(""&amp;$S$109&amp;"!$A$4"),0,0,200,100),MATCH(Q$110,INDIRECT(""&amp;$S$109&amp;"!$A$4"):INDIRECT(""&amp;$S$109&amp;"!$o$4"),0),FALSE))</f>
        <v>0</v>
      </c>
      <c r="R120" s="190">
        <f ca="1">IF(ISERROR(VLOOKUP($K120,OFFSET(INDIRECT(""&amp;$S$109&amp;"!$A$4"),0,0,200,100),MATCH(R$110,INDIRECT(""&amp;$S$109&amp;"!$A$4"):INDIRECT(""&amp;$S$109&amp;"!$o$4"),0),FALSE)),"",VLOOKUP($K120,OFFSET(INDIRECT(""&amp;$S$109&amp;"!$A$4"),0,0,200,100),MATCH(R$110,INDIRECT(""&amp;$S$109&amp;"!$A$4"):INDIRECT(""&amp;$S$109&amp;"!$o$4"),0),FALSE))</f>
        <v>0</v>
      </c>
      <c r="S120" s="190">
        <f ca="1">IF(ISERROR(VLOOKUP($K120,OFFSET(INDIRECT(""&amp;$S$109&amp;"!$A$4"),0,0,200,100),MATCH(S$110,INDIRECT(""&amp;$S$109&amp;"!$A$4"):INDIRECT(""&amp;$S$109&amp;"!$o$4"),0),FALSE)),"",VLOOKUP($K120,OFFSET(INDIRECT(""&amp;$S$109&amp;"!$A$4"),0,0,200,100),MATCH(S$110,INDIRECT(""&amp;$S$109&amp;"!$A$4"):INDIRECT(""&amp;$S$109&amp;"!$o$4"),0),FALSE))</f>
        <v>0</v>
      </c>
      <c r="T120" s="190">
        <f ca="1">IF(ISERROR(VLOOKUP($K120,OFFSET(INDIRECT(""&amp;$S$109&amp;"!$A$4"),0,0,200,100),MATCH(T$110,INDIRECT(""&amp;$S$109&amp;"!$A$4"):INDIRECT(""&amp;$S$109&amp;"!$o$4"),0),FALSE)),"",VLOOKUP($K120,OFFSET(INDIRECT(""&amp;$S$109&amp;"!$A$4"),0,0,200,100),MATCH(T$110,INDIRECT(""&amp;$S$109&amp;"!$A$4"):INDIRECT(""&amp;$S$109&amp;"!$o$4"),0),FALSE))</f>
        <v>0</v>
      </c>
      <c r="U120" s="190">
        <f ca="1">IF(ISERROR(VLOOKUP($K120,OFFSET(INDIRECT(""&amp;$S$109&amp;"!$A$4"),0,0,200,100),MATCH(U$110,INDIRECT(""&amp;$S$109&amp;"!$A$4"):INDIRECT(""&amp;$S$109&amp;"!$o$4"),0),FALSE)),"",VLOOKUP($K120,OFFSET(INDIRECT(""&amp;$S$109&amp;"!$A$4"),0,0,200,100),MATCH(U$110,INDIRECT(""&amp;$S$109&amp;"!$A$4"):INDIRECT(""&amp;$S$109&amp;"!$o$4"),0),FALSE))</f>
        <v>0</v>
      </c>
      <c r="V120" s="190">
        <f ca="1">IF(ISERROR(VLOOKUP($K120,OFFSET(INDIRECT(""&amp;$S$109&amp;"!$A$4"),0,0,200,100),MATCH(V$110,INDIRECT(""&amp;$S$109&amp;"!$A$4"):INDIRECT(""&amp;$S$109&amp;"!$o$4"),0),FALSE)),"",VLOOKUP($K120,OFFSET(INDIRECT(""&amp;$S$109&amp;"!$A$4"),0,0,200,100),MATCH(V$110,INDIRECT(""&amp;$S$109&amp;"!$A$4"):INDIRECT(""&amp;$S$109&amp;"!$o$4"),0),FALSE))</f>
        <v>0</v>
      </c>
      <c r="W120" s="190">
        <f ca="1">IF(ISERROR(VLOOKUP($K120,OFFSET(INDIRECT(""&amp;$S$109&amp;"!$A$4"),0,0,200,100),MATCH(W$110,INDIRECT(""&amp;$S$109&amp;"!$A$4"):INDIRECT(""&amp;$S$109&amp;"!$o$4"),0),FALSE)),"",VLOOKUP($K120,OFFSET(INDIRECT(""&amp;$S$109&amp;"!$A$4"),0,0,200,100),MATCH(W$110,INDIRECT(""&amp;$S$109&amp;"!$A$4"):INDIRECT(""&amp;$S$109&amp;"!$o$4"),0),FALSE))</f>
        <v>0</v>
      </c>
      <c r="X120" s="190">
        <f ca="1">IF(ISERROR(VLOOKUP($K120,OFFSET(INDIRECT(""&amp;$S$109&amp;"!$A$4"),0,0,200,100),MATCH(X$110,INDIRECT(""&amp;$S$109&amp;"!$A$4"):INDIRECT(""&amp;$S$109&amp;"!$o$4"),0),FALSE)),"",VLOOKUP($K120,OFFSET(INDIRECT(""&amp;$S$109&amp;"!$A$4"),0,0,200,100),MATCH(X$110,INDIRECT(""&amp;$S$109&amp;"!$A$4"):INDIRECT(""&amp;$S$109&amp;"!$o$4"),0),FALSE))</f>
        <v>0</v>
      </c>
      <c r="Y120" s="190">
        <f ca="1">IF(ISERROR(VLOOKUP($K120,OFFSET(INDIRECT(""&amp;$S$109&amp;"!$A$4"),0,0,200,100),MATCH(Y$110,INDIRECT(""&amp;$S$109&amp;"!$A$4"):INDIRECT(""&amp;$S$109&amp;"!$o$4"),0),FALSE)),"",VLOOKUP($K120,OFFSET(INDIRECT(""&amp;$S$109&amp;"!$A$4"),0,0,200,100),MATCH(Y$110,INDIRECT(""&amp;$S$109&amp;"!$A$4"):INDIRECT(""&amp;$S$109&amp;"!$o$4"),0),FALSE))</f>
        <v>0</v>
      </c>
      <c r="Z120" s="160">
        <f ca="1">IF(ISERROR(VLOOKUP($K120,OFFSET(INDIRECT(""&amp;$S$109&amp;"!$A$4"),0,0,200,100),MATCH(Z$110,INDIRECT(""&amp;$S$109&amp;"!$A$4"):INDIRECT(""&amp;$S$109&amp;"!$P$4"),0),FALSE)),"",VLOOKUP($K120,OFFSET(INDIRECT(""&amp;$S$109&amp;"!$A$4"),0,0,200,100),MATCH(Z$110,INDIRECT(""&amp;$S$109&amp;"!$A$4"):INDIRECT(""&amp;$S$109&amp;"!$P$4"),0),FALSE))</f>
        <v>0</v>
      </c>
      <c r="AA120" s="190"/>
      <c r="AC120" s="126"/>
      <c r="AD120" s="126"/>
      <c r="AE120" s="126"/>
      <c r="AF120" s="126"/>
      <c r="AG120" s="126"/>
      <c r="AH120" s="126"/>
      <c r="AI120" s="148"/>
      <c r="AJ120" s="148"/>
      <c r="AK120" s="148"/>
      <c r="AL120" s="148"/>
      <c r="AM120" s="148"/>
      <c r="AN120" s="148"/>
      <c r="AO120" s="126"/>
      <c r="AP120" s="126"/>
      <c r="AQ120" s="126"/>
      <c r="AR120" s="126"/>
      <c r="AS120" s="126"/>
      <c r="AT120" s="72"/>
      <c r="AU120" s="72"/>
      <c r="AV120" s="73"/>
      <c r="AW120" s="73"/>
      <c r="AX120" s="73"/>
      <c r="AY120" s="73"/>
      <c r="AZ120" s="73"/>
      <c r="BA120" s="73"/>
      <c r="BB120" s="73"/>
      <c r="BC120" s="73"/>
      <c r="BD120" s="73"/>
      <c r="BE120" s="73"/>
      <c r="BF120" s="73"/>
    </row>
    <row r="121" spans="1:58" s="128" customFormat="1" ht="15.95" customHeight="1">
      <c r="A121" s="111" t="s">
        <v>310</v>
      </c>
      <c r="B121" s="111" t="s">
        <v>354</v>
      </c>
      <c r="C121" s="74">
        <f ca="1">IF(ISERROR(VLOOKUP($B121,OFFSET(INDIRECT(""&amp;$B$109&amp;"!$A$4"),0,0,200,100),MATCH(C$110,INDIRECT(""&amp;$B$109&amp;"!$A$4"):INDIRECT(""&amp;$B$109&amp;"!$o$4"),0),FALSE)),"",VLOOKUP($B121,OFFSET(INDIRECT(""&amp;$B$109&amp;"!$A$4"),0,0,200,100),MATCH(C$110,INDIRECT(""&amp;$B$109&amp;"!$A$4"):INDIRECT(""&amp;$B$109&amp;"!$o$4"),0),FALSE))</f>
        <v>-6942.7529960000002</v>
      </c>
      <c r="D121" s="74">
        <f ca="1">IF(ISERROR(VLOOKUP($B121,OFFSET(INDIRECT(""&amp;$B$109&amp;"!$A$4"),0,0,200,100),MATCH(D$110,INDIRECT(""&amp;$B$109&amp;"!$A$4"):INDIRECT(""&amp;$B$109&amp;"!$o$4"),0),FALSE)),"",VLOOKUP($B121,OFFSET(INDIRECT(""&amp;$B$109&amp;"!$A$4"),0,0,200,100),MATCH(D$110,INDIRECT(""&amp;$B$109&amp;"!$A$4"):INDIRECT(""&amp;$B$109&amp;"!$o$4"),0),FALSE))</f>
        <v>-7963.3323959999998</v>
      </c>
      <c r="E121" s="74">
        <f ca="1">IF(ISERROR(VLOOKUP($B121,OFFSET(INDIRECT(""&amp;$B$109&amp;"!$A$4"),0,0,200,100),MATCH(E$110,INDIRECT(""&amp;$B$109&amp;"!$A$4"):INDIRECT(""&amp;$B$109&amp;"!$o$4"),0),FALSE)),"",VLOOKUP($B121,OFFSET(INDIRECT(""&amp;$B$109&amp;"!$A$4"),0,0,200,100),MATCH(E$110,INDIRECT(""&amp;$B$109&amp;"!$A$4"):INDIRECT(""&amp;$B$109&amp;"!$o$4"),0),FALSE))</f>
        <v>3397.7156110000001</v>
      </c>
      <c r="F121" s="74">
        <f ca="1">IF(ISERROR(VLOOKUP($B121,OFFSET(INDIRECT(""&amp;$B$109&amp;"!$A$4"),0,0,200,100),MATCH(F$110,INDIRECT(""&amp;$B$109&amp;"!$A$4"):INDIRECT(""&amp;$B$109&amp;"!$o$4"),0),FALSE)),"",VLOOKUP($B121,OFFSET(INDIRECT(""&amp;$B$109&amp;"!$A$4"),0,0,200,100),MATCH(F$110,INDIRECT(""&amp;$B$109&amp;"!$A$4"):INDIRECT(""&amp;$B$109&amp;"!$o$4"),0),FALSE))</f>
        <v>-6718.2526109999999</v>
      </c>
      <c r="G121" s="74">
        <f ca="1">IF(ISERROR(VLOOKUP($B121,OFFSET(INDIRECT(""&amp;$B$109&amp;"!$A$4"),0,0,200,100),MATCH(G$110,INDIRECT(""&amp;$B$109&amp;"!$A$4"):INDIRECT(""&amp;$B$109&amp;"!$o$4"),0),FALSE)),"",VLOOKUP($B121,OFFSET(INDIRECT(""&amp;$B$109&amp;"!$A$4"),0,0,200,100),MATCH(G$110,INDIRECT(""&amp;$B$109&amp;"!$A$4"):INDIRECT(""&amp;$B$109&amp;"!$o$4"),0),FALSE))</f>
        <v>-9405.5127869999997</v>
      </c>
      <c r="H121" s="74">
        <f ca="1">IF(ISERROR(VLOOKUP($B121,OFFSET(INDIRECT(""&amp;$B$109&amp;"!$A$4"),0,0,200,100),MATCH(H$110,INDIRECT(""&amp;$B$109&amp;"!$A$4"):INDIRECT(""&amp;$B$109&amp;"!$o$4"),0),FALSE)),"",VLOOKUP($B121,OFFSET(INDIRECT(""&amp;$B$109&amp;"!$A$4"),0,0,200,100),MATCH(H$110,INDIRECT(""&amp;$B$109&amp;"!$A$4"):INDIRECT(""&amp;$B$109&amp;"!$o$4"),0),FALSE))</f>
        <v>-1130.6606280000001</v>
      </c>
      <c r="I121" s="74">
        <f ca="1">IF(ISERROR(VLOOKUP($B121,OFFSET(INDIRECT(""&amp;$B$109&amp;"!$A$4"),0,0,200,100),MATCH(I$110,INDIRECT(""&amp;$B$109&amp;"!$A$4"):INDIRECT(""&amp;$B$109&amp;"!$o$4"),0),FALSE)),"",VLOOKUP($B121,OFFSET(INDIRECT(""&amp;$B$109&amp;"!$A$4"),0,0,200,100),MATCH(I$110,INDIRECT(""&amp;$B$109&amp;"!$A$4"):INDIRECT(""&amp;$B$109&amp;"!$o$4"),0),FALSE))</f>
        <v>-1277.457085</v>
      </c>
      <c r="J121" s="74">
        <f ca="1">IF(ISERROR(VLOOKUP($B121,OFFSET(INDIRECT(""&amp;$B$109&amp;"!$A$4"),0,0,200,100),MATCH(J$110,INDIRECT(""&amp;$B$109&amp;"!$A$4"):INDIRECT(""&amp;$B$109&amp;"!$o$4"),0),FALSE)),"",VLOOKUP($B121,OFFSET(INDIRECT(""&amp;$B$109&amp;"!$A$4"),0,0,200,100),MATCH(J$110,INDIRECT(""&amp;$B$109&amp;"!$A$4"):INDIRECT(""&amp;$B$109&amp;"!$o$4"),0),FALSE))</f>
        <v>-1277.457085</v>
      </c>
      <c r="K121" s="129" t="s">
        <v>354</v>
      </c>
      <c r="L121" s="190">
        <f ca="1">IF(ISERROR(VLOOKUP($K121,OFFSET(INDIRECT(""&amp;$S$109&amp;"!$A$4"),0,0,200,100),MATCH(L$110,INDIRECT(""&amp;$S$109&amp;"!$A$4"):INDIRECT(""&amp;$S$109&amp;"!$o$4"),0),FALSE)),"",VLOOKUP($K121,OFFSET(INDIRECT(""&amp;$S$109&amp;"!$A$4"),0,0,200,100),MATCH(L$110,INDIRECT(""&amp;$S$109&amp;"!$A$4"):INDIRECT(""&amp;$S$109&amp;"!$o$4"),0),FALSE))</f>
        <v>0</v>
      </c>
      <c r="M121" s="190">
        <f ca="1">IF(ISERROR(VLOOKUP($K121,OFFSET(INDIRECT(""&amp;$S$109&amp;"!$A$4"),0,0,200,100),MATCH(M$110,INDIRECT(""&amp;$S$109&amp;"!$A$4"):INDIRECT(""&amp;$S$109&amp;"!$o$4"),0),FALSE)),"",VLOOKUP($K121,OFFSET(INDIRECT(""&amp;$S$109&amp;"!$A$4"),0,0,200,100),MATCH(M$110,INDIRECT(""&amp;$S$109&amp;"!$A$4"):INDIRECT(""&amp;$S$109&amp;"!$o$4"),0),FALSE))</f>
        <v>-4767.0110809999996</v>
      </c>
      <c r="N121" s="190">
        <f ca="1">IF(ISERROR(VLOOKUP($K121,OFFSET(INDIRECT(""&amp;$S$109&amp;"!$A$4"),0,0,200,100),MATCH(N$110,INDIRECT(""&amp;$S$109&amp;"!$A$4"):INDIRECT(""&amp;$S$109&amp;"!$o$4"),0),FALSE)),"",VLOOKUP($K121,OFFSET(INDIRECT(""&amp;$S$109&amp;"!$A$4"),0,0,200,100),MATCH(N$110,INDIRECT(""&amp;$S$109&amp;"!$A$4"):INDIRECT(""&amp;$S$109&amp;"!$o$4"),0),FALSE))</f>
        <v>0</v>
      </c>
      <c r="O121" s="190">
        <f ca="1">IF(ISERROR(VLOOKUP($K121,OFFSET(INDIRECT(""&amp;$S$109&amp;"!$A$4"),0,0,200,100),MATCH(O$110,INDIRECT(""&amp;$S$109&amp;"!$A$4"):INDIRECT(""&amp;$S$109&amp;"!$o$4"),0),FALSE)),"",VLOOKUP($K121,OFFSET(INDIRECT(""&amp;$S$109&amp;"!$A$4"),0,0,200,100),MATCH(O$110,INDIRECT(""&amp;$S$109&amp;"!$A$4"):INDIRECT(""&amp;$S$109&amp;"!$o$4"),0),FALSE))</f>
        <v>0</v>
      </c>
      <c r="P121" s="190">
        <f ca="1">IF(ISERROR(VLOOKUP($K121,OFFSET(INDIRECT(""&amp;$S$109&amp;"!$A$4"),0,0,200,100),MATCH(P$110,INDIRECT(""&amp;$S$109&amp;"!$A$4"):INDIRECT(""&amp;$S$109&amp;"!$o$4"),0),FALSE)),"",VLOOKUP($K121,OFFSET(INDIRECT(""&amp;$S$109&amp;"!$A$4"),0,0,200,100),MATCH(P$110,INDIRECT(""&amp;$S$109&amp;"!$A$4"):INDIRECT(""&amp;$S$109&amp;"!$o$4"),0),FALSE))</f>
        <v>0</v>
      </c>
      <c r="Q121" s="190">
        <f ca="1">IF(ISERROR(VLOOKUP($K121,OFFSET(INDIRECT(""&amp;$S$109&amp;"!$A$4"),0,0,200,100),MATCH(Q$110,INDIRECT(""&amp;$S$109&amp;"!$A$4"):INDIRECT(""&amp;$S$109&amp;"!$o$4"),0),FALSE)),"",VLOOKUP($K121,OFFSET(INDIRECT(""&amp;$S$109&amp;"!$A$4"),0,0,200,100),MATCH(Q$110,INDIRECT(""&amp;$S$109&amp;"!$A$4"):INDIRECT(""&amp;$S$109&amp;"!$o$4"),0),FALSE))</f>
        <v>0</v>
      </c>
      <c r="R121" s="190">
        <f ca="1">IF(ISERROR(VLOOKUP($K121,OFFSET(INDIRECT(""&amp;$S$109&amp;"!$A$4"),0,0,200,100),MATCH(R$110,INDIRECT(""&amp;$S$109&amp;"!$A$4"):INDIRECT(""&amp;$S$109&amp;"!$o$4"),0),FALSE)),"",VLOOKUP($K121,OFFSET(INDIRECT(""&amp;$S$109&amp;"!$A$4"),0,0,200,100),MATCH(R$110,INDIRECT(""&amp;$S$109&amp;"!$A$4"):INDIRECT(""&amp;$S$109&amp;"!$o$4"),0),FALSE))</f>
        <v>0</v>
      </c>
      <c r="S121" s="190">
        <f ca="1">IF(ISERROR(VLOOKUP($K121,OFFSET(INDIRECT(""&amp;$S$109&amp;"!$A$4"),0,0,200,100),MATCH(S$110,INDIRECT(""&amp;$S$109&amp;"!$A$4"):INDIRECT(""&amp;$S$109&amp;"!$o$4"),0),FALSE)),"",VLOOKUP($K121,OFFSET(INDIRECT(""&amp;$S$109&amp;"!$A$4"),0,0,200,100),MATCH(S$110,INDIRECT(""&amp;$S$109&amp;"!$A$4"):INDIRECT(""&amp;$S$109&amp;"!$o$4"),0),FALSE))</f>
        <v>0</v>
      </c>
      <c r="T121" s="190">
        <f ca="1">IF(ISERROR(VLOOKUP($K121,OFFSET(INDIRECT(""&amp;$S$109&amp;"!$A$4"),0,0,200,100),MATCH(T$110,INDIRECT(""&amp;$S$109&amp;"!$A$4"):INDIRECT(""&amp;$S$109&amp;"!$o$4"),0),FALSE)),"",VLOOKUP($K121,OFFSET(INDIRECT(""&amp;$S$109&amp;"!$A$4"),0,0,200,100),MATCH(T$110,INDIRECT(""&amp;$S$109&amp;"!$A$4"):INDIRECT(""&amp;$S$109&amp;"!$o$4"),0),FALSE))</f>
        <v>0</v>
      </c>
      <c r="U121" s="190">
        <f ca="1">IF(ISERROR(VLOOKUP($K121,OFFSET(INDIRECT(""&amp;$S$109&amp;"!$A$4"),0,0,200,100),MATCH(U$110,INDIRECT(""&amp;$S$109&amp;"!$A$4"):INDIRECT(""&amp;$S$109&amp;"!$o$4"),0),FALSE)),"",VLOOKUP($K121,OFFSET(INDIRECT(""&amp;$S$109&amp;"!$A$4"),0,0,200,100),MATCH(U$110,INDIRECT(""&amp;$S$109&amp;"!$A$4"):INDIRECT(""&amp;$S$109&amp;"!$o$4"),0),FALSE))</f>
        <v>0</v>
      </c>
      <c r="V121" s="190">
        <f ca="1">IF(ISERROR(VLOOKUP($K121,OFFSET(INDIRECT(""&amp;$S$109&amp;"!$A$4"),0,0,200,100),MATCH(V$110,INDIRECT(""&amp;$S$109&amp;"!$A$4"):INDIRECT(""&amp;$S$109&amp;"!$o$4"),0),FALSE)),"",VLOOKUP($K121,OFFSET(INDIRECT(""&amp;$S$109&amp;"!$A$4"),0,0,200,100),MATCH(V$110,INDIRECT(""&amp;$S$109&amp;"!$A$4"):INDIRECT(""&amp;$S$109&amp;"!$o$4"),0),FALSE))</f>
        <v>0</v>
      </c>
      <c r="W121" s="190">
        <f ca="1">IF(ISERROR(VLOOKUP($K121,OFFSET(INDIRECT(""&amp;$S$109&amp;"!$A$4"),0,0,200,100),MATCH(W$110,INDIRECT(""&amp;$S$109&amp;"!$A$4"):INDIRECT(""&amp;$S$109&amp;"!$o$4"),0),FALSE)),"",VLOOKUP($K121,OFFSET(INDIRECT(""&amp;$S$109&amp;"!$A$4"),0,0,200,100),MATCH(W$110,INDIRECT(""&amp;$S$109&amp;"!$A$4"):INDIRECT(""&amp;$S$109&amp;"!$o$4"),0),FALSE))</f>
        <v>0</v>
      </c>
      <c r="X121" s="190">
        <f ca="1">IF(ISERROR(VLOOKUP($K121,OFFSET(INDIRECT(""&amp;$S$109&amp;"!$A$4"),0,0,200,100),MATCH(X$110,INDIRECT(""&amp;$S$109&amp;"!$A$4"):INDIRECT(""&amp;$S$109&amp;"!$o$4"),0),FALSE)),"",VLOOKUP($K121,OFFSET(INDIRECT(""&amp;$S$109&amp;"!$A$4"),0,0,200,100),MATCH(X$110,INDIRECT(""&amp;$S$109&amp;"!$A$4"):INDIRECT(""&amp;$S$109&amp;"!$o$4"),0),FALSE))</f>
        <v>0</v>
      </c>
      <c r="Y121" s="190">
        <f ca="1">IF(ISERROR(VLOOKUP($K121,OFFSET(INDIRECT(""&amp;$S$109&amp;"!$A$4"),0,0,200,100),MATCH(Y$110,INDIRECT(""&amp;$S$109&amp;"!$A$4"):INDIRECT(""&amp;$S$109&amp;"!$o$4"),0),FALSE)),"",VLOOKUP($K121,OFFSET(INDIRECT(""&amp;$S$109&amp;"!$A$4"),0,0,200,100),MATCH(Y$110,INDIRECT(""&amp;$S$109&amp;"!$A$4"):INDIRECT(""&amp;$S$109&amp;"!$o$4"),0),FALSE))</f>
        <v>0</v>
      </c>
      <c r="Z121" s="160">
        <f ca="1">IF(ISERROR(VLOOKUP($K121,OFFSET(INDIRECT(""&amp;$S$109&amp;"!$A$4"),0,0,200,100),MATCH(Z$110,INDIRECT(""&amp;$S$109&amp;"!$A$4"):INDIRECT(""&amp;$S$109&amp;"!$P$4"),0),FALSE)),"",VLOOKUP($K121,OFFSET(INDIRECT(""&amp;$S$109&amp;"!$A$4"),0,0,200,100),MATCH(Z$110,INDIRECT(""&amp;$S$109&amp;"!$A$4"):INDIRECT(""&amp;$S$109&amp;"!$P$4"),0),FALSE))</f>
        <v>0</v>
      </c>
      <c r="AA121" s="190"/>
      <c r="AC121" s="126"/>
      <c r="AD121" s="126"/>
      <c r="AE121" s="126"/>
      <c r="AF121" s="126"/>
      <c r="AG121" s="126"/>
      <c r="AH121" s="126"/>
      <c r="AI121" s="148"/>
      <c r="AJ121" s="148"/>
      <c r="AK121" s="148"/>
      <c r="AL121" s="148"/>
      <c r="AM121" s="148"/>
      <c r="AN121" s="148"/>
      <c r="AO121" s="126"/>
      <c r="AP121" s="126"/>
      <c r="AQ121" s="126"/>
      <c r="AR121" s="126"/>
      <c r="AS121" s="126"/>
      <c r="AT121" s="72"/>
      <c r="AU121" s="72"/>
      <c r="AV121" s="73"/>
      <c r="AW121" s="73"/>
      <c r="AX121" s="73"/>
      <c r="AY121" s="73"/>
      <c r="AZ121" s="73"/>
      <c r="BA121" s="73"/>
      <c r="BB121" s="73"/>
      <c r="BC121" s="73"/>
      <c r="BD121" s="73"/>
      <c r="BE121" s="73"/>
      <c r="BF121" s="73"/>
    </row>
    <row r="122" spans="1:58" s="128" customFormat="1" ht="15.95" customHeight="1">
      <c r="A122" s="111" t="s">
        <v>311</v>
      </c>
      <c r="B122" s="111" t="s">
        <v>355</v>
      </c>
      <c r="C122" s="74">
        <f ca="1">IF(ISERROR(VLOOKUP($B122,OFFSET(INDIRECT(""&amp;$B$109&amp;"!$A$4"),0,0,200,100),MATCH(C$110,INDIRECT(""&amp;$B$109&amp;"!$A$4"):INDIRECT(""&amp;$B$109&amp;"!$o$4"),0),FALSE)),"",VLOOKUP($B122,OFFSET(INDIRECT(""&amp;$B$109&amp;"!$A$4"),0,0,200,100),MATCH(C$110,INDIRECT(""&amp;$B$109&amp;"!$A$4"):INDIRECT(""&amp;$B$109&amp;"!$o$4"),0),FALSE))</f>
        <v>473.86918700000001</v>
      </c>
      <c r="D122" s="74">
        <f ca="1">IF(ISERROR(VLOOKUP($B122,OFFSET(INDIRECT(""&amp;$B$109&amp;"!$A$4"),0,0,200,100),MATCH(D$110,INDIRECT(""&amp;$B$109&amp;"!$A$4"):INDIRECT(""&amp;$B$109&amp;"!$o$4"),0),FALSE)),"",VLOOKUP($B122,OFFSET(INDIRECT(""&amp;$B$109&amp;"!$A$4"),0,0,200,100),MATCH(D$110,INDIRECT(""&amp;$B$109&amp;"!$A$4"):INDIRECT(""&amp;$B$109&amp;"!$o$4"),0),FALSE))</f>
        <v>-13289.446419</v>
      </c>
      <c r="E122" s="74">
        <f ca="1">IF(ISERROR(VLOOKUP($B122,OFFSET(INDIRECT(""&amp;$B$109&amp;"!$A$4"),0,0,200,100),MATCH(E$110,INDIRECT(""&amp;$B$109&amp;"!$A$4"):INDIRECT(""&amp;$B$109&amp;"!$o$4"),0),FALSE)),"",VLOOKUP($B122,OFFSET(INDIRECT(""&amp;$B$109&amp;"!$A$4"),0,0,200,100),MATCH(E$110,INDIRECT(""&amp;$B$109&amp;"!$A$4"):INDIRECT(""&amp;$B$109&amp;"!$o$4"),0),FALSE))</f>
        <v>-11359.944127999999</v>
      </c>
      <c r="F122" s="74">
        <f ca="1">IF(ISERROR(VLOOKUP($B122,OFFSET(INDIRECT(""&amp;$B$109&amp;"!$A$4"),0,0,200,100),MATCH(F$110,INDIRECT(""&amp;$B$109&amp;"!$A$4"):INDIRECT(""&amp;$B$109&amp;"!$o$4"),0),FALSE)),"",VLOOKUP($B122,OFFSET(INDIRECT(""&amp;$B$109&amp;"!$A$4"),0,0,200,100),MATCH(F$110,INDIRECT(""&amp;$B$109&amp;"!$A$4"):INDIRECT(""&amp;$B$109&amp;"!$o$4"),0),FALSE))</f>
        <v>-14398.221829</v>
      </c>
      <c r="G122" s="74">
        <f ca="1">IF(ISERROR(VLOOKUP($B122,OFFSET(INDIRECT(""&amp;$B$109&amp;"!$A$4"),0,0,200,100),MATCH(G$110,INDIRECT(""&amp;$B$109&amp;"!$A$4"):INDIRECT(""&amp;$B$109&amp;"!$o$4"),0),FALSE)),"",VLOOKUP($B122,OFFSET(INDIRECT(""&amp;$B$109&amp;"!$A$4"),0,0,200,100),MATCH(G$110,INDIRECT(""&amp;$B$109&amp;"!$A$4"):INDIRECT(""&amp;$B$109&amp;"!$o$4"),0),FALSE))</f>
        <v>6201.7251370000004</v>
      </c>
      <c r="H122" s="74">
        <f ca="1">IF(ISERROR(VLOOKUP($B122,OFFSET(INDIRECT(""&amp;$B$109&amp;"!$A$4"),0,0,200,100),MATCH(H$110,INDIRECT(""&amp;$B$109&amp;"!$A$4"):INDIRECT(""&amp;$B$109&amp;"!$o$4"),0),FALSE)),"",VLOOKUP($B122,OFFSET(INDIRECT(""&amp;$B$109&amp;"!$A$4"),0,0,200,100),MATCH(H$110,INDIRECT(""&amp;$B$109&amp;"!$A$4"):INDIRECT(""&amp;$B$109&amp;"!$o$4"),0),FALSE))</f>
        <v>19678.225516999999</v>
      </c>
      <c r="I122" s="74">
        <f ca="1">IF(ISERROR(VLOOKUP($B122,OFFSET(INDIRECT(""&amp;$B$109&amp;"!$A$4"),0,0,200,100),MATCH(I$110,INDIRECT(""&amp;$B$109&amp;"!$A$4"):INDIRECT(""&amp;$B$109&amp;"!$o$4"),0),FALSE)),"",VLOOKUP($B122,OFFSET(INDIRECT(""&amp;$B$109&amp;"!$A$4"),0,0,200,100),MATCH(I$110,INDIRECT(""&amp;$B$109&amp;"!$A$4"):INDIRECT(""&amp;$B$109&amp;"!$o$4"),0),FALSE))</f>
        <v>10280.392775</v>
      </c>
      <c r="J122" s="74">
        <f ca="1">IF(ISERROR(VLOOKUP($B122,OFFSET(INDIRECT(""&amp;$B$109&amp;"!$A$4"),0,0,200,100),MATCH(J$110,INDIRECT(""&amp;$B$109&amp;"!$A$4"):INDIRECT(""&amp;$B$109&amp;"!$o$4"),0),FALSE)),"",VLOOKUP($B122,OFFSET(INDIRECT(""&amp;$B$109&amp;"!$A$4"),0,0,200,100),MATCH(J$110,INDIRECT(""&amp;$B$109&amp;"!$A$4"):INDIRECT(""&amp;$B$109&amp;"!$o$4"),0),FALSE))</f>
        <v>10280.392775</v>
      </c>
      <c r="K122" s="129" t="s">
        <v>355</v>
      </c>
      <c r="L122" s="190">
        <f ca="1">IF(ISERROR(VLOOKUP($K122,OFFSET(INDIRECT(""&amp;$S$109&amp;"!$A$4"),0,0,200,100),MATCH(L$110,INDIRECT(""&amp;$S$109&amp;"!$A$4"):INDIRECT(""&amp;$S$109&amp;"!$o$4"),0),FALSE)),"",VLOOKUP($K122,OFFSET(INDIRECT(""&amp;$S$109&amp;"!$A$4"),0,0,200,100),MATCH(L$110,INDIRECT(""&amp;$S$109&amp;"!$A$4"):INDIRECT(""&amp;$S$109&amp;"!$o$4"),0),FALSE))</f>
        <v>0</v>
      </c>
      <c r="M122" s="190">
        <f ca="1">IF(ISERROR(VLOOKUP($K122,OFFSET(INDIRECT(""&amp;$S$109&amp;"!$A$4"),0,0,200,100),MATCH(M$110,INDIRECT(""&amp;$S$109&amp;"!$A$4"):INDIRECT(""&amp;$S$109&amp;"!$o$4"),0),FALSE)),"",VLOOKUP($K122,OFFSET(INDIRECT(""&amp;$S$109&amp;"!$A$4"),0,0,200,100),MATCH(M$110,INDIRECT(""&amp;$S$109&amp;"!$A$4"):INDIRECT(""&amp;$S$109&amp;"!$o$4"),0),FALSE))</f>
        <v>-9844.5400509999999</v>
      </c>
      <c r="N122" s="190">
        <f ca="1">IF(ISERROR(VLOOKUP($K122,OFFSET(INDIRECT(""&amp;$S$109&amp;"!$A$4"),0,0,200,100),MATCH(N$110,INDIRECT(""&amp;$S$109&amp;"!$A$4"):INDIRECT(""&amp;$S$109&amp;"!$o$4"),0),FALSE)),"",VLOOKUP($K122,OFFSET(INDIRECT(""&amp;$S$109&amp;"!$A$4"),0,0,200,100),MATCH(N$110,INDIRECT(""&amp;$S$109&amp;"!$A$4"):INDIRECT(""&amp;$S$109&amp;"!$o$4"),0),FALSE))</f>
        <v>0</v>
      </c>
      <c r="O122" s="190">
        <f ca="1">IF(ISERROR(VLOOKUP($K122,OFFSET(INDIRECT(""&amp;$S$109&amp;"!$A$4"),0,0,200,100),MATCH(O$110,INDIRECT(""&amp;$S$109&amp;"!$A$4"):INDIRECT(""&amp;$S$109&amp;"!$o$4"),0),FALSE)),"",VLOOKUP($K122,OFFSET(INDIRECT(""&amp;$S$109&amp;"!$A$4"),0,0,200,100),MATCH(O$110,INDIRECT(""&amp;$S$109&amp;"!$A$4"):INDIRECT(""&amp;$S$109&amp;"!$o$4"),0),FALSE))</f>
        <v>0</v>
      </c>
      <c r="P122" s="190">
        <f ca="1">IF(ISERROR(VLOOKUP($K122,OFFSET(INDIRECT(""&amp;$S$109&amp;"!$A$4"),0,0,200,100),MATCH(P$110,INDIRECT(""&amp;$S$109&amp;"!$A$4"):INDIRECT(""&amp;$S$109&amp;"!$o$4"),0),FALSE)),"",VLOOKUP($K122,OFFSET(INDIRECT(""&amp;$S$109&amp;"!$A$4"),0,0,200,100),MATCH(P$110,INDIRECT(""&amp;$S$109&amp;"!$A$4"):INDIRECT(""&amp;$S$109&amp;"!$o$4"),0),FALSE))</f>
        <v>0</v>
      </c>
      <c r="Q122" s="190">
        <f ca="1">IF(ISERROR(VLOOKUP($K122,OFFSET(INDIRECT(""&amp;$S$109&amp;"!$A$4"),0,0,200,100),MATCH(Q$110,INDIRECT(""&amp;$S$109&amp;"!$A$4"):INDIRECT(""&amp;$S$109&amp;"!$o$4"),0),FALSE)),"",VLOOKUP($K122,OFFSET(INDIRECT(""&amp;$S$109&amp;"!$A$4"),0,0,200,100),MATCH(Q$110,INDIRECT(""&amp;$S$109&amp;"!$A$4"):INDIRECT(""&amp;$S$109&amp;"!$o$4"),0),FALSE))</f>
        <v>0</v>
      </c>
      <c r="R122" s="190">
        <f ca="1">IF(ISERROR(VLOOKUP($K122,OFFSET(INDIRECT(""&amp;$S$109&amp;"!$A$4"),0,0,200,100),MATCH(R$110,INDIRECT(""&amp;$S$109&amp;"!$A$4"):INDIRECT(""&amp;$S$109&amp;"!$o$4"),0),FALSE)),"",VLOOKUP($K122,OFFSET(INDIRECT(""&amp;$S$109&amp;"!$A$4"),0,0,200,100),MATCH(R$110,INDIRECT(""&amp;$S$109&amp;"!$A$4"):INDIRECT(""&amp;$S$109&amp;"!$o$4"),0),FALSE))</f>
        <v>0</v>
      </c>
      <c r="S122" s="190">
        <f ca="1">IF(ISERROR(VLOOKUP($K122,OFFSET(INDIRECT(""&amp;$S$109&amp;"!$A$4"),0,0,200,100),MATCH(S$110,INDIRECT(""&amp;$S$109&amp;"!$A$4"):INDIRECT(""&amp;$S$109&amp;"!$o$4"),0),FALSE)),"",VLOOKUP($K122,OFFSET(INDIRECT(""&amp;$S$109&amp;"!$A$4"),0,0,200,100),MATCH(S$110,INDIRECT(""&amp;$S$109&amp;"!$A$4"):INDIRECT(""&amp;$S$109&amp;"!$o$4"),0),FALSE))</f>
        <v>0</v>
      </c>
      <c r="T122" s="190">
        <f ca="1">IF(ISERROR(VLOOKUP($K122,OFFSET(INDIRECT(""&amp;$S$109&amp;"!$A$4"),0,0,200,100),MATCH(T$110,INDIRECT(""&amp;$S$109&amp;"!$A$4"):INDIRECT(""&amp;$S$109&amp;"!$o$4"),0),FALSE)),"",VLOOKUP($K122,OFFSET(INDIRECT(""&amp;$S$109&amp;"!$A$4"),0,0,200,100),MATCH(T$110,INDIRECT(""&amp;$S$109&amp;"!$A$4"):INDIRECT(""&amp;$S$109&amp;"!$o$4"),0),FALSE))</f>
        <v>0</v>
      </c>
      <c r="U122" s="190">
        <f ca="1">IF(ISERROR(VLOOKUP($K122,OFFSET(INDIRECT(""&amp;$S$109&amp;"!$A$4"),0,0,200,100),MATCH(U$110,INDIRECT(""&amp;$S$109&amp;"!$A$4"):INDIRECT(""&amp;$S$109&amp;"!$o$4"),0),FALSE)),"",VLOOKUP($K122,OFFSET(INDIRECT(""&amp;$S$109&amp;"!$A$4"),0,0,200,100),MATCH(U$110,INDIRECT(""&amp;$S$109&amp;"!$A$4"):INDIRECT(""&amp;$S$109&amp;"!$o$4"),0),FALSE))</f>
        <v>0</v>
      </c>
      <c r="V122" s="190">
        <f ca="1">IF(ISERROR(VLOOKUP($K122,OFFSET(INDIRECT(""&amp;$S$109&amp;"!$A$4"),0,0,200,100),MATCH(V$110,INDIRECT(""&amp;$S$109&amp;"!$A$4"):INDIRECT(""&amp;$S$109&amp;"!$o$4"),0),FALSE)),"",VLOOKUP($K122,OFFSET(INDIRECT(""&amp;$S$109&amp;"!$A$4"),0,0,200,100),MATCH(V$110,INDIRECT(""&amp;$S$109&amp;"!$A$4"):INDIRECT(""&amp;$S$109&amp;"!$o$4"),0),FALSE))</f>
        <v>0</v>
      </c>
      <c r="W122" s="190">
        <f ca="1">IF(ISERROR(VLOOKUP($K122,OFFSET(INDIRECT(""&amp;$S$109&amp;"!$A$4"),0,0,200,100),MATCH(W$110,INDIRECT(""&amp;$S$109&amp;"!$A$4"):INDIRECT(""&amp;$S$109&amp;"!$o$4"),0),FALSE)),"",VLOOKUP($K122,OFFSET(INDIRECT(""&amp;$S$109&amp;"!$A$4"),0,0,200,100),MATCH(W$110,INDIRECT(""&amp;$S$109&amp;"!$A$4"):INDIRECT(""&amp;$S$109&amp;"!$o$4"),0),FALSE))</f>
        <v>0</v>
      </c>
      <c r="X122" s="190">
        <f ca="1">IF(ISERROR(VLOOKUP($K122,OFFSET(INDIRECT(""&amp;$S$109&amp;"!$A$4"),0,0,200,100),MATCH(X$110,INDIRECT(""&amp;$S$109&amp;"!$A$4"):INDIRECT(""&amp;$S$109&amp;"!$o$4"),0),FALSE)),"",VLOOKUP($K122,OFFSET(INDIRECT(""&amp;$S$109&amp;"!$A$4"),0,0,200,100),MATCH(X$110,INDIRECT(""&amp;$S$109&amp;"!$A$4"):INDIRECT(""&amp;$S$109&amp;"!$o$4"),0),FALSE))</f>
        <v>0</v>
      </c>
      <c r="Y122" s="190">
        <f ca="1">IF(ISERROR(VLOOKUP($K122,OFFSET(INDIRECT(""&amp;$S$109&amp;"!$A$4"),0,0,200,100),MATCH(Y$110,INDIRECT(""&amp;$S$109&amp;"!$A$4"):INDIRECT(""&amp;$S$109&amp;"!$o$4"),0),FALSE)),"",VLOOKUP($K122,OFFSET(INDIRECT(""&amp;$S$109&amp;"!$A$4"),0,0,200,100),MATCH(Y$110,INDIRECT(""&amp;$S$109&amp;"!$A$4"):INDIRECT(""&amp;$S$109&amp;"!$o$4"),0),FALSE))</f>
        <v>0</v>
      </c>
      <c r="Z122" s="160">
        <f ca="1">IF(ISERROR(VLOOKUP($K122,OFFSET(INDIRECT(""&amp;$S$109&amp;"!$A$4"),0,0,200,100),MATCH(Z$110,INDIRECT(""&amp;$S$109&amp;"!$A$4"):INDIRECT(""&amp;$S$109&amp;"!$P$4"),0),FALSE)),"",VLOOKUP($K122,OFFSET(INDIRECT(""&amp;$S$109&amp;"!$A$4"),0,0,200,100),MATCH(Z$110,INDIRECT(""&amp;$S$109&amp;"!$A$4"):INDIRECT(""&amp;$S$109&amp;"!$P$4"),0),FALSE))</f>
        <v>0</v>
      </c>
      <c r="AA122" s="190"/>
      <c r="AC122" s="126"/>
      <c r="AD122" s="126"/>
      <c r="AE122" s="126"/>
      <c r="AF122" s="126"/>
      <c r="AG122" s="126"/>
      <c r="AH122" s="126"/>
      <c r="AI122" s="148"/>
      <c r="AJ122" s="148"/>
      <c r="AK122" s="148"/>
      <c r="AL122" s="148"/>
      <c r="AM122" s="148"/>
      <c r="AN122" s="148"/>
      <c r="AO122" s="126"/>
      <c r="AP122" s="126"/>
      <c r="AQ122" s="126"/>
      <c r="AR122" s="126"/>
      <c r="AS122" s="126"/>
      <c r="AT122" s="72"/>
      <c r="AU122" s="72"/>
      <c r="AV122" s="73"/>
      <c r="AW122" s="73"/>
      <c r="AX122" s="73"/>
      <c r="AY122" s="73"/>
      <c r="AZ122" s="73"/>
      <c r="BA122" s="73"/>
      <c r="BB122" s="73"/>
      <c r="BC122" s="73"/>
      <c r="BD122" s="73"/>
      <c r="BE122" s="73"/>
      <c r="BF122" s="73"/>
    </row>
    <row r="123" spans="1:58" s="128" customFormat="1" ht="15.95" customHeight="1">
      <c r="A123" s="111" t="s">
        <v>312</v>
      </c>
      <c r="B123" s="111" t="s">
        <v>356</v>
      </c>
      <c r="C123" s="74">
        <f ca="1">IF(ISERROR(VLOOKUP($B123,OFFSET(INDIRECT(""&amp;$B$109&amp;"!$A$4"),0,0,200,100),MATCH(C$110,INDIRECT(""&amp;$B$109&amp;"!$A$4"):INDIRECT(""&amp;$B$109&amp;"!$o$4"),0),FALSE)),"",VLOOKUP($B123,OFFSET(INDIRECT(""&amp;$B$109&amp;"!$A$4"),0,0,200,100),MATCH(C$110,INDIRECT(""&amp;$B$109&amp;"!$A$4"):INDIRECT(""&amp;$B$109&amp;"!$o$4"),0),FALSE))</f>
        <v>8948.0609060000006</v>
      </c>
      <c r="D123" s="74">
        <f ca="1">IF(ISERROR(VLOOKUP($B123,OFFSET(INDIRECT(""&amp;$B$109&amp;"!$A$4"),0,0,200,100),MATCH(D$110,INDIRECT(""&amp;$B$109&amp;"!$A$4"):INDIRECT(""&amp;$B$109&amp;"!$o$4"),0),FALSE)),"",VLOOKUP($B123,OFFSET(INDIRECT(""&amp;$B$109&amp;"!$A$4"),0,0,200,100),MATCH(D$110,INDIRECT(""&amp;$B$109&amp;"!$A$4"):INDIRECT(""&amp;$B$109&amp;"!$o$4"),0),FALSE))</f>
        <v>-2865.9857470000002</v>
      </c>
      <c r="E123" s="74">
        <f ca="1">IF(ISERROR(VLOOKUP($B123,OFFSET(INDIRECT(""&amp;$B$109&amp;"!$A$4"),0,0,200,100),MATCH(E$110,INDIRECT(""&amp;$B$109&amp;"!$A$4"):INDIRECT(""&amp;$B$109&amp;"!$o$4"),0),FALSE)),"",VLOOKUP($B123,OFFSET(INDIRECT(""&amp;$B$109&amp;"!$A$4"),0,0,200,100),MATCH(E$110,INDIRECT(""&amp;$B$109&amp;"!$A$4"):INDIRECT(""&amp;$B$109&amp;"!$o$4"),0),FALSE))</f>
        <v>5232.8479790000001</v>
      </c>
      <c r="F123" s="74">
        <f ca="1">IF(ISERROR(VLOOKUP($B123,OFFSET(INDIRECT(""&amp;$B$109&amp;"!$A$4"),0,0,200,100),MATCH(F$110,INDIRECT(""&amp;$B$109&amp;"!$A$4"):INDIRECT(""&amp;$B$109&amp;"!$o$4"),0),FALSE)),"",VLOOKUP($B123,OFFSET(INDIRECT(""&amp;$B$109&amp;"!$A$4"),0,0,200,100),MATCH(F$110,INDIRECT(""&amp;$B$109&amp;"!$A$4"):INDIRECT(""&amp;$B$109&amp;"!$o$4"),0),FALSE))</f>
        <v>13503.283357</v>
      </c>
      <c r="G123" s="74">
        <f ca="1">IF(ISERROR(VLOOKUP($B123,OFFSET(INDIRECT(""&amp;$B$109&amp;"!$A$4"),0,0,200,100),MATCH(G$110,INDIRECT(""&amp;$B$109&amp;"!$A$4"):INDIRECT(""&amp;$B$109&amp;"!$o$4"),0),FALSE)),"",VLOOKUP($B123,OFFSET(INDIRECT(""&amp;$B$109&amp;"!$A$4"),0,0,200,100),MATCH(G$110,INDIRECT(""&amp;$B$109&amp;"!$A$4"):INDIRECT(""&amp;$B$109&amp;"!$o$4"),0),FALSE))</f>
        <v>12550.151540999999</v>
      </c>
      <c r="H123" s="74">
        <f ca="1">IF(ISERROR(VLOOKUP($B123,OFFSET(INDIRECT(""&amp;$B$109&amp;"!$A$4"),0,0,200,100),MATCH(H$110,INDIRECT(""&amp;$B$109&amp;"!$A$4"):INDIRECT(""&amp;$B$109&amp;"!$o$4"),0),FALSE)),"",VLOOKUP($B123,OFFSET(INDIRECT(""&amp;$B$109&amp;"!$A$4"),0,0,200,100),MATCH(H$110,INDIRECT(""&amp;$B$109&amp;"!$A$4"):INDIRECT(""&amp;$B$109&amp;"!$o$4"),0),FALSE))</f>
        <v>-1323.6314890000001</v>
      </c>
      <c r="I123" s="74">
        <f ca="1">IF(ISERROR(VLOOKUP($B123,OFFSET(INDIRECT(""&amp;$B$109&amp;"!$A$4"),0,0,200,100),MATCH(I$110,INDIRECT(""&amp;$B$109&amp;"!$A$4"):INDIRECT(""&amp;$B$109&amp;"!$o$4"),0),FALSE)),"",VLOOKUP($B123,OFFSET(INDIRECT(""&amp;$B$109&amp;"!$A$4"),0,0,200,100),MATCH(I$110,INDIRECT(""&amp;$B$109&amp;"!$A$4"):INDIRECT(""&amp;$B$109&amp;"!$o$4"),0),FALSE))</f>
        <v>-6668.9655400000001</v>
      </c>
      <c r="J123" s="74">
        <f ca="1">IF(ISERROR(VLOOKUP($B123,OFFSET(INDIRECT(""&amp;$B$109&amp;"!$A$4"),0,0,200,100),MATCH(J$110,INDIRECT(""&amp;$B$109&amp;"!$A$4"):INDIRECT(""&amp;$B$109&amp;"!$o$4"),0),FALSE)),"",VLOOKUP($B123,OFFSET(INDIRECT(""&amp;$B$109&amp;"!$A$4"),0,0,200,100),MATCH(J$110,INDIRECT(""&amp;$B$109&amp;"!$A$4"):INDIRECT(""&amp;$B$109&amp;"!$o$4"),0),FALSE))</f>
        <v>-6668.9655400000001</v>
      </c>
      <c r="K123" s="129" t="s">
        <v>356</v>
      </c>
      <c r="L123" s="190">
        <f ca="1">IF(ISERROR(VLOOKUP($K123,OFFSET(INDIRECT(""&amp;$S$109&amp;"!$A$4"),0,0,200,100),MATCH(L$110,INDIRECT(""&amp;$S$109&amp;"!$A$4"):INDIRECT(""&amp;$S$109&amp;"!$o$4"),0),FALSE)),"",VLOOKUP($K123,OFFSET(INDIRECT(""&amp;$S$109&amp;"!$A$4"),0,0,200,100),MATCH(L$110,INDIRECT(""&amp;$S$109&amp;"!$A$4"):INDIRECT(""&amp;$S$109&amp;"!$o$4"),0),FALSE))</f>
        <v>0</v>
      </c>
      <c r="M123" s="190">
        <f ca="1">IF(ISERROR(VLOOKUP($K123,OFFSET(INDIRECT(""&amp;$S$109&amp;"!$A$4"),0,0,200,100),MATCH(M$110,INDIRECT(""&amp;$S$109&amp;"!$A$4"):INDIRECT(""&amp;$S$109&amp;"!$o$4"),0),FALSE)),"",VLOOKUP($K123,OFFSET(INDIRECT(""&amp;$S$109&amp;"!$A$4"),0,0,200,100),MATCH(M$110,INDIRECT(""&amp;$S$109&amp;"!$A$4"):INDIRECT(""&amp;$S$109&amp;"!$o$4"),0),FALSE))</f>
        <v>-9699.5061900000001</v>
      </c>
      <c r="N123" s="190">
        <f ca="1">IF(ISERROR(VLOOKUP($K123,OFFSET(INDIRECT(""&amp;$S$109&amp;"!$A$4"),0,0,200,100),MATCH(N$110,INDIRECT(""&amp;$S$109&amp;"!$A$4"):INDIRECT(""&amp;$S$109&amp;"!$o$4"),0),FALSE)),"",VLOOKUP($K123,OFFSET(INDIRECT(""&amp;$S$109&amp;"!$A$4"),0,0,200,100),MATCH(N$110,INDIRECT(""&amp;$S$109&amp;"!$A$4"):INDIRECT(""&amp;$S$109&amp;"!$o$4"),0),FALSE))</f>
        <v>0</v>
      </c>
      <c r="O123" s="190">
        <f ca="1">IF(ISERROR(VLOOKUP($K123,OFFSET(INDIRECT(""&amp;$S$109&amp;"!$A$4"),0,0,200,100),MATCH(O$110,INDIRECT(""&amp;$S$109&amp;"!$A$4"):INDIRECT(""&amp;$S$109&amp;"!$o$4"),0),FALSE)),"",VLOOKUP($K123,OFFSET(INDIRECT(""&amp;$S$109&amp;"!$A$4"),0,0,200,100),MATCH(O$110,INDIRECT(""&amp;$S$109&amp;"!$A$4"):INDIRECT(""&amp;$S$109&amp;"!$o$4"),0),FALSE))</f>
        <v>0</v>
      </c>
      <c r="P123" s="190">
        <f ca="1">IF(ISERROR(VLOOKUP($K123,OFFSET(INDIRECT(""&amp;$S$109&amp;"!$A$4"),0,0,200,100),MATCH(P$110,INDIRECT(""&amp;$S$109&amp;"!$A$4"):INDIRECT(""&amp;$S$109&amp;"!$o$4"),0),FALSE)),"",VLOOKUP($K123,OFFSET(INDIRECT(""&amp;$S$109&amp;"!$A$4"),0,0,200,100),MATCH(P$110,INDIRECT(""&amp;$S$109&amp;"!$A$4"):INDIRECT(""&amp;$S$109&amp;"!$o$4"),0),FALSE))</f>
        <v>0</v>
      </c>
      <c r="Q123" s="190">
        <f ca="1">IF(ISERROR(VLOOKUP($K123,OFFSET(INDIRECT(""&amp;$S$109&amp;"!$A$4"),0,0,200,100),MATCH(Q$110,INDIRECT(""&amp;$S$109&amp;"!$A$4"):INDIRECT(""&amp;$S$109&amp;"!$o$4"),0),FALSE)),"",VLOOKUP($K123,OFFSET(INDIRECT(""&amp;$S$109&amp;"!$A$4"),0,0,200,100),MATCH(Q$110,INDIRECT(""&amp;$S$109&amp;"!$A$4"):INDIRECT(""&amp;$S$109&amp;"!$o$4"),0),FALSE))</f>
        <v>0</v>
      </c>
      <c r="R123" s="190">
        <f ca="1">IF(ISERROR(VLOOKUP($K123,OFFSET(INDIRECT(""&amp;$S$109&amp;"!$A$4"),0,0,200,100),MATCH(R$110,INDIRECT(""&amp;$S$109&amp;"!$A$4"):INDIRECT(""&amp;$S$109&amp;"!$o$4"),0),FALSE)),"",VLOOKUP($K123,OFFSET(INDIRECT(""&amp;$S$109&amp;"!$A$4"),0,0,200,100),MATCH(R$110,INDIRECT(""&amp;$S$109&amp;"!$A$4"):INDIRECT(""&amp;$S$109&amp;"!$o$4"),0),FALSE))</f>
        <v>0</v>
      </c>
      <c r="S123" s="190">
        <f ca="1">IF(ISERROR(VLOOKUP($K123,OFFSET(INDIRECT(""&amp;$S$109&amp;"!$A$4"),0,0,200,100),MATCH(S$110,INDIRECT(""&amp;$S$109&amp;"!$A$4"):INDIRECT(""&amp;$S$109&amp;"!$o$4"),0),FALSE)),"",VLOOKUP($K123,OFFSET(INDIRECT(""&amp;$S$109&amp;"!$A$4"),0,0,200,100),MATCH(S$110,INDIRECT(""&amp;$S$109&amp;"!$A$4"):INDIRECT(""&amp;$S$109&amp;"!$o$4"),0),FALSE))</f>
        <v>0</v>
      </c>
      <c r="T123" s="190">
        <f ca="1">IF(ISERROR(VLOOKUP($K123,OFFSET(INDIRECT(""&amp;$S$109&amp;"!$A$4"),0,0,200,100),MATCH(T$110,INDIRECT(""&amp;$S$109&amp;"!$A$4"):INDIRECT(""&amp;$S$109&amp;"!$o$4"),0),FALSE)),"",VLOOKUP($K123,OFFSET(INDIRECT(""&amp;$S$109&amp;"!$A$4"),0,0,200,100),MATCH(T$110,INDIRECT(""&amp;$S$109&amp;"!$A$4"):INDIRECT(""&amp;$S$109&amp;"!$o$4"),0),FALSE))</f>
        <v>0</v>
      </c>
      <c r="U123" s="190">
        <f ca="1">IF(ISERROR(VLOOKUP($K123,OFFSET(INDIRECT(""&amp;$S$109&amp;"!$A$4"),0,0,200,100),MATCH(U$110,INDIRECT(""&amp;$S$109&amp;"!$A$4"):INDIRECT(""&amp;$S$109&amp;"!$o$4"),0),FALSE)),"",VLOOKUP($K123,OFFSET(INDIRECT(""&amp;$S$109&amp;"!$A$4"),0,0,200,100),MATCH(U$110,INDIRECT(""&amp;$S$109&amp;"!$A$4"):INDIRECT(""&amp;$S$109&amp;"!$o$4"),0),FALSE))</f>
        <v>0</v>
      </c>
      <c r="V123" s="190">
        <f ca="1">IF(ISERROR(VLOOKUP($K123,OFFSET(INDIRECT(""&amp;$S$109&amp;"!$A$4"),0,0,200,100),MATCH(V$110,INDIRECT(""&amp;$S$109&amp;"!$A$4"):INDIRECT(""&amp;$S$109&amp;"!$o$4"),0),FALSE)),"",VLOOKUP($K123,OFFSET(INDIRECT(""&amp;$S$109&amp;"!$A$4"),0,0,200,100),MATCH(V$110,INDIRECT(""&amp;$S$109&amp;"!$A$4"):INDIRECT(""&amp;$S$109&amp;"!$o$4"),0),FALSE))</f>
        <v>0</v>
      </c>
      <c r="W123" s="190">
        <f ca="1">IF(ISERROR(VLOOKUP($K123,OFFSET(INDIRECT(""&amp;$S$109&amp;"!$A$4"),0,0,200,100),MATCH(W$110,INDIRECT(""&amp;$S$109&amp;"!$A$4"):INDIRECT(""&amp;$S$109&amp;"!$o$4"),0),FALSE)),"",VLOOKUP($K123,OFFSET(INDIRECT(""&amp;$S$109&amp;"!$A$4"),0,0,200,100),MATCH(W$110,INDIRECT(""&amp;$S$109&amp;"!$A$4"):INDIRECT(""&amp;$S$109&amp;"!$o$4"),0),FALSE))</f>
        <v>0</v>
      </c>
      <c r="X123" s="190">
        <f ca="1">IF(ISERROR(VLOOKUP($K123,OFFSET(INDIRECT(""&amp;$S$109&amp;"!$A$4"),0,0,200,100),MATCH(X$110,INDIRECT(""&amp;$S$109&amp;"!$A$4"):INDIRECT(""&amp;$S$109&amp;"!$o$4"),0),FALSE)),"",VLOOKUP($K123,OFFSET(INDIRECT(""&amp;$S$109&amp;"!$A$4"),0,0,200,100),MATCH(X$110,INDIRECT(""&amp;$S$109&amp;"!$A$4"):INDIRECT(""&amp;$S$109&amp;"!$o$4"),0),FALSE))</f>
        <v>0</v>
      </c>
      <c r="Y123" s="190">
        <f ca="1">IF(ISERROR(VLOOKUP($K123,OFFSET(INDIRECT(""&amp;$S$109&amp;"!$A$4"),0,0,200,100),MATCH(Y$110,INDIRECT(""&amp;$S$109&amp;"!$A$4"):INDIRECT(""&amp;$S$109&amp;"!$o$4"),0),FALSE)),"",VLOOKUP($K123,OFFSET(INDIRECT(""&amp;$S$109&amp;"!$A$4"),0,0,200,100),MATCH(Y$110,INDIRECT(""&amp;$S$109&amp;"!$A$4"):INDIRECT(""&amp;$S$109&amp;"!$o$4"),0),FALSE))</f>
        <v>0</v>
      </c>
      <c r="Z123" s="160">
        <f ca="1">IF(ISERROR(VLOOKUP($K123,OFFSET(INDIRECT(""&amp;$S$109&amp;"!$A$4"),0,0,200,100),MATCH(Z$110,INDIRECT(""&amp;$S$109&amp;"!$A$4"):INDIRECT(""&amp;$S$109&amp;"!$P$4"),0),FALSE)),"",VLOOKUP($K123,OFFSET(INDIRECT(""&amp;$S$109&amp;"!$A$4"),0,0,200,100),MATCH(Z$110,INDIRECT(""&amp;$S$109&amp;"!$A$4"):INDIRECT(""&amp;$S$109&amp;"!$P$4"),0),FALSE))</f>
        <v>0</v>
      </c>
      <c r="AA123" s="190"/>
      <c r="AC123" s="126"/>
      <c r="AD123" s="126"/>
      <c r="AE123" s="126"/>
      <c r="AF123" s="126"/>
      <c r="AG123" s="126"/>
      <c r="AH123" s="126"/>
      <c r="AI123" s="148"/>
      <c r="AJ123" s="148"/>
      <c r="AK123" s="148"/>
      <c r="AL123" s="148"/>
      <c r="AM123" s="148"/>
      <c r="AN123" s="148"/>
      <c r="AO123" s="126"/>
      <c r="AP123" s="126"/>
      <c r="AQ123" s="126"/>
      <c r="AR123" s="126"/>
      <c r="AS123" s="126"/>
      <c r="AT123" s="72"/>
      <c r="AU123" s="72"/>
      <c r="AV123" s="73"/>
      <c r="AW123" s="73"/>
      <c r="AX123" s="73"/>
      <c r="AY123" s="73"/>
      <c r="AZ123" s="73"/>
      <c r="BA123" s="73"/>
      <c r="BB123" s="73"/>
      <c r="BC123" s="73"/>
      <c r="BD123" s="73"/>
      <c r="BE123" s="73"/>
      <c r="BF123" s="73"/>
    </row>
    <row r="124" spans="1:58" s="128" customFormat="1" ht="15.95" customHeight="1">
      <c r="A124" s="111" t="s">
        <v>313</v>
      </c>
      <c r="B124" s="111" t="s">
        <v>357</v>
      </c>
      <c r="C124" s="74">
        <f ca="1">IF(ISERROR(VLOOKUP($B124,OFFSET(INDIRECT(""&amp;$B$109&amp;"!$A$4"),0,0,200,100),MATCH(C$110,INDIRECT(""&amp;$B$109&amp;"!$A$4"):INDIRECT(""&amp;$B$109&amp;"!$o$4"),0),FALSE)),"",VLOOKUP($B124,OFFSET(INDIRECT(""&amp;$B$109&amp;"!$A$4"),0,0,200,100),MATCH(C$110,INDIRECT(""&amp;$B$109&amp;"!$A$4"):INDIRECT(""&amp;$B$109&amp;"!$o$4"),0),FALSE))</f>
        <v>-500.335419</v>
      </c>
      <c r="D124" s="74">
        <f ca="1">IF(ISERROR(VLOOKUP($B124,OFFSET(INDIRECT(""&amp;$B$109&amp;"!$A$4"),0,0,200,100),MATCH(D$110,INDIRECT(""&amp;$B$109&amp;"!$A$4"):INDIRECT(""&amp;$B$109&amp;"!$o$4"),0),FALSE)),"",VLOOKUP($B124,OFFSET(INDIRECT(""&amp;$B$109&amp;"!$A$4"),0,0,200,100),MATCH(D$110,INDIRECT(""&amp;$B$109&amp;"!$A$4"):INDIRECT(""&amp;$B$109&amp;"!$o$4"),0),FALSE))</f>
        <v>-1599.0862830000001</v>
      </c>
      <c r="E124" s="74">
        <f ca="1">IF(ISERROR(VLOOKUP($B124,OFFSET(INDIRECT(""&amp;$B$109&amp;"!$A$4"),0,0,200,100),MATCH(E$110,INDIRECT(""&amp;$B$109&amp;"!$A$4"):INDIRECT(""&amp;$B$109&amp;"!$o$4"),0),FALSE)),"",VLOOKUP($B124,OFFSET(INDIRECT(""&amp;$B$109&amp;"!$A$4"),0,0,200,100),MATCH(E$110,INDIRECT(""&amp;$B$109&amp;"!$A$4"):INDIRECT(""&amp;$B$109&amp;"!$o$4"),0),FALSE))</f>
        <v>941.27393099999995</v>
      </c>
      <c r="F124" s="74">
        <f ca="1">IF(ISERROR(VLOOKUP($B124,OFFSET(INDIRECT(""&amp;$B$109&amp;"!$A$4"),0,0,200,100),MATCH(F$110,INDIRECT(""&amp;$B$109&amp;"!$A$4"):INDIRECT(""&amp;$B$109&amp;"!$o$4"),0),FALSE)),"",VLOOKUP($B124,OFFSET(INDIRECT(""&amp;$B$109&amp;"!$A$4"),0,0,200,100),MATCH(F$110,INDIRECT(""&amp;$B$109&amp;"!$A$4"):INDIRECT(""&amp;$B$109&amp;"!$o$4"),0),FALSE))</f>
        <v>3847.2657330000002</v>
      </c>
      <c r="G124" s="74">
        <f ca="1">IF(ISERROR(VLOOKUP($B124,OFFSET(INDIRECT(""&amp;$B$109&amp;"!$A$4"),0,0,200,100),MATCH(G$110,INDIRECT(""&amp;$B$109&amp;"!$A$4"):INDIRECT(""&amp;$B$109&amp;"!$o$4"),0),FALSE)),"",VLOOKUP($B124,OFFSET(INDIRECT(""&amp;$B$109&amp;"!$A$4"),0,0,200,100),MATCH(G$110,INDIRECT(""&amp;$B$109&amp;"!$A$4"):INDIRECT(""&amp;$B$109&amp;"!$o$4"),0),FALSE))</f>
        <v>1256.94022</v>
      </c>
      <c r="H124" s="74">
        <f ca="1">IF(ISERROR(VLOOKUP($B124,OFFSET(INDIRECT(""&amp;$B$109&amp;"!$A$4"),0,0,200,100),MATCH(H$110,INDIRECT(""&amp;$B$109&amp;"!$A$4"):INDIRECT(""&amp;$B$109&amp;"!$o$4"),0),FALSE)),"",VLOOKUP($B124,OFFSET(INDIRECT(""&amp;$B$109&amp;"!$A$4"),0,0,200,100),MATCH(H$110,INDIRECT(""&amp;$B$109&amp;"!$A$4"):INDIRECT(""&amp;$B$109&amp;"!$o$4"),0),FALSE))</f>
        <v>-9265.1959360000001</v>
      </c>
      <c r="I124" s="74">
        <f ca="1">IF(ISERROR(VLOOKUP($B124,OFFSET(INDIRECT(""&amp;$B$109&amp;"!$A$4"),0,0,200,100),MATCH(I$110,INDIRECT(""&amp;$B$109&amp;"!$A$4"):INDIRECT(""&amp;$B$109&amp;"!$o$4"),0),FALSE)),"",VLOOKUP($B124,OFFSET(INDIRECT(""&amp;$B$109&amp;"!$A$4"),0,0,200,100),MATCH(I$110,INDIRECT(""&amp;$B$109&amp;"!$A$4"):INDIRECT(""&amp;$B$109&amp;"!$o$4"),0),FALSE))</f>
        <v>-6063.5364410000002</v>
      </c>
      <c r="J124" s="74">
        <f ca="1">IF(ISERROR(VLOOKUP($B124,OFFSET(INDIRECT(""&amp;$B$109&amp;"!$A$4"),0,0,200,100),MATCH(J$110,INDIRECT(""&amp;$B$109&amp;"!$A$4"):INDIRECT(""&amp;$B$109&amp;"!$o$4"),0),FALSE)),"",VLOOKUP($B124,OFFSET(INDIRECT(""&amp;$B$109&amp;"!$A$4"),0,0,200,100),MATCH(J$110,INDIRECT(""&amp;$B$109&amp;"!$A$4"):INDIRECT(""&amp;$B$109&amp;"!$o$4"),0),FALSE))</f>
        <v>-6063.5364410000002</v>
      </c>
      <c r="K124" s="129" t="s">
        <v>357</v>
      </c>
      <c r="L124" s="190">
        <f ca="1">IF(ISERROR(VLOOKUP($K124,OFFSET(INDIRECT(""&amp;$S$109&amp;"!$A$4"),0,0,200,100),MATCH(L$110,INDIRECT(""&amp;$S$109&amp;"!$A$4"):INDIRECT(""&amp;$S$109&amp;"!$o$4"),0),FALSE)),"",VLOOKUP($K124,OFFSET(INDIRECT(""&amp;$S$109&amp;"!$A$4"),0,0,200,100),MATCH(L$110,INDIRECT(""&amp;$S$109&amp;"!$A$4"):INDIRECT(""&amp;$S$109&amp;"!$o$4"),0),FALSE))</f>
        <v>0</v>
      </c>
      <c r="M124" s="190">
        <f ca="1">IF(ISERROR(VLOOKUP($K124,OFFSET(INDIRECT(""&amp;$S$109&amp;"!$A$4"),0,0,200,100),MATCH(M$110,INDIRECT(""&amp;$S$109&amp;"!$A$4"):INDIRECT(""&amp;$S$109&amp;"!$o$4"),0),FALSE)),"",VLOOKUP($K124,OFFSET(INDIRECT(""&amp;$S$109&amp;"!$A$4"),0,0,200,100),MATCH(M$110,INDIRECT(""&amp;$S$109&amp;"!$A$4"):INDIRECT(""&amp;$S$109&amp;"!$o$4"),0),FALSE))</f>
        <v>2367.805413</v>
      </c>
      <c r="N124" s="190">
        <f ca="1">IF(ISERROR(VLOOKUP($K124,OFFSET(INDIRECT(""&amp;$S$109&amp;"!$A$4"),0,0,200,100),MATCH(N$110,INDIRECT(""&amp;$S$109&amp;"!$A$4"):INDIRECT(""&amp;$S$109&amp;"!$o$4"),0),FALSE)),"",VLOOKUP($K124,OFFSET(INDIRECT(""&amp;$S$109&amp;"!$A$4"),0,0,200,100),MATCH(N$110,INDIRECT(""&amp;$S$109&amp;"!$A$4"):INDIRECT(""&amp;$S$109&amp;"!$o$4"),0),FALSE))</f>
        <v>0</v>
      </c>
      <c r="O124" s="190">
        <f ca="1">IF(ISERROR(VLOOKUP($K124,OFFSET(INDIRECT(""&amp;$S$109&amp;"!$A$4"),0,0,200,100),MATCH(O$110,INDIRECT(""&amp;$S$109&amp;"!$A$4"):INDIRECT(""&amp;$S$109&amp;"!$o$4"),0),FALSE)),"",VLOOKUP($K124,OFFSET(INDIRECT(""&amp;$S$109&amp;"!$A$4"),0,0,200,100),MATCH(O$110,INDIRECT(""&amp;$S$109&amp;"!$A$4"):INDIRECT(""&amp;$S$109&amp;"!$o$4"),0),FALSE))</f>
        <v>0</v>
      </c>
      <c r="P124" s="190">
        <f ca="1">IF(ISERROR(VLOOKUP($K124,OFFSET(INDIRECT(""&amp;$S$109&amp;"!$A$4"),0,0,200,100),MATCH(P$110,INDIRECT(""&amp;$S$109&amp;"!$A$4"):INDIRECT(""&amp;$S$109&amp;"!$o$4"),0),FALSE)),"",VLOOKUP($K124,OFFSET(INDIRECT(""&amp;$S$109&amp;"!$A$4"),0,0,200,100),MATCH(P$110,INDIRECT(""&amp;$S$109&amp;"!$A$4"):INDIRECT(""&amp;$S$109&amp;"!$o$4"),0),FALSE))</f>
        <v>0</v>
      </c>
      <c r="Q124" s="190">
        <f ca="1">IF(ISERROR(VLOOKUP($K124,OFFSET(INDIRECT(""&amp;$S$109&amp;"!$A$4"),0,0,200,100),MATCH(Q$110,INDIRECT(""&amp;$S$109&amp;"!$A$4"):INDIRECT(""&amp;$S$109&amp;"!$o$4"),0),FALSE)),"",VLOOKUP($K124,OFFSET(INDIRECT(""&amp;$S$109&amp;"!$A$4"),0,0,200,100),MATCH(Q$110,INDIRECT(""&amp;$S$109&amp;"!$A$4"):INDIRECT(""&amp;$S$109&amp;"!$o$4"),0),FALSE))</f>
        <v>0</v>
      </c>
      <c r="R124" s="190">
        <f ca="1">IF(ISERROR(VLOOKUP($K124,OFFSET(INDIRECT(""&amp;$S$109&amp;"!$A$4"),0,0,200,100),MATCH(R$110,INDIRECT(""&amp;$S$109&amp;"!$A$4"):INDIRECT(""&amp;$S$109&amp;"!$o$4"),0),FALSE)),"",VLOOKUP($K124,OFFSET(INDIRECT(""&amp;$S$109&amp;"!$A$4"),0,0,200,100),MATCH(R$110,INDIRECT(""&amp;$S$109&amp;"!$A$4"):INDIRECT(""&amp;$S$109&amp;"!$o$4"),0),FALSE))</f>
        <v>0</v>
      </c>
      <c r="S124" s="190">
        <f ca="1">IF(ISERROR(VLOOKUP($K124,OFFSET(INDIRECT(""&amp;$S$109&amp;"!$A$4"),0,0,200,100),MATCH(S$110,INDIRECT(""&amp;$S$109&amp;"!$A$4"):INDIRECT(""&amp;$S$109&amp;"!$o$4"),0),FALSE)),"",VLOOKUP($K124,OFFSET(INDIRECT(""&amp;$S$109&amp;"!$A$4"),0,0,200,100),MATCH(S$110,INDIRECT(""&amp;$S$109&amp;"!$A$4"):INDIRECT(""&amp;$S$109&amp;"!$o$4"),0),FALSE))</f>
        <v>0</v>
      </c>
      <c r="T124" s="190">
        <f ca="1">IF(ISERROR(VLOOKUP($K124,OFFSET(INDIRECT(""&amp;$S$109&amp;"!$A$4"),0,0,200,100),MATCH(T$110,INDIRECT(""&amp;$S$109&amp;"!$A$4"):INDIRECT(""&amp;$S$109&amp;"!$o$4"),0),FALSE)),"",VLOOKUP($K124,OFFSET(INDIRECT(""&amp;$S$109&amp;"!$A$4"),0,0,200,100),MATCH(T$110,INDIRECT(""&amp;$S$109&amp;"!$A$4"):INDIRECT(""&amp;$S$109&amp;"!$o$4"),0),FALSE))</f>
        <v>0</v>
      </c>
      <c r="U124" s="190">
        <f ca="1">IF(ISERROR(VLOOKUP($K124,OFFSET(INDIRECT(""&amp;$S$109&amp;"!$A$4"),0,0,200,100),MATCH(U$110,INDIRECT(""&amp;$S$109&amp;"!$A$4"):INDIRECT(""&amp;$S$109&amp;"!$o$4"),0),FALSE)),"",VLOOKUP($K124,OFFSET(INDIRECT(""&amp;$S$109&amp;"!$A$4"),0,0,200,100),MATCH(U$110,INDIRECT(""&amp;$S$109&amp;"!$A$4"):INDIRECT(""&amp;$S$109&amp;"!$o$4"),0),FALSE))</f>
        <v>0</v>
      </c>
      <c r="V124" s="190">
        <f ca="1">IF(ISERROR(VLOOKUP($K124,OFFSET(INDIRECT(""&amp;$S$109&amp;"!$A$4"),0,0,200,100),MATCH(V$110,INDIRECT(""&amp;$S$109&amp;"!$A$4"):INDIRECT(""&amp;$S$109&amp;"!$o$4"),0),FALSE)),"",VLOOKUP($K124,OFFSET(INDIRECT(""&amp;$S$109&amp;"!$A$4"),0,0,200,100),MATCH(V$110,INDIRECT(""&amp;$S$109&amp;"!$A$4"):INDIRECT(""&amp;$S$109&amp;"!$o$4"),0),FALSE))</f>
        <v>0</v>
      </c>
      <c r="W124" s="190">
        <f ca="1">IF(ISERROR(VLOOKUP($K124,OFFSET(INDIRECT(""&amp;$S$109&amp;"!$A$4"),0,0,200,100),MATCH(W$110,INDIRECT(""&amp;$S$109&amp;"!$A$4"):INDIRECT(""&amp;$S$109&amp;"!$o$4"),0),FALSE)),"",VLOOKUP($K124,OFFSET(INDIRECT(""&amp;$S$109&amp;"!$A$4"),0,0,200,100),MATCH(W$110,INDIRECT(""&amp;$S$109&amp;"!$A$4"):INDIRECT(""&amp;$S$109&amp;"!$o$4"),0),FALSE))</f>
        <v>0</v>
      </c>
      <c r="X124" s="190">
        <f ca="1">IF(ISERROR(VLOOKUP($K124,OFFSET(INDIRECT(""&amp;$S$109&amp;"!$A$4"),0,0,200,100),MATCH(X$110,INDIRECT(""&amp;$S$109&amp;"!$A$4"):INDIRECT(""&amp;$S$109&amp;"!$o$4"),0),FALSE)),"",VLOOKUP($K124,OFFSET(INDIRECT(""&amp;$S$109&amp;"!$A$4"),0,0,200,100),MATCH(X$110,INDIRECT(""&amp;$S$109&amp;"!$A$4"):INDIRECT(""&amp;$S$109&amp;"!$o$4"),0),FALSE))</f>
        <v>0</v>
      </c>
      <c r="Y124" s="190">
        <f ca="1">IF(ISERROR(VLOOKUP($K124,OFFSET(INDIRECT(""&amp;$S$109&amp;"!$A$4"),0,0,200,100),MATCH(Y$110,INDIRECT(""&amp;$S$109&amp;"!$A$4"):INDIRECT(""&amp;$S$109&amp;"!$o$4"),0),FALSE)),"",VLOOKUP($K124,OFFSET(INDIRECT(""&amp;$S$109&amp;"!$A$4"),0,0,200,100),MATCH(Y$110,INDIRECT(""&amp;$S$109&amp;"!$A$4"):INDIRECT(""&amp;$S$109&amp;"!$o$4"),0),FALSE))</f>
        <v>0</v>
      </c>
      <c r="Z124" s="160">
        <f ca="1">IF(ISERROR(VLOOKUP($K124,OFFSET(INDIRECT(""&amp;$S$109&amp;"!$A$4"),0,0,200,100),MATCH(Z$110,INDIRECT(""&amp;$S$109&amp;"!$A$4"):INDIRECT(""&amp;$S$109&amp;"!$P$4"),0),FALSE)),"",VLOOKUP($K124,OFFSET(INDIRECT(""&amp;$S$109&amp;"!$A$4"),0,0,200,100),MATCH(Z$110,INDIRECT(""&amp;$S$109&amp;"!$A$4"):INDIRECT(""&amp;$S$109&amp;"!$P$4"),0),FALSE))</f>
        <v>0</v>
      </c>
      <c r="AA124" s="190"/>
      <c r="AC124" s="126"/>
      <c r="AD124" s="126"/>
      <c r="AE124" s="126"/>
      <c r="AF124" s="126"/>
      <c r="AG124" s="126"/>
      <c r="AH124" s="126"/>
      <c r="AI124" s="148"/>
      <c r="AJ124" s="148"/>
      <c r="AK124" s="148"/>
      <c r="AL124" s="148"/>
      <c r="AM124" s="148"/>
      <c r="AN124" s="148"/>
      <c r="AO124" s="126"/>
      <c r="AP124" s="126"/>
      <c r="AQ124" s="126"/>
      <c r="AR124" s="126"/>
      <c r="AS124" s="126"/>
      <c r="AT124" s="72"/>
      <c r="AU124" s="72"/>
      <c r="AV124" s="73"/>
      <c r="AW124" s="73"/>
      <c r="AX124" s="73"/>
      <c r="AY124" s="73"/>
      <c r="AZ124" s="73"/>
      <c r="BA124" s="73"/>
      <c r="BB124" s="73"/>
      <c r="BC124" s="73"/>
      <c r="BD124" s="73"/>
      <c r="BE124" s="73"/>
      <c r="BF124" s="73"/>
    </row>
    <row r="125" spans="1:58" s="128" customFormat="1" ht="15.95" customHeight="1">
      <c r="A125" s="111" t="s">
        <v>314</v>
      </c>
      <c r="B125" s="111" t="s">
        <v>358</v>
      </c>
      <c r="C125" s="74">
        <f ca="1">IF(ISERROR(VLOOKUP($B125,OFFSET(INDIRECT(""&amp;$B$109&amp;"!$A$4"),0,0,200,100),MATCH(C$110,INDIRECT(""&amp;$B$109&amp;"!$A$4"):INDIRECT(""&amp;$B$109&amp;"!$o$4"),0),FALSE)),"",VLOOKUP($B125,OFFSET(INDIRECT(""&amp;$B$109&amp;"!$A$4"),0,0,200,100),MATCH(C$110,INDIRECT(""&amp;$B$109&amp;"!$A$4"):INDIRECT(""&amp;$B$109&amp;"!$o$4"),0),FALSE))</f>
        <v>-80.277000000000001</v>
      </c>
      <c r="D125" s="74">
        <f ca="1">IF(ISERROR(VLOOKUP($B125,OFFSET(INDIRECT(""&amp;$B$109&amp;"!$A$4"),0,0,200,100),MATCH(D$110,INDIRECT(""&amp;$B$109&amp;"!$A$4"):INDIRECT(""&amp;$B$109&amp;"!$o$4"),0),FALSE)),"",VLOOKUP($B125,OFFSET(INDIRECT(""&amp;$B$109&amp;"!$A$4"),0,0,200,100),MATCH(D$110,INDIRECT(""&amp;$B$109&amp;"!$A$4"):INDIRECT(""&amp;$B$109&amp;"!$o$4"),0),FALSE))</f>
        <v>-192.15840800000001</v>
      </c>
      <c r="E125" s="74">
        <f ca="1">IF(ISERROR(VLOOKUP($B125,OFFSET(INDIRECT(""&amp;$B$109&amp;"!$A$4"),0,0,200,100),MATCH(E$110,INDIRECT(""&amp;$B$109&amp;"!$A$4"):INDIRECT(""&amp;$B$109&amp;"!$o$4"),0),FALSE)),"",VLOOKUP($B125,OFFSET(INDIRECT(""&amp;$B$109&amp;"!$A$4"),0,0,200,100),MATCH(E$110,INDIRECT(""&amp;$B$109&amp;"!$A$4"):INDIRECT(""&amp;$B$109&amp;"!$o$4"),0),FALSE))</f>
        <v>-614.61596299999997</v>
      </c>
      <c r="F125" s="74">
        <f ca="1">IF(ISERROR(VLOOKUP($B125,OFFSET(INDIRECT(""&amp;$B$109&amp;"!$A$4"),0,0,200,100),MATCH(F$110,INDIRECT(""&amp;$B$109&amp;"!$A$4"):INDIRECT(""&amp;$B$109&amp;"!$o$4"),0),FALSE)),"",VLOOKUP($B125,OFFSET(INDIRECT(""&amp;$B$109&amp;"!$A$4"),0,0,200,100),MATCH(F$110,INDIRECT(""&amp;$B$109&amp;"!$A$4"):INDIRECT(""&amp;$B$109&amp;"!$o$4"),0),FALSE))</f>
        <v>-1283.5399990000001</v>
      </c>
      <c r="G125" s="74">
        <f ca="1">IF(ISERROR(VLOOKUP($B125,OFFSET(INDIRECT(""&amp;$B$109&amp;"!$A$4"),0,0,200,100),MATCH(G$110,INDIRECT(""&amp;$B$109&amp;"!$A$4"):INDIRECT(""&amp;$B$109&amp;"!$o$4"),0),FALSE)),"",VLOOKUP($B125,OFFSET(INDIRECT(""&amp;$B$109&amp;"!$A$4"),0,0,200,100),MATCH(G$110,INDIRECT(""&amp;$B$109&amp;"!$A$4"):INDIRECT(""&amp;$B$109&amp;"!$o$4"),0),FALSE))</f>
        <v>-8090.7236329999996</v>
      </c>
      <c r="H125" s="74">
        <f ca="1">IF(ISERROR(VLOOKUP($B125,OFFSET(INDIRECT(""&amp;$B$109&amp;"!$A$4"),0,0,200,100),MATCH(H$110,INDIRECT(""&amp;$B$109&amp;"!$A$4"):INDIRECT(""&amp;$B$109&amp;"!$o$4"),0),FALSE)),"",VLOOKUP($B125,OFFSET(INDIRECT(""&amp;$B$109&amp;"!$A$4"),0,0,200,100),MATCH(H$110,INDIRECT(""&amp;$B$109&amp;"!$A$4"):INDIRECT(""&amp;$B$109&amp;"!$o$4"),0),FALSE))</f>
        <v>-3976.0929339999998</v>
      </c>
      <c r="I125" s="74">
        <f ca="1">IF(ISERROR(VLOOKUP($B125,OFFSET(INDIRECT(""&amp;$B$109&amp;"!$A$4"),0,0,200,100),MATCH(I$110,INDIRECT(""&amp;$B$109&amp;"!$A$4"):INDIRECT(""&amp;$B$109&amp;"!$o$4"),0),FALSE)),"",VLOOKUP($B125,OFFSET(INDIRECT(""&amp;$B$109&amp;"!$A$4"),0,0,200,100),MATCH(I$110,INDIRECT(""&amp;$B$109&amp;"!$A$4"):INDIRECT(""&amp;$B$109&amp;"!$o$4"),0),FALSE))</f>
        <v>-2688.9519190000001</v>
      </c>
      <c r="J125" s="74">
        <f ca="1">IF(ISERROR(VLOOKUP($B125,OFFSET(INDIRECT(""&amp;$B$109&amp;"!$A$4"),0,0,200,100),MATCH(J$110,INDIRECT(""&amp;$B$109&amp;"!$A$4"):INDIRECT(""&amp;$B$109&amp;"!$o$4"),0),FALSE)),"",VLOOKUP($B125,OFFSET(INDIRECT(""&amp;$B$109&amp;"!$A$4"),0,0,200,100),MATCH(J$110,INDIRECT(""&amp;$B$109&amp;"!$A$4"):INDIRECT(""&amp;$B$109&amp;"!$o$4"),0),FALSE))</f>
        <v>-2688.9519190000001</v>
      </c>
      <c r="K125" s="129" t="s">
        <v>358</v>
      </c>
      <c r="L125" s="190">
        <f ca="1">IF(ISERROR(VLOOKUP($K125,OFFSET(INDIRECT(""&amp;$S$109&amp;"!$A$4"),0,0,200,100),MATCH(L$110,INDIRECT(""&amp;$S$109&amp;"!$A$4"):INDIRECT(""&amp;$S$109&amp;"!$o$4"),0),FALSE)),"",VLOOKUP($K125,OFFSET(INDIRECT(""&amp;$S$109&amp;"!$A$4"),0,0,200,100),MATCH(L$110,INDIRECT(""&amp;$S$109&amp;"!$A$4"):INDIRECT(""&amp;$S$109&amp;"!$o$4"),0),FALSE))</f>
        <v>0</v>
      </c>
      <c r="M125" s="190">
        <f ca="1">IF(ISERROR(VLOOKUP($K125,OFFSET(INDIRECT(""&amp;$S$109&amp;"!$A$4"),0,0,200,100),MATCH(M$110,INDIRECT(""&amp;$S$109&amp;"!$A$4"):INDIRECT(""&amp;$S$109&amp;"!$o$4"),0),FALSE)),"",VLOOKUP($K125,OFFSET(INDIRECT(""&amp;$S$109&amp;"!$A$4"),0,0,200,100),MATCH(M$110,INDIRECT(""&amp;$S$109&amp;"!$A$4"):INDIRECT(""&amp;$S$109&amp;"!$o$4"),0),FALSE))</f>
        <v>-10.199999999999999</v>
      </c>
      <c r="N125" s="190">
        <f ca="1">IF(ISERROR(VLOOKUP($K125,OFFSET(INDIRECT(""&amp;$S$109&amp;"!$A$4"),0,0,200,100),MATCH(N$110,INDIRECT(""&amp;$S$109&amp;"!$A$4"):INDIRECT(""&amp;$S$109&amp;"!$o$4"),0),FALSE)),"",VLOOKUP($K125,OFFSET(INDIRECT(""&amp;$S$109&amp;"!$A$4"),0,0,200,100),MATCH(N$110,INDIRECT(""&amp;$S$109&amp;"!$A$4"):INDIRECT(""&amp;$S$109&amp;"!$o$4"),0),FALSE))</f>
        <v>0</v>
      </c>
      <c r="O125" s="190">
        <f ca="1">IF(ISERROR(VLOOKUP($K125,OFFSET(INDIRECT(""&amp;$S$109&amp;"!$A$4"),0,0,200,100),MATCH(O$110,INDIRECT(""&amp;$S$109&amp;"!$A$4"):INDIRECT(""&amp;$S$109&amp;"!$o$4"),0),FALSE)),"",VLOOKUP($K125,OFFSET(INDIRECT(""&amp;$S$109&amp;"!$A$4"),0,0,200,100),MATCH(O$110,INDIRECT(""&amp;$S$109&amp;"!$A$4"):INDIRECT(""&amp;$S$109&amp;"!$o$4"),0),FALSE))</f>
        <v>0</v>
      </c>
      <c r="P125" s="190">
        <f ca="1">IF(ISERROR(VLOOKUP($K125,OFFSET(INDIRECT(""&amp;$S$109&amp;"!$A$4"),0,0,200,100),MATCH(P$110,INDIRECT(""&amp;$S$109&amp;"!$A$4"):INDIRECT(""&amp;$S$109&amp;"!$o$4"),0),FALSE)),"",VLOOKUP($K125,OFFSET(INDIRECT(""&amp;$S$109&amp;"!$A$4"),0,0,200,100),MATCH(P$110,INDIRECT(""&amp;$S$109&amp;"!$A$4"):INDIRECT(""&amp;$S$109&amp;"!$o$4"),0),FALSE))</f>
        <v>0</v>
      </c>
      <c r="Q125" s="190">
        <f ca="1">IF(ISERROR(VLOOKUP($K125,OFFSET(INDIRECT(""&amp;$S$109&amp;"!$A$4"),0,0,200,100),MATCH(Q$110,INDIRECT(""&amp;$S$109&amp;"!$A$4"):INDIRECT(""&amp;$S$109&amp;"!$o$4"),0),FALSE)),"",VLOOKUP($K125,OFFSET(INDIRECT(""&amp;$S$109&amp;"!$A$4"),0,0,200,100),MATCH(Q$110,INDIRECT(""&amp;$S$109&amp;"!$A$4"):INDIRECT(""&amp;$S$109&amp;"!$o$4"),0),FALSE))</f>
        <v>0</v>
      </c>
      <c r="R125" s="190">
        <f ca="1">IF(ISERROR(VLOOKUP($K125,OFFSET(INDIRECT(""&amp;$S$109&amp;"!$A$4"),0,0,200,100),MATCH(R$110,INDIRECT(""&amp;$S$109&amp;"!$A$4"):INDIRECT(""&amp;$S$109&amp;"!$o$4"),0),FALSE)),"",VLOOKUP($K125,OFFSET(INDIRECT(""&amp;$S$109&amp;"!$A$4"),0,0,200,100),MATCH(R$110,INDIRECT(""&amp;$S$109&amp;"!$A$4"):INDIRECT(""&amp;$S$109&amp;"!$o$4"),0),FALSE))</f>
        <v>0</v>
      </c>
      <c r="S125" s="190">
        <f ca="1">IF(ISERROR(VLOOKUP($K125,OFFSET(INDIRECT(""&amp;$S$109&amp;"!$A$4"),0,0,200,100),MATCH(S$110,INDIRECT(""&amp;$S$109&amp;"!$A$4"):INDIRECT(""&amp;$S$109&amp;"!$o$4"),0),FALSE)),"",VLOOKUP($K125,OFFSET(INDIRECT(""&amp;$S$109&amp;"!$A$4"),0,0,200,100),MATCH(S$110,INDIRECT(""&amp;$S$109&amp;"!$A$4"):INDIRECT(""&amp;$S$109&amp;"!$o$4"),0),FALSE))</f>
        <v>0</v>
      </c>
      <c r="T125" s="190">
        <f ca="1">IF(ISERROR(VLOOKUP($K125,OFFSET(INDIRECT(""&amp;$S$109&amp;"!$A$4"),0,0,200,100),MATCH(T$110,INDIRECT(""&amp;$S$109&amp;"!$A$4"):INDIRECT(""&amp;$S$109&amp;"!$o$4"),0),FALSE)),"",VLOOKUP($K125,OFFSET(INDIRECT(""&amp;$S$109&amp;"!$A$4"),0,0,200,100),MATCH(T$110,INDIRECT(""&amp;$S$109&amp;"!$A$4"):INDIRECT(""&amp;$S$109&amp;"!$o$4"),0),FALSE))</f>
        <v>0</v>
      </c>
      <c r="U125" s="190">
        <f ca="1">IF(ISERROR(VLOOKUP($K125,OFFSET(INDIRECT(""&amp;$S$109&amp;"!$A$4"),0,0,200,100),MATCH(U$110,INDIRECT(""&amp;$S$109&amp;"!$A$4"):INDIRECT(""&amp;$S$109&amp;"!$o$4"),0),FALSE)),"",VLOOKUP($K125,OFFSET(INDIRECT(""&amp;$S$109&amp;"!$A$4"),0,0,200,100),MATCH(U$110,INDIRECT(""&amp;$S$109&amp;"!$A$4"):INDIRECT(""&amp;$S$109&amp;"!$o$4"),0),FALSE))</f>
        <v>0</v>
      </c>
      <c r="V125" s="190">
        <f ca="1">IF(ISERROR(VLOOKUP($K125,OFFSET(INDIRECT(""&amp;$S$109&amp;"!$A$4"),0,0,200,100),MATCH(V$110,INDIRECT(""&amp;$S$109&amp;"!$A$4"):INDIRECT(""&amp;$S$109&amp;"!$o$4"),0),FALSE)),"",VLOOKUP($K125,OFFSET(INDIRECT(""&amp;$S$109&amp;"!$A$4"),0,0,200,100),MATCH(V$110,INDIRECT(""&amp;$S$109&amp;"!$A$4"):INDIRECT(""&amp;$S$109&amp;"!$o$4"),0),FALSE))</f>
        <v>0</v>
      </c>
      <c r="W125" s="190">
        <f ca="1">IF(ISERROR(VLOOKUP($K125,OFFSET(INDIRECT(""&amp;$S$109&amp;"!$A$4"),0,0,200,100),MATCH(W$110,INDIRECT(""&amp;$S$109&amp;"!$A$4"):INDIRECT(""&amp;$S$109&amp;"!$o$4"),0),FALSE)),"",VLOOKUP($K125,OFFSET(INDIRECT(""&amp;$S$109&amp;"!$A$4"),0,0,200,100),MATCH(W$110,INDIRECT(""&amp;$S$109&amp;"!$A$4"):INDIRECT(""&amp;$S$109&amp;"!$o$4"),0),FALSE))</f>
        <v>0</v>
      </c>
      <c r="X125" s="190">
        <f ca="1">IF(ISERROR(VLOOKUP($K125,OFFSET(INDIRECT(""&amp;$S$109&amp;"!$A$4"),0,0,200,100),MATCH(X$110,INDIRECT(""&amp;$S$109&amp;"!$A$4"):INDIRECT(""&amp;$S$109&amp;"!$o$4"),0),FALSE)),"",VLOOKUP($K125,OFFSET(INDIRECT(""&amp;$S$109&amp;"!$A$4"),0,0,200,100),MATCH(X$110,INDIRECT(""&amp;$S$109&amp;"!$A$4"):INDIRECT(""&amp;$S$109&amp;"!$o$4"),0),FALSE))</f>
        <v>0</v>
      </c>
      <c r="Y125" s="190">
        <f ca="1">IF(ISERROR(VLOOKUP($K125,OFFSET(INDIRECT(""&amp;$S$109&amp;"!$A$4"),0,0,200,100),MATCH(Y$110,INDIRECT(""&amp;$S$109&amp;"!$A$4"):INDIRECT(""&amp;$S$109&amp;"!$o$4"),0),FALSE)),"",VLOOKUP($K125,OFFSET(INDIRECT(""&amp;$S$109&amp;"!$A$4"),0,0,200,100),MATCH(Y$110,INDIRECT(""&amp;$S$109&amp;"!$A$4"):INDIRECT(""&amp;$S$109&amp;"!$o$4"),0),FALSE))</f>
        <v>0</v>
      </c>
      <c r="Z125" s="160">
        <f ca="1">IF(ISERROR(VLOOKUP($K125,OFFSET(INDIRECT(""&amp;$S$109&amp;"!$A$4"),0,0,200,100),MATCH(Z$110,INDIRECT(""&amp;$S$109&amp;"!$A$4"):INDIRECT(""&amp;$S$109&amp;"!$P$4"),0),FALSE)),"",VLOOKUP($K125,OFFSET(INDIRECT(""&amp;$S$109&amp;"!$A$4"),0,0,200,100),MATCH(Z$110,INDIRECT(""&amp;$S$109&amp;"!$A$4"):INDIRECT(""&amp;$S$109&amp;"!$P$4"),0),FALSE))</f>
        <v>0</v>
      </c>
      <c r="AA125" s="190"/>
      <c r="AC125" s="126"/>
      <c r="AD125" s="126"/>
      <c r="AE125" s="126"/>
      <c r="AF125" s="126"/>
      <c r="AG125" s="126"/>
      <c r="AH125" s="126"/>
      <c r="AI125" s="148"/>
      <c r="AJ125" s="148"/>
      <c r="AK125" s="148"/>
      <c r="AL125" s="148"/>
      <c r="AM125" s="148"/>
      <c r="AN125" s="148"/>
      <c r="AO125" s="126"/>
      <c r="AP125" s="126"/>
      <c r="AQ125" s="126"/>
      <c r="AR125" s="126"/>
      <c r="AS125" s="126"/>
      <c r="AT125" s="72"/>
      <c r="AU125" s="72"/>
      <c r="AV125" s="73"/>
      <c r="AW125" s="73"/>
      <c r="AX125" s="73"/>
      <c r="AY125" s="73"/>
      <c r="AZ125" s="73"/>
      <c r="BA125" s="73"/>
      <c r="BB125" s="73"/>
      <c r="BC125" s="73"/>
      <c r="BD125" s="73"/>
      <c r="BE125" s="73"/>
      <c r="BF125" s="73"/>
    </row>
    <row r="126" spans="1:58" s="128" customFormat="1" ht="15.95" customHeight="1">
      <c r="A126" s="111" t="s">
        <v>315</v>
      </c>
      <c r="B126" s="111" t="s">
        <v>359</v>
      </c>
      <c r="C126" s="74">
        <f ca="1">IF(ISERROR(VLOOKUP($B126,OFFSET(INDIRECT(""&amp;$B$109&amp;"!$A$4"),0,0,200,100),MATCH(C$110,INDIRECT(""&amp;$B$109&amp;"!$A$4"):INDIRECT(""&amp;$B$109&amp;"!$o$4"),0),FALSE)),"",VLOOKUP($B126,OFFSET(INDIRECT(""&amp;$B$109&amp;"!$A$4"),0,0,200,100),MATCH(C$110,INDIRECT(""&amp;$B$109&amp;"!$A$4"):INDIRECT(""&amp;$B$109&amp;"!$o$4"),0),FALSE))</f>
        <v>-9689.9786920000006</v>
      </c>
      <c r="D126" s="74">
        <f ca="1">IF(ISERROR(VLOOKUP($B126,OFFSET(INDIRECT(""&amp;$B$109&amp;"!$A$4"),0,0,200,100),MATCH(D$110,INDIRECT(""&amp;$B$109&amp;"!$A$4"):INDIRECT(""&amp;$B$109&amp;"!$o$4"),0),FALSE)),"",VLOOKUP($B126,OFFSET(INDIRECT(""&amp;$B$109&amp;"!$A$4"),0,0,200,100),MATCH(D$110,INDIRECT(""&amp;$B$109&amp;"!$A$4"):INDIRECT(""&amp;$B$109&amp;"!$o$4"),0),FALSE))</f>
        <v>-10914.071647000001</v>
      </c>
      <c r="E126" s="74">
        <f ca="1">IF(ISERROR(VLOOKUP($B126,OFFSET(INDIRECT(""&amp;$B$109&amp;"!$A$4"),0,0,200,100),MATCH(E$110,INDIRECT(""&amp;$B$109&amp;"!$A$4"):INDIRECT(""&amp;$B$109&amp;"!$o$4"),0),FALSE)),"",VLOOKUP($B126,OFFSET(INDIRECT(""&amp;$B$109&amp;"!$A$4"),0,0,200,100),MATCH(E$110,INDIRECT(""&amp;$B$109&amp;"!$A$4"):INDIRECT(""&amp;$B$109&amp;"!$o$4"),0),FALSE))</f>
        <v>-940.64139899999998</v>
      </c>
      <c r="F126" s="74">
        <f ca="1">IF(ISERROR(VLOOKUP($B126,OFFSET(INDIRECT(""&amp;$B$109&amp;"!$A$4"),0,0,200,100),MATCH(F$110,INDIRECT(""&amp;$B$109&amp;"!$A$4"):INDIRECT(""&amp;$B$109&amp;"!$o$4"),0),FALSE)),"",VLOOKUP($B126,OFFSET(INDIRECT(""&amp;$B$109&amp;"!$A$4"),0,0,200,100),MATCH(F$110,INDIRECT(""&amp;$B$109&amp;"!$A$4"):INDIRECT(""&amp;$B$109&amp;"!$o$4"),0),FALSE))</f>
        <v>-25446.804536</v>
      </c>
      <c r="G126" s="74">
        <f ca="1">IF(ISERROR(VLOOKUP($B126,OFFSET(INDIRECT(""&amp;$B$109&amp;"!$A$4"),0,0,200,100),MATCH(G$110,INDIRECT(""&amp;$B$109&amp;"!$A$4"):INDIRECT(""&amp;$B$109&amp;"!$o$4"),0),FALSE)),"",VLOOKUP($B126,OFFSET(INDIRECT(""&amp;$B$109&amp;"!$A$4"),0,0,200,100),MATCH(G$110,INDIRECT(""&amp;$B$109&amp;"!$A$4"):INDIRECT(""&amp;$B$109&amp;"!$o$4"),0),FALSE))</f>
        <v>-5114.8990229999999</v>
      </c>
      <c r="H126" s="74">
        <f ca="1">IF(ISERROR(VLOOKUP($B126,OFFSET(INDIRECT(""&amp;$B$109&amp;"!$A$4"),0,0,200,100),MATCH(H$110,INDIRECT(""&amp;$B$109&amp;"!$A$4"):INDIRECT(""&amp;$B$109&amp;"!$o$4"),0),FALSE)),"",VLOOKUP($B126,OFFSET(INDIRECT(""&amp;$B$109&amp;"!$A$4"),0,0,200,100),MATCH(H$110,INDIRECT(""&amp;$B$109&amp;"!$A$4"):INDIRECT(""&amp;$B$109&amp;"!$o$4"),0),FALSE))</f>
        <v>-11403.231698</v>
      </c>
      <c r="I126" s="74">
        <f ca="1">IF(ISERROR(VLOOKUP($B126,OFFSET(INDIRECT(""&amp;$B$109&amp;"!$A$4"),0,0,200,100),MATCH(I$110,INDIRECT(""&amp;$B$109&amp;"!$A$4"):INDIRECT(""&amp;$B$109&amp;"!$o$4"),0),FALSE)),"",VLOOKUP($B126,OFFSET(INDIRECT(""&amp;$B$109&amp;"!$A$4"),0,0,200,100),MATCH(I$110,INDIRECT(""&amp;$B$109&amp;"!$A$4"):INDIRECT(""&amp;$B$109&amp;"!$o$4"),0),FALSE))</f>
        <v>-2454.0623660000001</v>
      </c>
      <c r="J126" s="74">
        <f ca="1">IF(ISERROR(VLOOKUP($B126,OFFSET(INDIRECT(""&amp;$B$109&amp;"!$A$4"),0,0,200,100),MATCH(J$110,INDIRECT(""&amp;$B$109&amp;"!$A$4"):INDIRECT(""&amp;$B$109&amp;"!$o$4"),0),FALSE)),"",VLOOKUP($B126,OFFSET(INDIRECT(""&amp;$B$109&amp;"!$A$4"),0,0,200,100),MATCH(J$110,INDIRECT(""&amp;$B$109&amp;"!$A$4"):INDIRECT(""&amp;$B$109&amp;"!$o$4"),0),FALSE))</f>
        <v>-2454.0623660000001</v>
      </c>
      <c r="K126" s="129" t="s">
        <v>359</v>
      </c>
      <c r="L126" s="190">
        <f ca="1">IF(ISERROR(VLOOKUP($K126,OFFSET(INDIRECT(""&amp;$S$109&amp;"!$A$4"),0,0,200,100),MATCH(L$110,INDIRECT(""&amp;$S$109&amp;"!$A$4"):INDIRECT(""&amp;$S$109&amp;"!$o$4"),0),FALSE)),"",VLOOKUP($K126,OFFSET(INDIRECT(""&amp;$S$109&amp;"!$A$4"),0,0,200,100),MATCH(L$110,INDIRECT(""&amp;$S$109&amp;"!$A$4"):INDIRECT(""&amp;$S$109&amp;"!$o$4"),0),FALSE))</f>
        <v>0</v>
      </c>
      <c r="M126" s="190">
        <f ca="1">IF(ISERROR(VLOOKUP($K126,OFFSET(INDIRECT(""&amp;$S$109&amp;"!$A$4"),0,0,200,100),MATCH(M$110,INDIRECT(""&amp;$S$109&amp;"!$A$4"):INDIRECT(""&amp;$S$109&amp;"!$o$4"),0),FALSE)),"",VLOOKUP($K126,OFFSET(INDIRECT(""&amp;$S$109&amp;"!$A$4"),0,0,200,100),MATCH(M$110,INDIRECT(""&amp;$S$109&amp;"!$A$4"):INDIRECT(""&amp;$S$109&amp;"!$o$4"),0),FALSE))</f>
        <v>-5436.0831589999998</v>
      </c>
      <c r="N126" s="190">
        <f ca="1">IF(ISERROR(VLOOKUP($K126,OFFSET(INDIRECT(""&amp;$S$109&amp;"!$A$4"),0,0,200,100),MATCH(N$110,INDIRECT(""&amp;$S$109&amp;"!$A$4"):INDIRECT(""&amp;$S$109&amp;"!$o$4"),0),FALSE)),"",VLOOKUP($K126,OFFSET(INDIRECT(""&amp;$S$109&amp;"!$A$4"),0,0,200,100),MATCH(N$110,INDIRECT(""&amp;$S$109&amp;"!$A$4"):INDIRECT(""&amp;$S$109&amp;"!$o$4"),0),FALSE))</f>
        <v>0</v>
      </c>
      <c r="O126" s="190">
        <f ca="1">IF(ISERROR(VLOOKUP($K126,OFFSET(INDIRECT(""&amp;$S$109&amp;"!$A$4"),0,0,200,100),MATCH(O$110,INDIRECT(""&amp;$S$109&amp;"!$A$4"):INDIRECT(""&amp;$S$109&amp;"!$o$4"),0),FALSE)),"",VLOOKUP($K126,OFFSET(INDIRECT(""&amp;$S$109&amp;"!$A$4"),0,0,200,100),MATCH(O$110,INDIRECT(""&amp;$S$109&amp;"!$A$4"):INDIRECT(""&amp;$S$109&amp;"!$o$4"),0),FALSE))</f>
        <v>0</v>
      </c>
      <c r="P126" s="190">
        <f ca="1">IF(ISERROR(VLOOKUP($K126,OFFSET(INDIRECT(""&amp;$S$109&amp;"!$A$4"),0,0,200,100),MATCH(P$110,INDIRECT(""&amp;$S$109&amp;"!$A$4"):INDIRECT(""&amp;$S$109&amp;"!$o$4"),0),FALSE)),"",VLOOKUP($K126,OFFSET(INDIRECT(""&amp;$S$109&amp;"!$A$4"),0,0,200,100),MATCH(P$110,INDIRECT(""&amp;$S$109&amp;"!$A$4"):INDIRECT(""&amp;$S$109&amp;"!$o$4"),0),FALSE))</f>
        <v>0</v>
      </c>
      <c r="Q126" s="190">
        <f ca="1">IF(ISERROR(VLOOKUP($K126,OFFSET(INDIRECT(""&amp;$S$109&amp;"!$A$4"),0,0,200,100),MATCH(Q$110,INDIRECT(""&amp;$S$109&amp;"!$A$4"):INDIRECT(""&amp;$S$109&amp;"!$o$4"),0),FALSE)),"",VLOOKUP($K126,OFFSET(INDIRECT(""&amp;$S$109&amp;"!$A$4"),0,0,200,100),MATCH(Q$110,INDIRECT(""&amp;$S$109&amp;"!$A$4"):INDIRECT(""&amp;$S$109&amp;"!$o$4"),0),FALSE))</f>
        <v>0</v>
      </c>
      <c r="R126" s="190">
        <f ca="1">IF(ISERROR(VLOOKUP($K126,OFFSET(INDIRECT(""&amp;$S$109&amp;"!$A$4"),0,0,200,100),MATCH(R$110,INDIRECT(""&amp;$S$109&amp;"!$A$4"):INDIRECT(""&amp;$S$109&amp;"!$o$4"),0),FALSE)),"",VLOOKUP($K126,OFFSET(INDIRECT(""&amp;$S$109&amp;"!$A$4"),0,0,200,100),MATCH(R$110,INDIRECT(""&amp;$S$109&amp;"!$A$4"):INDIRECT(""&amp;$S$109&amp;"!$o$4"),0),FALSE))</f>
        <v>0</v>
      </c>
      <c r="S126" s="190">
        <f ca="1">IF(ISERROR(VLOOKUP($K126,OFFSET(INDIRECT(""&amp;$S$109&amp;"!$A$4"),0,0,200,100),MATCH(S$110,INDIRECT(""&amp;$S$109&amp;"!$A$4"):INDIRECT(""&amp;$S$109&amp;"!$o$4"),0),FALSE)),"",VLOOKUP($K126,OFFSET(INDIRECT(""&amp;$S$109&amp;"!$A$4"),0,0,200,100),MATCH(S$110,INDIRECT(""&amp;$S$109&amp;"!$A$4"):INDIRECT(""&amp;$S$109&amp;"!$o$4"),0),FALSE))</f>
        <v>0</v>
      </c>
      <c r="T126" s="190">
        <f ca="1">IF(ISERROR(VLOOKUP($K126,OFFSET(INDIRECT(""&amp;$S$109&amp;"!$A$4"),0,0,200,100),MATCH(T$110,INDIRECT(""&amp;$S$109&amp;"!$A$4"):INDIRECT(""&amp;$S$109&amp;"!$o$4"),0),FALSE)),"",VLOOKUP($K126,OFFSET(INDIRECT(""&amp;$S$109&amp;"!$A$4"),0,0,200,100),MATCH(T$110,INDIRECT(""&amp;$S$109&amp;"!$A$4"):INDIRECT(""&amp;$S$109&amp;"!$o$4"),0),FALSE))</f>
        <v>0</v>
      </c>
      <c r="U126" s="190">
        <f ca="1">IF(ISERROR(VLOOKUP($K126,OFFSET(INDIRECT(""&amp;$S$109&amp;"!$A$4"),0,0,200,100),MATCH(U$110,INDIRECT(""&amp;$S$109&amp;"!$A$4"):INDIRECT(""&amp;$S$109&amp;"!$o$4"),0),FALSE)),"",VLOOKUP($K126,OFFSET(INDIRECT(""&amp;$S$109&amp;"!$A$4"),0,0,200,100),MATCH(U$110,INDIRECT(""&amp;$S$109&amp;"!$A$4"):INDIRECT(""&amp;$S$109&amp;"!$o$4"),0),FALSE))</f>
        <v>0</v>
      </c>
      <c r="V126" s="190">
        <f ca="1">IF(ISERROR(VLOOKUP($K126,OFFSET(INDIRECT(""&amp;$S$109&amp;"!$A$4"),0,0,200,100),MATCH(V$110,INDIRECT(""&amp;$S$109&amp;"!$A$4"):INDIRECT(""&amp;$S$109&amp;"!$o$4"),0),FALSE)),"",VLOOKUP($K126,OFFSET(INDIRECT(""&amp;$S$109&amp;"!$A$4"),0,0,200,100),MATCH(V$110,INDIRECT(""&amp;$S$109&amp;"!$A$4"):INDIRECT(""&amp;$S$109&amp;"!$o$4"),0),FALSE))</f>
        <v>0</v>
      </c>
      <c r="W126" s="190">
        <f ca="1">IF(ISERROR(VLOOKUP($K126,OFFSET(INDIRECT(""&amp;$S$109&amp;"!$A$4"),0,0,200,100),MATCH(W$110,INDIRECT(""&amp;$S$109&amp;"!$A$4"):INDIRECT(""&amp;$S$109&amp;"!$o$4"),0),FALSE)),"",VLOOKUP($K126,OFFSET(INDIRECT(""&amp;$S$109&amp;"!$A$4"),0,0,200,100),MATCH(W$110,INDIRECT(""&amp;$S$109&amp;"!$A$4"):INDIRECT(""&amp;$S$109&amp;"!$o$4"),0),FALSE))</f>
        <v>0</v>
      </c>
      <c r="X126" s="190">
        <f ca="1">IF(ISERROR(VLOOKUP($K126,OFFSET(INDIRECT(""&amp;$S$109&amp;"!$A$4"),0,0,200,100),MATCH(X$110,INDIRECT(""&amp;$S$109&amp;"!$A$4"):INDIRECT(""&amp;$S$109&amp;"!$o$4"),0),FALSE)),"",VLOOKUP($K126,OFFSET(INDIRECT(""&amp;$S$109&amp;"!$A$4"),0,0,200,100),MATCH(X$110,INDIRECT(""&amp;$S$109&amp;"!$A$4"):INDIRECT(""&amp;$S$109&amp;"!$o$4"),0),FALSE))</f>
        <v>0</v>
      </c>
      <c r="Y126" s="190">
        <f ca="1">IF(ISERROR(VLOOKUP($K126,OFFSET(INDIRECT(""&amp;$S$109&amp;"!$A$4"),0,0,200,100),MATCH(Y$110,INDIRECT(""&amp;$S$109&amp;"!$A$4"):INDIRECT(""&amp;$S$109&amp;"!$o$4"),0),FALSE)),"",VLOOKUP($K126,OFFSET(INDIRECT(""&amp;$S$109&amp;"!$A$4"),0,0,200,100),MATCH(Y$110,INDIRECT(""&amp;$S$109&amp;"!$A$4"):INDIRECT(""&amp;$S$109&amp;"!$o$4"),0),FALSE))</f>
        <v>0</v>
      </c>
      <c r="Z126" s="160">
        <f ca="1">IF(ISERROR(VLOOKUP($K126,OFFSET(INDIRECT(""&amp;$S$109&amp;"!$A$4"),0,0,200,100),MATCH(Z$110,INDIRECT(""&amp;$S$109&amp;"!$A$4"):INDIRECT(""&amp;$S$109&amp;"!$P$4"),0),FALSE)),"",VLOOKUP($K126,OFFSET(INDIRECT(""&amp;$S$109&amp;"!$A$4"),0,0,200,100),MATCH(Z$110,INDIRECT(""&amp;$S$109&amp;"!$A$4"):INDIRECT(""&amp;$S$109&amp;"!$P$4"),0),FALSE))</f>
        <v>0</v>
      </c>
      <c r="AA126" s="190"/>
      <c r="AC126" s="126"/>
      <c r="AD126" s="126"/>
      <c r="AE126" s="126"/>
      <c r="AF126" s="126"/>
      <c r="AG126" s="126"/>
      <c r="AH126" s="126"/>
      <c r="AI126" s="148"/>
      <c r="AJ126" s="148"/>
      <c r="AK126" s="148"/>
      <c r="AL126" s="148"/>
      <c r="AM126" s="148"/>
      <c r="AN126" s="148"/>
      <c r="AO126" s="126"/>
      <c r="AP126" s="126"/>
      <c r="AQ126" s="126"/>
      <c r="AR126" s="126"/>
      <c r="AS126" s="126"/>
      <c r="AT126" s="72"/>
      <c r="AU126" s="72"/>
      <c r="AV126" s="73"/>
      <c r="AW126" s="73"/>
      <c r="AX126" s="73"/>
      <c r="AY126" s="73"/>
      <c r="AZ126" s="73"/>
      <c r="BA126" s="73"/>
      <c r="BB126" s="73"/>
      <c r="BC126" s="73"/>
      <c r="BD126" s="73"/>
      <c r="BE126" s="73"/>
      <c r="BF126" s="73"/>
    </row>
    <row r="127" spans="1:58" s="128" customFormat="1" ht="15.95" customHeight="1">
      <c r="A127" s="111" t="s">
        <v>316</v>
      </c>
      <c r="B127" s="111" t="s">
        <v>360</v>
      </c>
      <c r="C127" s="74">
        <f ca="1">IF(ISERROR(VLOOKUP($B127,OFFSET(INDIRECT(""&amp;$B$109&amp;"!$A$4"),0,0,200,100),MATCH(C$110,INDIRECT(""&amp;$B$109&amp;"!$A$4"):INDIRECT(""&amp;$B$109&amp;"!$o$4"),0),FALSE)),"",VLOOKUP($B127,OFFSET(INDIRECT(""&amp;$B$109&amp;"!$A$4"),0,0,200,100),MATCH(C$110,INDIRECT(""&amp;$B$109&amp;"!$A$4"):INDIRECT(""&amp;$B$109&amp;"!$o$4"),0),FALSE))</f>
        <v>0</v>
      </c>
      <c r="D127" s="74">
        <f ca="1">IF(ISERROR(VLOOKUP($B127,OFFSET(INDIRECT(""&amp;$B$109&amp;"!$A$4"),0,0,200,100),MATCH(D$110,INDIRECT(""&amp;$B$109&amp;"!$A$4"):INDIRECT(""&amp;$B$109&amp;"!$o$4"),0),FALSE)),"",VLOOKUP($B127,OFFSET(INDIRECT(""&amp;$B$109&amp;"!$A$4"),0,0,200,100),MATCH(D$110,INDIRECT(""&amp;$B$109&amp;"!$A$4"):INDIRECT(""&amp;$B$109&amp;"!$o$4"),0),FALSE))</f>
        <v>0</v>
      </c>
      <c r="E127" s="74">
        <f ca="1">IF(ISERROR(VLOOKUP($B127,OFFSET(INDIRECT(""&amp;$B$109&amp;"!$A$4"),0,0,200,100),MATCH(E$110,INDIRECT(""&amp;$B$109&amp;"!$A$4"):INDIRECT(""&amp;$B$109&amp;"!$o$4"),0),FALSE)),"",VLOOKUP($B127,OFFSET(INDIRECT(""&amp;$B$109&amp;"!$A$4"),0,0,200,100),MATCH(E$110,INDIRECT(""&amp;$B$109&amp;"!$A$4"):INDIRECT(""&amp;$B$109&amp;"!$o$4"),0),FALSE))</f>
        <v>0</v>
      </c>
      <c r="F127" s="74">
        <f ca="1">IF(ISERROR(VLOOKUP($B127,OFFSET(INDIRECT(""&amp;$B$109&amp;"!$A$4"),0,0,200,100),MATCH(F$110,INDIRECT(""&amp;$B$109&amp;"!$A$4"):INDIRECT(""&amp;$B$109&amp;"!$o$4"),0),FALSE)),"",VLOOKUP($B127,OFFSET(INDIRECT(""&amp;$B$109&amp;"!$A$4"),0,0,200,100),MATCH(F$110,INDIRECT(""&amp;$B$109&amp;"!$A$4"):INDIRECT(""&amp;$B$109&amp;"!$o$4"),0),FALSE))</f>
        <v>0</v>
      </c>
      <c r="G127" s="74">
        <f ca="1">IF(ISERROR(VLOOKUP($B127,OFFSET(INDIRECT(""&amp;$B$109&amp;"!$A$4"),0,0,200,100),MATCH(G$110,INDIRECT(""&amp;$B$109&amp;"!$A$4"):INDIRECT(""&amp;$B$109&amp;"!$o$4"),0),FALSE)),"",VLOOKUP($B127,OFFSET(INDIRECT(""&amp;$B$109&amp;"!$A$4"),0,0,200,100),MATCH(G$110,INDIRECT(""&amp;$B$109&amp;"!$A$4"):INDIRECT(""&amp;$B$109&amp;"!$o$4"),0),FALSE))</f>
        <v>0</v>
      </c>
      <c r="H127" s="74">
        <f ca="1">IF(ISERROR(VLOOKUP($B127,OFFSET(INDIRECT(""&amp;$B$109&amp;"!$A$4"),0,0,200,100),MATCH(H$110,INDIRECT(""&amp;$B$109&amp;"!$A$4"):INDIRECT(""&amp;$B$109&amp;"!$o$4"),0),FALSE)),"",VLOOKUP($B127,OFFSET(INDIRECT(""&amp;$B$109&amp;"!$A$4"),0,0,200,100),MATCH(H$110,INDIRECT(""&amp;$B$109&amp;"!$A$4"):INDIRECT(""&amp;$B$109&amp;"!$o$4"),0),FALSE))</f>
        <v>0</v>
      </c>
      <c r="I127" s="74">
        <f ca="1">IF(ISERROR(VLOOKUP($B127,OFFSET(INDIRECT(""&amp;$B$109&amp;"!$A$4"),0,0,200,100),MATCH(I$110,INDIRECT(""&amp;$B$109&amp;"!$A$4"):INDIRECT(""&amp;$B$109&amp;"!$o$4"),0),FALSE)),"",VLOOKUP($B127,OFFSET(INDIRECT(""&amp;$B$109&amp;"!$A$4"),0,0,200,100),MATCH(I$110,INDIRECT(""&amp;$B$109&amp;"!$A$4"):INDIRECT(""&amp;$B$109&amp;"!$o$4"),0),FALSE))</f>
        <v>0</v>
      </c>
      <c r="J127" s="74">
        <f ca="1">IF(ISERROR(VLOOKUP($B127,OFFSET(INDIRECT(""&amp;$B$109&amp;"!$A$4"),0,0,200,100),MATCH(J$110,INDIRECT(""&amp;$B$109&amp;"!$A$4"):INDIRECT(""&amp;$B$109&amp;"!$o$4"),0),FALSE)),"",VLOOKUP($B127,OFFSET(INDIRECT(""&amp;$B$109&amp;"!$A$4"),0,0,200,100),MATCH(J$110,INDIRECT(""&amp;$B$109&amp;"!$A$4"):INDIRECT(""&amp;$B$109&amp;"!$o$4"),0),FALSE))</f>
        <v>0</v>
      </c>
      <c r="K127" s="129" t="s">
        <v>360</v>
      </c>
      <c r="L127" s="190">
        <f ca="1">IF(ISERROR(VLOOKUP($K127,OFFSET(INDIRECT(""&amp;$S$109&amp;"!$A$4"),0,0,200,100),MATCH(L$110,INDIRECT(""&amp;$S$109&amp;"!$A$4"):INDIRECT(""&amp;$S$109&amp;"!$o$4"),0),FALSE)),"",VLOOKUP($K127,OFFSET(INDIRECT(""&amp;$S$109&amp;"!$A$4"),0,0,200,100),MATCH(L$110,INDIRECT(""&amp;$S$109&amp;"!$A$4"):INDIRECT(""&amp;$S$109&amp;"!$o$4"),0),FALSE))</f>
        <v>0</v>
      </c>
      <c r="M127" s="190">
        <f ca="1">IF(ISERROR(VLOOKUP($K127,OFFSET(INDIRECT(""&amp;$S$109&amp;"!$A$4"),0,0,200,100),MATCH(M$110,INDIRECT(""&amp;$S$109&amp;"!$A$4"):INDIRECT(""&amp;$S$109&amp;"!$o$4"),0),FALSE)),"",VLOOKUP($K127,OFFSET(INDIRECT(""&amp;$S$109&amp;"!$A$4"),0,0,200,100),MATCH(M$110,INDIRECT(""&amp;$S$109&amp;"!$A$4"):INDIRECT(""&amp;$S$109&amp;"!$o$4"),0),FALSE))</f>
        <v>0</v>
      </c>
      <c r="N127" s="190">
        <f ca="1">IF(ISERROR(VLOOKUP($K127,OFFSET(INDIRECT(""&amp;$S$109&amp;"!$A$4"),0,0,200,100),MATCH(N$110,INDIRECT(""&amp;$S$109&amp;"!$A$4"):INDIRECT(""&amp;$S$109&amp;"!$o$4"),0),FALSE)),"",VLOOKUP($K127,OFFSET(INDIRECT(""&amp;$S$109&amp;"!$A$4"),0,0,200,100),MATCH(N$110,INDIRECT(""&amp;$S$109&amp;"!$A$4"):INDIRECT(""&amp;$S$109&amp;"!$o$4"),0),FALSE))</f>
        <v>0</v>
      </c>
      <c r="O127" s="190">
        <f ca="1">IF(ISERROR(VLOOKUP($K127,OFFSET(INDIRECT(""&amp;$S$109&amp;"!$A$4"),0,0,200,100),MATCH(O$110,INDIRECT(""&amp;$S$109&amp;"!$A$4"):INDIRECT(""&amp;$S$109&amp;"!$o$4"),0),FALSE)),"",VLOOKUP($K127,OFFSET(INDIRECT(""&amp;$S$109&amp;"!$A$4"),0,0,200,100),MATCH(O$110,INDIRECT(""&amp;$S$109&amp;"!$A$4"):INDIRECT(""&amp;$S$109&amp;"!$o$4"),0),FALSE))</f>
        <v>0</v>
      </c>
      <c r="P127" s="190">
        <f ca="1">IF(ISERROR(VLOOKUP($K127,OFFSET(INDIRECT(""&amp;$S$109&amp;"!$A$4"),0,0,200,100),MATCH(P$110,INDIRECT(""&amp;$S$109&amp;"!$A$4"):INDIRECT(""&amp;$S$109&amp;"!$o$4"),0),FALSE)),"",VLOOKUP($K127,OFFSET(INDIRECT(""&amp;$S$109&amp;"!$A$4"),0,0,200,100),MATCH(P$110,INDIRECT(""&amp;$S$109&amp;"!$A$4"):INDIRECT(""&amp;$S$109&amp;"!$o$4"),0),FALSE))</f>
        <v>0</v>
      </c>
      <c r="Q127" s="190">
        <f ca="1">IF(ISERROR(VLOOKUP($K127,OFFSET(INDIRECT(""&amp;$S$109&amp;"!$A$4"),0,0,200,100),MATCH(Q$110,INDIRECT(""&amp;$S$109&amp;"!$A$4"):INDIRECT(""&amp;$S$109&amp;"!$o$4"),0),FALSE)),"",VLOOKUP($K127,OFFSET(INDIRECT(""&amp;$S$109&amp;"!$A$4"),0,0,200,100),MATCH(Q$110,INDIRECT(""&amp;$S$109&amp;"!$A$4"):INDIRECT(""&amp;$S$109&amp;"!$o$4"),0),FALSE))</f>
        <v>0</v>
      </c>
      <c r="R127" s="190">
        <f ca="1">IF(ISERROR(VLOOKUP($K127,OFFSET(INDIRECT(""&amp;$S$109&amp;"!$A$4"),0,0,200,100),MATCH(R$110,INDIRECT(""&amp;$S$109&amp;"!$A$4"):INDIRECT(""&amp;$S$109&amp;"!$o$4"),0),FALSE)),"",VLOOKUP($K127,OFFSET(INDIRECT(""&amp;$S$109&amp;"!$A$4"),0,0,200,100),MATCH(R$110,INDIRECT(""&amp;$S$109&amp;"!$A$4"):INDIRECT(""&amp;$S$109&amp;"!$o$4"),0),FALSE))</f>
        <v>0</v>
      </c>
      <c r="S127" s="190">
        <f ca="1">IF(ISERROR(VLOOKUP($K127,OFFSET(INDIRECT(""&amp;$S$109&amp;"!$A$4"),0,0,200,100),MATCH(S$110,INDIRECT(""&amp;$S$109&amp;"!$A$4"):INDIRECT(""&amp;$S$109&amp;"!$o$4"),0),FALSE)),"",VLOOKUP($K127,OFFSET(INDIRECT(""&amp;$S$109&amp;"!$A$4"),0,0,200,100),MATCH(S$110,INDIRECT(""&amp;$S$109&amp;"!$A$4"):INDIRECT(""&amp;$S$109&amp;"!$o$4"),0),FALSE))</f>
        <v>0</v>
      </c>
      <c r="T127" s="190">
        <f ca="1">IF(ISERROR(VLOOKUP($K127,OFFSET(INDIRECT(""&amp;$S$109&amp;"!$A$4"),0,0,200,100),MATCH(T$110,INDIRECT(""&amp;$S$109&amp;"!$A$4"):INDIRECT(""&amp;$S$109&amp;"!$o$4"),0),FALSE)),"",VLOOKUP($K127,OFFSET(INDIRECT(""&amp;$S$109&amp;"!$A$4"),0,0,200,100),MATCH(T$110,INDIRECT(""&amp;$S$109&amp;"!$A$4"):INDIRECT(""&amp;$S$109&amp;"!$o$4"),0),FALSE))</f>
        <v>0</v>
      </c>
      <c r="U127" s="190">
        <f ca="1">IF(ISERROR(VLOOKUP($K127,OFFSET(INDIRECT(""&amp;$S$109&amp;"!$A$4"),0,0,200,100),MATCH(U$110,INDIRECT(""&amp;$S$109&amp;"!$A$4"):INDIRECT(""&amp;$S$109&amp;"!$o$4"),0),FALSE)),"",VLOOKUP($K127,OFFSET(INDIRECT(""&amp;$S$109&amp;"!$A$4"),0,0,200,100),MATCH(U$110,INDIRECT(""&amp;$S$109&amp;"!$A$4"):INDIRECT(""&amp;$S$109&amp;"!$o$4"),0),FALSE))</f>
        <v>0</v>
      </c>
      <c r="V127" s="190">
        <f ca="1">IF(ISERROR(VLOOKUP($K127,OFFSET(INDIRECT(""&amp;$S$109&amp;"!$A$4"),0,0,200,100),MATCH(V$110,INDIRECT(""&amp;$S$109&amp;"!$A$4"):INDIRECT(""&amp;$S$109&amp;"!$o$4"),0),FALSE)),"",VLOOKUP($K127,OFFSET(INDIRECT(""&amp;$S$109&amp;"!$A$4"),0,0,200,100),MATCH(V$110,INDIRECT(""&amp;$S$109&amp;"!$A$4"):INDIRECT(""&amp;$S$109&amp;"!$o$4"),0),FALSE))</f>
        <v>0</v>
      </c>
      <c r="W127" s="190">
        <f ca="1">IF(ISERROR(VLOOKUP($K127,OFFSET(INDIRECT(""&amp;$S$109&amp;"!$A$4"),0,0,200,100),MATCH(W$110,INDIRECT(""&amp;$S$109&amp;"!$A$4"):INDIRECT(""&amp;$S$109&amp;"!$o$4"),0),FALSE)),"",VLOOKUP($K127,OFFSET(INDIRECT(""&amp;$S$109&amp;"!$A$4"),0,0,200,100),MATCH(W$110,INDIRECT(""&amp;$S$109&amp;"!$A$4"):INDIRECT(""&amp;$S$109&amp;"!$o$4"),0),FALSE))</f>
        <v>0</v>
      </c>
      <c r="X127" s="190">
        <f ca="1">IF(ISERROR(VLOOKUP($K127,OFFSET(INDIRECT(""&amp;$S$109&amp;"!$A$4"),0,0,200,100),MATCH(X$110,INDIRECT(""&amp;$S$109&amp;"!$A$4"):INDIRECT(""&amp;$S$109&amp;"!$o$4"),0),FALSE)),"",VLOOKUP($K127,OFFSET(INDIRECT(""&amp;$S$109&amp;"!$A$4"),0,0,200,100),MATCH(X$110,INDIRECT(""&amp;$S$109&amp;"!$A$4"):INDIRECT(""&amp;$S$109&amp;"!$o$4"),0),FALSE))</f>
        <v>0</v>
      </c>
      <c r="Y127" s="190">
        <f ca="1">IF(ISERROR(VLOOKUP($K127,OFFSET(INDIRECT(""&amp;$S$109&amp;"!$A$4"),0,0,200,100),MATCH(Y$110,INDIRECT(""&amp;$S$109&amp;"!$A$4"):INDIRECT(""&amp;$S$109&amp;"!$o$4"),0),FALSE)),"",VLOOKUP($K127,OFFSET(INDIRECT(""&amp;$S$109&amp;"!$A$4"),0,0,200,100),MATCH(Y$110,INDIRECT(""&amp;$S$109&amp;"!$A$4"):INDIRECT(""&amp;$S$109&amp;"!$o$4"),0),FALSE))</f>
        <v>0</v>
      </c>
      <c r="Z127" s="160">
        <f ca="1">IF(ISERROR(VLOOKUP($K127,OFFSET(INDIRECT(""&amp;$S$109&amp;"!$A$4"),0,0,200,100),MATCH(Z$110,INDIRECT(""&amp;$S$109&amp;"!$A$4"):INDIRECT(""&amp;$S$109&amp;"!$P$4"),0),FALSE)),"",VLOOKUP($K127,OFFSET(INDIRECT(""&amp;$S$109&amp;"!$A$4"),0,0,200,100),MATCH(Z$110,INDIRECT(""&amp;$S$109&amp;"!$A$4"):INDIRECT(""&amp;$S$109&amp;"!$P$4"),0),FALSE))</f>
        <v>0</v>
      </c>
      <c r="AA127" s="190"/>
      <c r="AC127" s="126"/>
      <c r="AD127" s="126"/>
      <c r="AE127" s="126"/>
      <c r="AF127" s="126"/>
      <c r="AG127" s="126"/>
      <c r="AH127" s="126"/>
      <c r="AI127" s="148"/>
      <c r="AJ127" s="148"/>
      <c r="AK127" s="148"/>
      <c r="AL127" s="148"/>
      <c r="AM127" s="148"/>
      <c r="AN127" s="148"/>
      <c r="AO127" s="126"/>
      <c r="AP127" s="126"/>
      <c r="AQ127" s="126"/>
      <c r="AR127" s="126"/>
      <c r="AS127" s="126"/>
      <c r="AT127" s="72"/>
      <c r="AU127" s="72"/>
      <c r="AV127" s="73"/>
      <c r="AW127" s="73"/>
      <c r="AX127" s="73"/>
      <c r="AY127" s="73"/>
      <c r="AZ127" s="73"/>
      <c r="BA127" s="73"/>
      <c r="BB127" s="73"/>
      <c r="BC127" s="73"/>
      <c r="BD127" s="73"/>
      <c r="BE127" s="73"/>
      <c r="BF127" s="73"/>
    </row>
    <row r="128" spans="1:58" s="128" customFormat="1" ht="15.95" customHeight="1">
      <c r="A128" s="111" t="s">
        <v>317</v>
      </c>
      <c r="B128" s="111" t="s">
        <v>361</v>
      </c>
      <c r="C128" s="74">
        <f ca="1">IF(ISERROR(VLOOKUP($B128,OFFSET(INDIRECT(""&amp;$B$109&amp;"!$A$4"),0,0,200,100),MATCH(C$110,INDIRECT(""&amp;$B$109&amp;"!$A$4"):INDIRECT(""&amp;$B$109&amp;"!$o$4"),0),FALSE)),"",VLOOKUP($B128,OFFSET(INDIRECT(""&amp;$B$109&amp;"!$A$4"),0,0,200,100),MATCH(C$110,INDIRECT(""&amp;$B$109&amp;"!$A$4"):INDIRECT(""&amp;$B$109&amp;"!$o$4"),0),FALSE))</f>
        <v>-2413.3059189999999</v>
      </c>
      <c r="D128" s="74">
        <f ca="1">IF(ISERROR(VLOOKUP($B128,OFFSET(INDIRECT(""&amp;$B$109&amp;"!$A$4"),0,0,200,100),MATCH(D$110,INDIRECT(""&amp;$B$109&amp;"!$A$4"):INDIRECT(""&amp;$B$109&amp;"!$o$4"),0),FALSE)),"",VLOOKUP($B128,OFFSET(INDIRECT(""&amp;$B$109&amp;"!$A$4"),0,0,200,100),MATCH(D$110,INDIRECT(""&amp;$B$109&amp;"!$A$4"):INDIRECT(""&amp;$B$109&amp;"!$o$4"),0),FALSE))</f>
        <v>-2753.3512209999999</v>
      </c>
      <c r="E128" s="74">
        <f ca="1">IF(ISERROR(VLOOKUP($B128,OFFSET(INDIRECT(""&amp;$B$109&amp;"!$A$4"),0,0,200,100),MATCH(E$110,INDIRECT(""&amp;$B$109&amp;"!$A$4"):INDIRECT(""&amp;$B$109&amp;"!$o$4"),0),FALSE)),"",VLOOKUP($B128,OFFSET(INDIRECT(""&amp;$B$109&amp;"!$A$4"),0,0,200,100),MATCH(E$110,INDIRECT(""&amp;$B$109&amp;"!$A$4"):INDIRECT(""&amp;$B$109&amp;"!$o$4"),0),FALSE))</f>
        <v>-4044.5250000000001</v>
      </c>
      <c r="F128" s="74">
        <f ca="1">IF(ISERROR(VLOOKUP($B128,OFFSET(INDIRECT(""&amp;$B$109&amp;"!$A$4"),0,0,200,100),MATCH(F$110,INDIRECT(""&amp;$B$109&amp;"!$A$4"):INDIRECT(""&amp;$B$109&amp;"!$o$4"),0),FALSE)),"",VLOOKUP($B128,OFFSET(INDIRECT(""&amp;$B$109&amp;"!$A$4"),0,0,200,100),MATCH(F$110,INDIRECT(""&amp;$B$109&amp;"!$A$4"):INDIRECT(""&amp;$B$109&amp;"!$o$4"),0),FALSE))</f>
        <v>-6970.4535830000004</v>
      </c>
      <c r="G128" s="74">
        <f ca="1">IF(ISERROR(VLOOKUP($B128,OFFSET(INDIRECT(""&amp;$B$109&amp;"!$A$4"),0,0,200,100),MATCH(G$110,INDIRECT(""&amp;$B$109&amp;"!$A$4"):INDIRECT(""&amp;$B$109&amp;"!$o$4"),0),FALSE)),"",VLOOKUP($B128,OFFSET(INDIRECT(""&amp;$B$109&amp;"!$A$4"),0,0,200,100),MATCH(G$110,INDIRECT(""&amp;$B$109&amp;"!$A$4"):INDIRECT(""&amp;$B$109&amp;"!$o$4"),0),FALSE))</f>
        <v>-7598.9095900000002</v>
      </c>
      <c r="H128" s="74">
        <f ca="1">IF(ISERROR(VLOOKUP($B128,OFFSET(INDIRECT(""&amp;$B$109&amp;"!$A$4"),0,0,200,100),MATCH(H$110,INDIRECT(""&amp;$B$109&amp;"!$A$4"):INDIRECT(""&amp;$B$109&amp;"!$o$4"),0),FALSE)),"",VLOOKUP($B128,OFFSET(INDIRECT(""&amp;$B$109&amp;"!$A$4"),0,0,200,100),MATCH(H$110,INDIRECT(""&amp;$B$109&amp;"!$A$4"):INDIRECT(""&amp;$B$109&amp;"!$o$4"),0),FALSE))</f>
        <v>-3510.2820969999998</v>
      </c>
      <c r="I128" s="74">
        <f ca="1">IF(ISERROR(VLOOKUP($B128,OFFSET(INDIRECT(""&amp;$B$109&amp;"!$A$4"),0,0,200,100),MATCH(I$110,INDIRECT(""&amp;$B$109&amp;"!$A$4"):INDIRECT(""&amp;$B$109&amp;"!$o$4"),0),FALSE)),"",VLOOKUP($B128,OFFSET(INDIRECT(""&amp;$B$109&amp;"!$A$4"),0,0,200,100),MATCH(I$110,INDIRECT(""&amp;$B$109&amp;"!$A$4"):INDIRECT(""&amp;$B$109&amp;"!$o$4"),0),FALSE))</f>
        <v>-3875.3020750000001</v>
      </c>
      <c r="J128" s="74">
        <f ca="1">IF(ISERROR(VLOOKUP($B128,OFFSET(INDIRECT(""&amp;$B$109&amp;"!$A$4"),0,0,200,100),MATCH(J$110,INDIRECT(""&amp;$B$109&amp;"!$A$4"):INDIRECT(""&amp;$B$109&amp;"!$o$4"),0),FALSE)),"",VLOOKUP($B128,OFFSET(INDIRECT(""&amp;$B$109&amp;"!$A$4"),0,0,200,100),MATCH(J$110,INDIRECT(""&amp;$B$109&amp;"!$A$4"):INDIRECT(""&amp;$B$109&amp;"!$o$4"),0),FALSE))</f>
        <v>-3875.3020750000001</v>
      </c>
      <c r="K128" s="129" t="s">
        <v>361</v>
      </c>
      <c r="L128" s="190">
        <f ca="1">IF(ISERROR(VLOOKUP($K128,OFFSET(INDIRECT(""&amp;$S$109&amp;"!$A$4"),0,0,200,100),MATCH(L$110,INDIRECT(""&amp;$S$109&amp;"!$A$4"):INDIRECT(""&amp;$S$109&amp;"!$o$4"),0),FALSE)),"",VLOOKUP($K128,OFFSET(INDIRECT(""&amp;$S$109&amp;"!$A$4"),0,0,200,100),MATCH(L$110,INDIRECT(""&amp;$S$109&amp;"!$A$4"):INDIRECT(""&amp;$S$109&amp;"!$o$4"),0),FALSE))</f>
        <v>0</v>
      </c>
      <c r="M128" s="190">
        <f ca="1">IF(ISERROR(VLOOKUP($K128,OFFSET(INDIRECT(""&amp;$S$109&amp;"!$A$4"),0,0,200,100),MATCH(M$110,INDIRECT(""&amp;$S$109&amp;"!$A$4"):INDIRECT(""&amp;$S$109&amp;"!$o$4"),0),FALSE)),"",VLOOKUP($K128,OFFSET(INDIRECT(""&amp;$S$109&amp;"!$A$4"),0,0,200,100),MATCH(M$110,INDIRECT(""&amp;$S$109&amp;"!$A$4"):INDIRECT(""&amp;$S$109&amp;"!$o$4"),0),FALSE))</f>
        <v>-5242.1965829999999</v>
      </c>
      <c r="N128" s="190">
        <f ca="1">IF(ISERROR(VLOOKUP($K128,OFFSET(INDIRECT(""&amp;$S$109&amp;"!$A$4"),0,0,200,100),MATCH(N$110,INDIRECT(""&amp;$S$109&amp;"!$A$4"):INDIRECT(""&amp;$S$109&amp;"!$o$4"),0),FALSE)),"",VLOOKUP($K128,OFFSET(INDIRECT(""&amp;$S$109&amp;"!$A$4"),0,0,200,100),MATCH(N$110,INDIRECT(""&amp;$S$109&amp;"!$A$4"):INDIRECT(""&amp;$S$109&amp;"!$o$4"),0),FALSE))</f>
        <v>0</v>
      </c>
      <c r="O128" s="190">
        <f ca="1">IF(ISERROR(VLOOKUP($K128,OFFSET(INDIRECT(""&amp;$S$109&amp;"!$A$4"),0,0,200,100),MATCH(O$110,INDIRECT(""&amp;$S$109&amp;"!$A$4"):INDIRECT(""&amp;$S$109&amp;"!$o$4"),0),FALSE)),"",VLOOKUP($K128,OFFSET(INDIRECT(""&amp;$S$109&amp;"!$A$4"),0,0,200,100),MATCH(O$110,INDIRECT(""&amp;$S$109&amp;"!$A$4"):INDIRECT(""&amp;$S$109&amp;"!$o$4"),0),FALSE))</f>
        <v>0</v>
      </c>
      <c r="P128" s="190">
        <f ca="1">IF(ISERROR(VLOOKUP($K128,OFFSET(INDIRECT(""&amp;$S$109&amp;"!$A$4"),0,0,200,100),MATCH(P$110,INDIRECT(""&amp;$S$109&amp;"!$A$4"):INDIRECT(""&amp;$S$109&amp;"!$o$4"),0),FALSE)),"",VLOOKUP($K128,OFFSET(INDIRECT(""&amp;$S$109&amp;"!$A$4"),0,0,200,100),MATCH(P$110,INDIRECT(""&amp;$S$109&amp;"!$A$4"):INDIRECT(""&amp;$S$109&amp;"!$o$4"),0),FALSE))</f>
        <v>0</v>
      </c>
      <c r="Q128" s="190">
        <f ca="1">IF(ISERROR(VLOOKUP($K128,OFFSET(INDIRECT(""&amp;$S$109&amp;"!$A$4"),0,0,200,100),MATCH(Q$110,INDIRECT(""&amp;$S$109&amp;"!$A$4"):INDIRECT(""&amp;$S$109&amp;"!$o$4"),0),FALSE)),"",VLOOKUP($K128,OFFSET(INDIRECT(""&amp;$S$109&amp;"!$A$4"),0,0,200,100),MATCH(Q$110,INDIRECT(""&amp;$S$109&amp;"!$A$4"):INDIRECT(""&amp;$S$109&amp;"!$o$4"),0),FALSE))</f>
        <v>0</v>
      </c>
      <c r="R128" s="190">
        <f ca="1">IF(ISERROR(VLOOKUP($K128,OFFSET(INDIRECT(""&amp;$S$109&amp;"!$A$4"),0,0,200,100),MATCH(R$110,INDIRECT(""&amp;$S$109&amp;"!$A$4"):INDIRECT(""&amp;$S$109&amp;"!$o$4"),0),FALSE)),"",VLOOKUP($K128,OFFSET(INDIRECT(""&amp;$S$109&amp;"!$A$4"),0,0,200,100),MATCH(R$110,INDIRECT(""&amp;$S$109&amp;"!$A$4"):INDIRECT(""&amp;$S$109&amp;"!$o$4"),0),FALSE))</f>
        <v>0</v>
      </c>
      <c r="S128" s="190">
        <f ca="1">IF(ISERROR(VLOOKUP($K128,OFFSET(INDIRECT(""&amp;$S$109&amp;"!$A$4"),0,0,200,100),MATCH(S$110,INDIRECT(""&amp;$S$109&amp;"!$A$4"):INDIRECT(""&amp;$S$109&amp;"!$o$4"),0),FALSE)),"",VLOOKUP($K128,OFFSET(INDIRECT(""&amp;$S$109&amp;"!$A$4"),0,0,200,100),MATCH(S$110,INDIRECT(""&amp;$S$109&amp;"!$A$4"):INDIRECT(""&amp;$S$109&amp;"!$o$4"),0),FALSE))</f>
        <v>0</v>
      </c>
      <c r="T128" s="190">
        <f ca="1">IF(ISERROR(VLOOKUP($K128,OFFSET(INDIRECT(""&amp;$S$109&amp;"!$A$4"),0,0,200,100),MATCH(T$110,INDIRECT(""&amp;$S$109&amp;"!$A$4"):INDIRECT(""&amp;$S$109&amp;"!$o$4"),0),FALSE)),"",VLOOKUP($K128,OFFSET(INDIRECT(""&amp;$S$109&amp;"!$A$4"),0,0,200,100),MATCH(T$110,INDIRECT(""&amp;$S$109&amp;"!$A$4"):INDIRECT(""&amp;$S$109&amp;"!$o$4"),0),FALSE))</f>
        <v>0</v>
      </c>
      <c r="U128" s="190">
        <f ca="1">IF(ISERROR(VLOOKUP($K128,OFFSET(INDIRECT(""&amp;$S$109&amp;"!$A$4"),0,0,200,100),MATCH(U$110,INDIRECT(""&amp;$S$109&amp;"!$A$4"):INDIRECT(""&amp;$S$109&amp;"!$o$4"),0),FALSE)),"",VLOOKUP($K128,OFFSET(INDIRECT(""&amp;$S$109&amp;"!$A$4"),0,0,200,100),MATCH(U$110,INDIRECT(""&amp;$S$109&amp;"!$A$4"):INDIRECT(""&amp;$S$109&amp;"!$o$4"),0),FALSE))</f>
        <v>0</v>
      </c>
      <c r="V128" s="190">
        <f ca="1">IF(ISERROR(VLOOKUP($K128,OFFSET(INDIRECT(""&amp;$S$109&amp;"!$A$4"),0,0,200,100),MATCH(V$110,INDIRECT(""&amp;$S$109&amp;"!$A$4"):INDIRECT(""&amp;$S$109&amp;"!$o$4"),0),FALSE)),"",VLOOKUP($K128,OFFSET(INDIRECT(""&amp;$S$109&amp;"!$A$4"),0,0,200,100),MATCH(V$110,INDIRECT(""&amp;$S$109&amp;"!$A$4"):INDIRECT(""&amp;$S$109&amp;"!$o$4"),0),FALSE))</f>
        <v>0</v>
      </c>
      <c r="W128" s="190">
        <f ca="1">IF(ISERROR(VLOOKUP($K128,OFFSET(INDIRECT(""&amp;$S$109&amp;"!$A$4"),0,0,200,100),MATCH(W$110,INDIRECT(""&amp;$S$109&amp;"!$A$4"):INDIRECT(""&amp;$S$109&amp;"!$o$4"),0),FALSE)),"",VLOOKUP($K128,OFFSET(INDIRECT(""&amp;$S$109&amp;"!$A$4"),0,0,200,100),MATCH(W$110,INDIRECT(""&amp;$S$109&amp;"!$A$4"):INDIRECT(""&amp;$S$109&amp;"!$o$4"),0),FALSE))</f>
        <v>0</v>
      </c>
      <c r="X128" s="190">
        <f ca="1">IF(ISERROR(VLOOKUP($K128,OFFSET(INDIRECT(""&amp;$S$109&amp;"!$A$4"),0,0,200,100),MATCH(X$110,INDIRECT(""&amp;$S$109&amp;"!$A$4"):INDIRECT(""&amp;$S$109&amp;"!$o$4"),0),FALSE)),"",VLOOKUP($K128,OFFSET(INDIRECT(""&amp;$S$109&amp;"!$A$4"),0,0,200,100),MATCH(X$110,INDIRECT(""&amp;$S$109&amp;"!$A$4"):INDIRECT(""&amp;$S$109&amp;"!$o$4"),0),FALSE))</f>
        <v>0</v>
      </c>
      <c r="Y128" s="190">
        <f ca="1">IF(ISERROR(VLOOKUP($K128,OFFSET(INDIRECT(""&amp;$S$109&amp;"!$A$4"),0,0,200,100),MATCH(Y$110,INDIRECT(""&amp;$S$109&amp;"!$A$4"):INDIRECT(""&amp;$S$109&amp;"!$o$4"),0),FALSE)),"",VLOOKUP($K128,OFFSET(INDIRECT(""&amp;$S$109&amp;"!$A$4"),0,0,200,100),MATCH(Y$110,INDIRECT(""&amp;$S$109&amp;"!$A$4"):INDIRECT(""&amp;$S$109&amp;"!$o$4"),0),FALSE))</f>
        <v>0</v>
      </c>
      <c r="Z128" s="160">
        <f ca="1">IF(ISERROR(VLOOKUP($K128,OFFSET(INDIRECT(""&amp;$S$109&amp;"!$A$4"),0,0,200,100),MATCH(Z$110,INDIRECT(""&amp;$S$109&amp;"!$A$4"):INDIRECT(""&amp;$S$109&amp;"!$P$4"),0),FALSE)),"",VLOOKUP($K128,OFFSET(INDIRECT(""&amp;$S$109&amp;"!$A$4"),0,0,200,100),MATCH(Z$110,INDIRECT(""&amp;$S$109&amp;"!$A$4"):INDIRECT(""&amp;$S$109&amp;"!$P$4"),0),FALSE))</f>
        <v>0</v>
      </c>
      <c r="AA128" s="190"/>
      <c r="AC128" s="126"/>
      <c r="AD128" s="126"/>
      <c r="AE128" s="126"/>
      <c r="AF128" s="126"/>
      <c r="AG128" s="126"/>
      <c r="AH128" s="126"/>
      <c r="AI128" s="148"/>
      <c r="AJ128" s="148"/>
      <c r="AK128" s="148"/>
      <c r="AL128" s="148"/>
      <c r="AM128" s="148"/>
      <c r="AN128" s="148"/>
      <c r="AO128" s="126"/>
      <c r="AP128" s="126"/>
      <c r="AQ128" s="126"/>
      <c r="AR128" s="126"/>
      <c r="AS128" s="126"/>
      <c r="AT128" s="72"/>
      <c r="AU128" s="72"/>
      <c r="AV128" s="73"/>
      <c r="AW128" s="73"/>
      <c r="AX128" s="73"/>
      <c r="AY128" s="73"/>
      <c r="AZ128" s="73"/>
      <c r="BA128" s="73"/>
      <c r="BB128" s="73"/>
      <c r="BC128" s="73"/>
      <c r="BD128" s="73"/>
      <c r="BE128" s="73"/>
      <c r="BF128" s="73"/>
    </row>
    <row r="129" spans="1:58" s="128" customFormat="1" ht="15.95" customHeight="1">
      <c r="A129" s="116" t="s">
        <v>318</v>
      </c>
      <c r="B129" s="116" t="s">
        <v>362</v>
      </c>
      <c r="C129" s="160">
        <f ca="1">IF(ISERROR(VLOOKUP($B129,OFFSET(INDIRECT(""&amp;$B$109&amp;"!$A$4"),0,0,200,100),MATCH(C$110,INDIRECT(""&amp;$B$109&amp;"!$A$4"):INDIRECT(""&amp;$B$109&amp;"!$o$4"),0),FALSE)),"",VLOOKUP($B129,OFFSET(INDIRECT(""&amp;$B$109&amp;"!$A$4"),0,0,200,100),MATCH(C$110,INDIRECT(""&amp;$B$109&amp;"!$A$4"):INDIRECT(""&amp;$B$109&amp;"!$o$4"),0),FALSE))</f>
        <v>40496.946142000001</v>
      </c>
      <c r="D129" s="160">
        <f ca="1">IF(ISERROR(VLOOKUP($B129,OFFSET(INDIRECT(""&amp;$B$109&amp;"!$A$4"),0,0,200,100),MATCH(D$110,INDIRECT(""&amp;$B$109&amp;"!$A$4"):INDIRECT(""&amp;$B$109&amp;"!$o$4"),0),FALSE)),"",VLOOKUP($B129,OFFSET(INDIRECT(""&amp;$B$109&amp;"!$A$4"),0,0,200,100),MATCH(D$110,INDIRECT(""&amp;$B$109&amp;"!$A$4"):INDIRECT(""&amp;$B$109&amp;"!$o$4"),0),FALSE))</f>
        <v>27845.802083999999</v>
      </c>
      <c r="E129" s="160">
        <f ca="1">IF(ISERROR(VLOOKUP($B129,OFFSET(INDIRECT(""&amp;$B$109&amp;"!$A$4"),0,0,200,100),MATCH(E$110,INDIRECT(""&amp;$B$109&amp;"!$A$4"):INDIRECT(""&amp;$B$109&amp;"!$o$4"),0),FALSE)),"",VLOOKUP($B129,OFFSET(INDIRECT(""&amp;$B$109&amp;"!$A$4"),0,0,200,100),MATCH(E$110,INDIRECT(""&amp;$B$109&amp;"!$A$4"):INDIRECT(""&amp;$B$109&amp;"!$o$4"),0),FALSE))</f>
        <v>55726.588824999999</v>
      </c>
      <c r="F129" s="160">
        <f ca="1">IF(ISERROR(VLOOKUP($B129,OFFSET(INDIRECT(""&amp;$B$109&amp;"!$A$4"),0,0,200,100),MATCH(F$110,INDIRECT(""&amp;$B$109&amp;"!$A$4"):INDIRECT(""&amp;$B$109&amp;"!$o$4"),0),FALSE)),"",VLOOKUP($B129,OFFSET(INDIRECT(""&amp;$B$109&amp;"!$A$4"),0,0,200,100),MATCH(F$110,INDIRECT(""&amp;$B$109&amp;"!$A$4"):INDIRECT(""&amp;$B$109&amp;"!$o$4"),0),FALSE))</f>
        <v>34963.157403999998</v>
      </c>
      <c r="G129" s="160">
        <f ca="1">IF(ISERROR(VLOOKUP($B129,OFFSET(INDIRECT(""&amp;$B$109&amp;"!$A$4"),0,0,200,100),MATCH(G$110,INDIRECT(""&amp;$B$109&amp;"!$A$4"):INDIRECT(""&amp;$B$109&amp;"!$o$4"),0),FALSE)),"",VLOOKUP($B129,OFFSET(INDIRECT(""&amp;$B$109&amp;"!$A$4"),0,0,200,100),MATCH(G$110,INDIRECT(""&amp;$B$109&amp;"!$A$4"):INDIRECT(""&amp;$B$109&amp;"!$o$4"),0),FALSE))</f>
        <v>52858.628237999998</v>
      </c>
      <c r="H129" s="160">
        <f ca="1">IF(ISERROR(VLOOKUP($B129,OFFSET(INDIRECT(""&amp;$B$109&amp;"!$A$4"),0,0,200,100),MATCH(H$110,INDIRECT(""&amp;$B$109&amp;"!$A$4"):INDIRECT(""&amp;$B$109&amp;"!$o$4"),0),FALSE)),"",VLOOKUP($B129,OFFSET(INDIRECT(""&amp;$B$109&amp;"!$A$4"),0,0,200,100),MATCH(H$110,INDIRECT(""&amp;$B$109&amp;"!$A$4"):INDIRECT(""&amp;$B$109&amp;"!$o$4"),0),FALSE))</f>
        <v>26529.136076999999</v>
      </c>
      <c r="I129" s="160">
        <f ca="1">IF(ISERROR(VLOOKUP($B129,OFFSET(INDIRECT(""&amp;$B$109&amp;"!$A$4"),0,0,200,100),MATCH(I$110,INDIRECT(""&amp;$B$109&amp;"!$A$4"):INDIRECT(""&amp;$B$109&amp;"!$o$4"),0),FALSE)),"",VLOOKUP($B129,OFFSET(INDIRECT(""&amp;$B$109&amp;"!$A$4"),0,0,200,100),MATCH(I$110,INDIRECT(""&amp;$B$109&amp;"!$A$4"):INDIRECT(""&amp;$B$109&amp;"!$o$4"),0),FALSE))</f>
        <v>13220.072436</v>
      </c>
      <c r="J129" s="160">
        <f ca="1">IF(ISERROR(VLOOKUP($B129,OFFSET(INDIRECT(""&amp;$B$109&amp;"!$A$4"),0,0,200,100),MATCH(J$110,INDIRECT(""&amp;$B$109&amp;"!$A$4"):INDIRECT(""&amp;$B$109&amp;"!$o$4"),0),FALSE)),"",VLOOKUP($B129,OFFSET(INDIRECT(""&amp;$B$109&amp;"!$A$4"),0,0,200,100),MATCH(J$110,INDIRECT(""&amp;$B$109&amp;"!$A$4"):INDIRECT(""&amp;$B$109&amp;"!$o$4"),0),FALSE))</f>
        <v>13220.072436</v>
      </c>
      <c r="K129" s="129" t="s">
        <v>362</v>
      </c>
      <c r="L129" s="160">
        <f ca="1">IF(ISERROR(VLOOKUP($K129,OFFSET(INDIRECT(""&amp;$S$109&amp;"!$A$4"),0,0,200,100),MATCH(L$110,INDIRECT(""&amp;$S$109&amp;"!$A$4"):INDIRECT(""&amp;$S$109&amp;"!$o$4"),0),FALSE)),"",VLOOKUP($K129,OFFSET(INDIRECT(""&amp;$S$109&amp;"!$A$4"),0,0,200,100),MATCH(L$110,INDIRECT(""&amp;$S$109&amp;"!$A$4"):INDIRECT(""&amp;$S$109&amp;"!$o$4"),0),FALSE))</f>
        <v>1439.0148349999999</v>
      </c>
      <c r="M129" s="160">
        <f ca="1">IF(ISERROR(VLOOKUP($K129,OFFSET(INDIRECT(""&amp;$S$109&amp;"!$A$4"),0,0,200,100),MATCH(M$110,INDIRECT(""&amp;$S$109&amp;"!$A$4"):INDIRECT(""&amp;$S$109&amp;"!$o$4"),0),FALSE)),"",VLOOKUP($K129,OFFSET(INDIRECT(""&amp;$S$109&amp;"!$A$4"),0,0,200,100),MATCH(M$110,INDIRECT(""&amp;$S$109&amp;"!$A$4"):INDIRECT(""&amp;$S$109&amp;"!$o$4"),0),FALSE))</f>
        <v>7325.5275199999996</v>
      </c>
      <c r="N129" s="160">
        <f ca="1">IF(ISERROR(VLOOKUP($K129,OFFSET(INDIRECT(""&amp;$S$109&amp;"!$A$4"),0,0,200,100),MATCH(N$110,INDIRECT(""&amp;$S$109&amp;"!$A$4"):INDIRECT(""&amp;$S$109&amp;"!$o$4"),0),FALSE)),"",VLOOKUP($K129,OFFSET(INDIRECT(""&amp;$S$109&amp;"!$A$4"),0,0,200,100),MATCH(N$110,INDIRECT(""&amp;$S$109&amp;"!$A$4"):INDIRECT(""&amp;$S$109&amp;"!$o$4"),0),FALSE))</f>
        <v>30527.786136999999</v>
      </c>
      <c r="O129" s="160">
        <f ca="1">IF(ISERROR(VLOOKUP($K129,OFFSET(INDIRECT(""&amp;$S$109&amp;"!$A$4"),0,0,200,100),MATCH(O$110,INDIRECT(""&amp;$S$109&amp;"!$A$4"):INDIRECT(""&amp;$S$109&amp;"!$o$4"),0),FALSE)),"",VLOOKUP($K129,OFFSET(INDIRECT(""&amp;$S$109&amp;"!$A$4"),0,0,200,100),MATCH(O$110,INDIRECT(""&amp;$S$109&amp;"!$A$4"):INDIRECT(""&amp;$S$109&amp;"!$o$4"),0),FALSE))</f>
        <v>-6572.468852</v>
      </c>
      <c r="P129" s="160">
        <f ca="1">IF(ISERROR(VLOOKUP($K129,OFFSET(INDIRECT(""&amp;$S$109&amp;"!$A$4"),0,0,200,100),MATCH(P$110,INDIRECT(""&amp;$S$109&amp;"!$A$4"):INDIRECT(""&amp;$S$109&amp;"!$o$4"),0),FALSE)),"",VLOOKUP($K129,OFFSET(INDIRECT(""&amp;$S$109&amp;"!$A$4"),0,0,200,100),MATCH(P$110,INDIRECT(""&amp;$S$109&amp;"!$A$4"):INDIRECT(""&amp;$S$109&amp;"!$o$4"),0),FALSE))</f>
        <v>1662.057967</v>
      </c>
      <c r="Q129" s="160">
        <f ca="1">IF(ISERROR(VLOOKUP($K129,OFFSET(INDIRECT(""&amp;$S$109&amp;"!$A$4"),0,0,200,100),MATCH(Q$110,INDIRECT(""&amp;$S$109&amp;"!$A$4"):INDIRECT(""&amp;$S$109&amp;"!$o$4"),0),FALSE)),"",VLOOKUP($K129,OFFSET(INDIRECT(""&amp;$S$109&amp;"!$A$4"),0,0,200,100),MATCH(Q$110,INDIRECT(""&amp;$S$109&amp;"!$A$4"):INDIRECT(""&amp;$S$109&amp;"!$o$4"),0),FALSE))</f>
        <v>0</v>
      </c>
      <c r="R129" s="160">
        <f ca="1">IF(ISERROR(VLOOKUP($K129,OFFSET(INDIRECT(""&amp;$S$109&amp;"!$A$4"),0,0,200,100),MATCH(R$110,INDIRECT(""&amp;$S$109&amp;"!$A$4"):INDIRECT(""&amp;$S$109&amp;"!$o$4"),0),FALSE)),"",VLOOKUP($K129,OFFSET(INDIRECT(""&amp;$S$109&amp;"!$A$4"),0,0,200,100),MATCH(R$110,INDIRECT(""&amp;$S$109&amp;"!$A$4"):INDIRECT(""&amp;$S$109&amp;"!$o$4"),0),FALSE))</f>
        <v>0</v>
      </c>
      <c r="S129" s="160">
        <f ca="1">IF(ISERROR(VLOOKUP($K129,OFFSET(INDIRECT(""&amp;$S$109&amp;"!$A$4"),0,0,200,100),MATCH(S$110,INDIRECT(""&amp;$S$109&amp;"!$A$4"):INDIRECT(""&amp;$S$109&amp;"!$o$4"),0),FALSE)),"",VLOOKUP($K129,OFFSET(INDIRECT(""&amp;$S$109&amp;"!$A$4"),0,0,200,100),MATCH(S$110,INDIRECT(""&amp;$S$109&amp;"!$A$4"):INDIRECT(""&amp;$S$109&amp;"!$o$4"),0),FALSE))</f>
        <v>34032.327121000002</v>
      </c>
      <c r="T129" s="160">
        <f ca="1">IF(ISERROR(VLOOKUP($K129,OFFSET(INDIRECT(""&amp;$S$109&amp;"!$A$4"),0,0,200,100),MATCH(T$110,INDIRECT(""&amp;$S$109&amp;"!$A$4"):INDIRECT(""&amp;$S$109&amp;"!$o$4"),0),FALSE)),"",VLOOKUP($K129,OFFSET(INDIRECT(""&amp;$S$109&amp;"!$A$4"),0,0,200,100),MATCH(T$110,INDIRECT(""&amp;$S$109&amp;"!$A$4"):INDIRECT(""&amp;$S$109&amp;"!$o$4"),0),FALSE))</f>
        <v>20061.825038999999</v>
      </c>
      <c r="U129" s="160">
        <f ca="1">IF(ISERROR(VLOOKUP($K129,OFFSET(INDIRECT(""&amp;$S$109&amp;"!$A$4"),0,0,200,100),MATCH(U$110,INDIRECT(""&amp;$S$109&amp;"!$A$4"):INDIRECT(""&amp;$S$109&amp;"!$o$4"),0),FALSE)),"",VLOOKUP($K129,OFFSET(INDIRECT(""&amp;$S$109&amp;"!$A$4"),0,0,200,100),MATCH(U$110,INDIRECT(""&amp;$S$109&amp;"!$A$4"):INDIRECT(""&amp;$S$109&amp;"!$o$4"),0),FALSE))</f>
        <v>13228.485924000001</v>
      </c>
      <c r="V129" s="160">
        <f ca="1">IF(ISERROR(VLOOKUP($K129,OFFSET(INDIRECT(""&amp;$S$109&amp;"!$A$4"),0,0,200,100),MATCH(V$110,INDIRECT(""&amp;$S$109&amp;"!$A$4"):INDIRECT(""&amp;$S$109&amp;"!$o$4"),0),FALSE)),"",VLOOKUP($K129,OFFSET(INDIRECT(""&amp;$S$109&amp;"!$A$4"),0,0,200,100),MATCH(V$110,INDIRECT(""&amp;$S$109&amp;"!$A$4"):INDIRECT(""&amp;$S$109&amp;"!$o$4"),0),FALSE))</f>
        <v>29092.574011000001</v>
      </c>
      <c r="W129" s="160">
        <f ca="1">IF(ISERROR(VLOOKUP($K129,OFFSET(INDIRECT(""&amp;$S$109&amp;"!$A$4"),0,0,200,100),MATCH(W$110,INDIRECT(""&amp;$S$109&amp;"!$A$4"):INDIRECT(""&amp;$S$109&amp;"!$o$4"),0),FALSE)),"",VLOOKUP($K129,OFFSET(INDIRECT(""&amp;$S$109&amp;"!$A$4"),0,0,200,100),MATCH(W$110,INDIRECT(""&amp;$S$109&amp;"!$A$4"):INDIRECT(""&amp;$S$109&amp;"!$o$4"),0),FALSE))</f>
        <v>23602.901781</v>
      </c>
      <c r="X129" s="160">
        <f ca="1">IF(ISERROR(VLOOKUP($K129,OFFSET(INDIRECT(""&amp;$S$109&amp;"!$A$4"),0,0,200,100),MATCH(X$110,INDIRECT(""&amp;$S$109&amp;"!$A$4"):INDIRECT(""&amp;$S$109&amp;"!$o$4"),0),FALSE)),"",VLOOKUP($K129,OFFSET(INDIRECT(""&amp;$S$109&amp;"!$A$4"),0,0,200,100),MATCH(X$110,INDIRECT(""&amp;$S$109&amp;"!$A$4"):INDIRECT(""&amp;$S$109&amp;"!$o$4"),0),FALSE))</f>
        <v>14802.246087</v>
      </c>
      <c r="Y129" s="160">
        <f ca="1">IF(ISERROR(VLOOKUP($K129,OFFSET(INDIRECT(""&amp;$S$109&amp;"!$A$4"),0,0,200,100),MATCH(Y$110,INDIRECT(""&amp;$S$109&amp;"!$A$4"):INDIRECT(""&amp;$S$109&amp;"!$o$4"),0),FALSE)),"",VLOOKUP($K129,OFFSET(INDIRECT(""&amp;$S$109&amp;"!$A$4"),0,0,200,100),MATCH(Y$110,INDIRECT(""&amp;$S$109&amp;"!$A$4"):INDIRECT(""&amp;$S$109&amp;"!$o$4"),0),FALSE))</f>
        <v>8443.1229010000006</v>
      </c>
      <c r="Z129" s="160">
        <f ca="1">IF(ISERROR(VLOOKUP($K129,OFFSET(INDIRECT(""&amp;$S$109&amp;"!$A$4"),0,0,200,100),MATCH(Z$110,INDIRECT(""&amp;$S$109&amp;"!$A$4"):INDIRECT(""&amp;$S$109&amp;"!$P$4"),0),FALSE)),"",VLOOKUP($K129,OFFSET(INDIRECT(""&amp;$S$109&amp;"!$A$4"),0,0,200,100),MATCH(Z$110,INDIRECT(""&amp;$S$109&amp;"!$A$4"):INDIRECT(""&amp;$S$109&amp;"!$P$4"),0),FALSE))</f>
        <v>25886.193416999999</v>
      </c>
      <c r="AA129" s="160"/>
      <c r="AC129" s="126"/>
      <c r="AD129" s="126"/>
      <c r="AE129" s="126"/>
      <c r="AF129" s="126"/>
      <c r="AG129" s="126"/>
      <c r="AH129" s="126"/>
      <c r="AI129" s="148"/>
      <c r="AJ129" s="148"/>
      <c r="AK129" s="148"/>
      <c r="AL129" s="148"/>
      <c r="AM129" s="148"/>
      <c r="AN129" s="148"/>
      <c r="AO129" s="126"/>
      <c r="AP129" s="126"/>
      <c r="AQ129" s="126"/>
      <c r="AR129" s="126"/>
      <c r="AS129" s="126"/>
      <c r="AT129" s="72"/>
      <c r="AU129" s="72"/>
      <c r="AV129" s="73"/>
      <c r="AW129" s="73"/>
      <c r="AX129" s="73"/>
      <c r="AY129" s="73"/>
      <c r="AZ129" s="73"/>
      <c r="BA129" s="73"/>
      <c r="BB129" s="73"/>
      <c r="BC129" s="73"/>
      <c r="BD129" s="73"/>
      <c r="BE129" s="73"/>
      <c r="BF129" s="73"/>
    </row>
    <row r="130" spans="1:58" s="128" customFormat="1" ht="15.95" customHeight="1">
      <c r="A130" s="116" t="s">
        <v>326</v>
      </c>
      <c r="B130" s="116"/>
      <c r="C130" s="74" t="str">
        <f ca="1">IF(ISERROR(VLOOKUP($B130,OFFSET(INDIRECT(""&amp;$B$109&amp;"!$A$4"),0,0,200,100),MATCH(C$110,INDIRECT(""&amp;$B$109&amp;"!$A$4"):INDIRECT(""&amp;$B$109&amp;"!$o$4"),0),FALSE)),"",VLOOKUP($B130,OFFSET(INDIRECT(""&amp;$B$109&amp;"!$A$4"),0,0,200,100),MATCH(C$110,INDIRECT(""&amp;$B$109&amp;"!$A$4"):INDIRECT(""&amp;$B$109&amp;"!$o$4"),0),FALSE))</f>
        <v/>
      </c>
      <c r="D130" s="74" t="str">
        <f ca="1">IF(ISERROR(VLOOKUP($B130,OFFSET(INDIRECT(""&amp;$B$109&amp;"!$A$4"),0,0,200,100),MATCH(D$110,INDIRECT(""&amp;$B$109&amp;"!$A$4"):INDIRECT(""&amp;$B$109&amp;"!$o$4"),0),FALSE)),"",VLOOKUP($B130,OFFSET(INDIRECT(""&amp;$B$109&amp;"!$A$4"),0,0,200,100),MATCH(D$110,INDIRECT(""&amp;$B$109&amp;"!$A$4"):INDIRECT(""&amp;$B$109&amp;"!$o$4"),0),FALSE))</f>
        <v/>
      </c>
      <c r="E130" s="74" t="str">
        <f ca="1">IF(ISERROR(VLOOKUP($B130,OFFSET(INDIRECT(""&amp;$B$109&amp;"!$A$4"),0,0,200,100),MATCH(E$110,INDIRECT(""&amp;$B$109&amp;"!$A$4"):INDIRECT(""&amp;$B$109&amp;"!$o$4"),0),FALSE)),"",VLOOKUP($B130,OFFSET(INDIRECT(""&amp;$B$109&amp;"!$A$4"),0,0,200,100),MATCH(E$110,INDIRECT(""&amp;$B$109&amp;"!$A$4"):INDIRECT(""&amp;$B$109&amp;"!$o$4"),0),FALSE))</f>
        <v/>
      </c>
      <c r="F130" s="74" t="str">
        <f ca="1">IF(ISERROR(VLOOKUP($B130,OFFSET(INDIRECT(""&amp;$B$109&amp;"!$A$4"),0,0,200,100),MATCH(F$110,INDIRECT(""&amp;$B$109&amp;"!$A$4"):INDIRECT(""&amp;$B$109&amp;"!$o$4"),0),FALSE)),"",VLOOKUP($B130,OFFSET(INDIRECT(""&amp;$B$109&amp;"!$A$4"),0,0,200,100),MATCH(F$110,INDIRECT(""&amp;$B$109&amp;"!$A$4"):INDIRECT(""&amp;$B$109&amp;"!$o$4"),0),FALSE))</f>
        <v/>
      </c>
      <c r="G130" s="74" t="str">
        <f ca="1">IF(ISERROR(VLOOKUP($B130,OFFSET(INDIRECT(""&amp;$B$109&amp;"!$A$4"),0,0,200,100),MATCH(G$110,INDIRECT(""&amp;$B$109&amp;"!$A$4"):INDIRECT(""&amp;$B$109&amp;"!$o$4"),0),FALSE)),"",VLOOKUP($B130,OFFSET(INDIRECT(""&amp;$B$109&amp;"!$A$4"),0,0,200,100),MATCH(G$110,INDIRECT(""&amp;$B$109&amp;"!$A$4"):INDIRECT(""&amp;$B$109&amp;"!$o$4"),0),FALSE))</f>
        <v/>
      </c>
      <c r="H130" s="74" t="str">
        <f ca="1">IF(ISERROR(VLOOKUP($B130,OFFSET(INDIRECT(""&amp;$B$109&amp;"!$A$4"),0,0,200,100),MATCH(H$110,INDIRECT(""&amp;$B$109&amp;"!$A$4"):INDIRECT(""&amp;$B$109&amp;"!$o$4"),0),FALSE)),"",VLOOKUP($B130,OFFSET(INDIRECT(""&amp;$B$109&amp;"!$A$4"),0,0,200,100),MATCH(H$110,INDIRECT(""&amp;$B$109&amp;"!$A$4"):INDIRECT(""&amp;$B$109&amp;"!$o$4"),0),FALSE))</f>
        <v/>
      </c>
      <c r="I130" s="74" t="str">
        <f ca="1">IF(ISERROR(VLOOKUP($B130,OFFSET(INDIRECT(""&amp;$B$109&amp;"!$A$4"),0,0,200,100),MATCH(I$110,INDIRECT(""&amp;$B$109&amp;"!$A$4"):INDIRECT(""&amp;$B$109&amp;"!$o$4"),0),FALSE)),"",VLOOKUP($B130,OFFSET(INDIRECT(""&amp;$B$109&amp;"!$A$4"),0,0,200,100),MATCH(I$110,INDIRECT(""&amp;$B$109&amp;"!$A$4"):INDIRECT(""&amp;$B$109&amp;"!$o$4"),0),FALSE))</f>
        <v/>
      </c>
      <c r="J130" s="74" t="str">
        <f ca="1">IF(ISERROR(VLOOKUP($B130,OFFSET(INDIRECT(""&amp;$B$109&amp;"!$A$4"),0,0,200,100),MATCH(J$110,INDIRECT(""&amp;$B$109&amp;"!$A$4"):INDIRECT(""&amp;$B$109&amp;"!$o$4"),0),FALSE)),"",VLOOKUP($B130,OFFSET(INDIRECT(""&amp;$B$109&amp;"!$A$4"),0,0,200,100),MATCH(J$110,INDIRECT(""&amp;$B$109&amp;"!$A$4"):INDIRECT(""&amp;$B$109&amp;"!$o$4"),0),FALSE))</f>
        <v/>
      </c>
      <c r="K130" s="129"/>
      <c r="L130" s="160" t="str">
        <f ca="1">IF(ISERROR(VLOOKUP($K130,OFFSET(INDIRECT(""&amp;$S$109&amp;"!$A$4"),0,0,200,100),MATCH(L$110,INDIRECT(""&amp;$S$109&amp;"!$A$4"):INDIRECT(""&amp;$S$109&amp;"!$o$4"),0),FALSE)),"",VLOOKUP($K130,OFFSET(INDIRECT(""&amp;$S$109&amp;"!$A$4"),0,0,200,100),MATCH(L$110,INDIRECT(""&amp;$S$109&amp;"!$A$4"):INDIRECT(""&amp;$S$109&amp;"!$o$4"),0),FALSE))</f>
        <v/>
      </c>
      <c r="M130" s="160" t="str">
        <f ca="1">IF(ISERROR(VLOOKUP($K130,OFFSET(INDIRECT(""&amp;$S$109&amp;"!$A$4"),0,0,200,100),MATCH(M$110,INDIRECT(""&amp;$S$109&amp;"!$A$4"):INDIRECT(""&amp;$S$109&amp;"!$o$4"),0),FALSE)),"",VLOOKUP($K130,OFFSET(INDIRECT(""&amp;$S$109&amp;"!$A$4"),0,0,200,100),MATCH(M$110,INDIRECT(""&amp;$S$109&amp;"!$A$4"):INDIRECT(""&amp;$S$109&amp;"!$o$4"),0),FALSE))</f>
        <v/>
      </c>
      <c r="N130" s="160" t="str">
        <f ca="1">IF(ISERROR(VLOOKUP($K130,OFFSET(INDIRECT(""&amp;$S$109&amp;"!$A$4"),0,0,200,100),MATCH(N$110,INDIRECT(""&amp;$S$109&amp;"!$A$4"):INDIRECT(""&amp;$S$109&amp;"!$o$4"),0),FALSE)),"",VLOOKUP($K130,OFFSET(INDIRECT(""&amp;$S$109&amp;"!$A$4"),0,0,200,100),MATCH(N$110,INDIRECT(""&amp;$S$109&amp;"!$A$4"):INDIRECT(""&amp;$S$109&amp;"!$o$4"),0),FALSE))</f>
        <v/>
      </c>
      <c r="O130" s="160" t="str">
        <f ca="1">IF(ISERROR(VLOOKUP($K130,OFFSET(INDIRECT(""&amp;$S$109&amp;"!$A$4"),0,0,200,100),MATCH(O$110,INDIRECT(""&amp;$S$109&amp;"!$A$4"):INDIRECT(""&amp;$S$109&amp;"!$o$4"),0),FALSE)),"",VLOOKUP($K130,OFFSET(INDIRECT(""&amp;$S$109&amp;"!$A$4"),0,0,200,100),MATCH(O$110,INDIRECT(""&amp;$S$109&amp;"!$A$4"):INDIRECT(""&amp;$S$109&amp;"!$o$4"),0),FALSE))</f>
        <v/>
      </c>
      <c r="P130" s="160" t="str">
        <f ca="1">IF(ISERROR(VLOOKUP($K130,OFFSET(INDIRECT(""&amp;$S$109&amp;"!$A$4"),0,0,200,100),MATCH(P$110,INDIRECT(""&amp;$S$109&amp;"!$A$4"):INDIRECT(""&amp;$S$109&amp;"!$o$4"),0),FALSE)),"",VLOOKUP($K130,OFFSET(INDIRECT(""&amp;$S$109&amp;"!$A$4"),0,0,200,100),MATCH(P$110,INDIRECT(""&amp;$S$109&amp;"!$A$4"):INDIRECT(""&amp;$S$109&amp;"!$o$4"),0),FALSE))</f>
        <v/>
      </c>
      <c r="Q130" s="160" t="str">
        <f ca="1">IF(ISERROR(VLOOKUP($K130,OFFSET(INDIRECT(""&amp;$S$109&amp;"!$A$4"),0,0,200,100),MATCH(Q$110,INDIRECT(""&amp;$S$109&amp;"!$A$4"):INDIRECT(""&amp;$S$109&amp;"!$o$4"),0),FALSE)),"",VLOOKUP($K130,OFFSET(INDIRECT(""&amp;$S$109&amp;"!$A$4"),0,0,200,100),MATCH(Q$110,INDIRECT(""&amp;$S$109&amp;"!$A$4"):INDIRECT(""&amp;$S$109&amp;"!$o$4"),0),FALSE))</f>
        <v/>
      </c>
      <c r="R130" s="160" t="str">
        <f ca="1">IF(ISERROR(VLOOKUP($K130,OFFSET(INDIRECT(""&amp;$S$109&amp;"!$A$4"),0,0,200,100),MATCH(R$110,INDIRECT(""&amp;$S$109&amp;"!$A$4"):INDIRECT(""&amp;$S$109&amp;"!$o$4"),0),FALSE)),"",VLOOKUP($K130,OFFSET(INDIRECT(""&amp;$S$109&amp;"!$A$4"),0,0,200,100),MATCH(R$110,INDIRECT(""&amp;$S$109&amp;"!$A$4"):INDIRECT(""&amp;$S$109&amp;"!$o$4"),0),FALSE))</f>
        <v/>
      </c>
      <c r="S130" s="160" t="str">
        <f ca="1">IF(ISERROR(VLOOKUP($K130,OFFSET(INDIRECT(""&amp;$S$109&amp;"!$A$4"),0,0,200,100),MATCH(S$110,INDIRECT(""&amp;$S$109&amp;"!$A$4"):INDIRECT(""&amp;$S$109&amp;"!$o$4"),0),FALSE)),"",VLOOKUP($K130,OFFSET(INDIRECT(""&amp;$S$109&amp;"!$A$4"),0,0,200,100),MATCH(S$110,INDIRECT(""&amp;$S$109&amp;"!$A$4"):INDIRECT(""&amp;$S$109&amp;"!$o$4"),0),FALSE))</f>
        <v/>
      </c>
      <c r="T130" s="160" t="str">
        <f ca="1">IF(ISERROR(VLOOKUP($K130,OFFSET(INDIRECT(""&amp;$S$109&amp;"!$A$4"),0,0,200,100),MATCH(T$110,INDIRECT(""&amp;$S$109&amp;"!$A$4"):INDIRECT(""&amp;$S$109&amp;"!$o$4"),0),FALSE)),"",VLOOKUP($K130,OFFSET(INDIRECT(""&amp;$S$109&amp;"!$A$4"),0,0,200,100),MATCH(T$110,INDIRECT(""&amp;$S$109&amp;"!$A$4"):INDIRECT(""&amp;$S$109&amp;"!$o$4"),0),FALSE))</f>
        <v/>
      </c>
      <c r="U130" s="160" t="str">
        <f ca="1">IF(ISERROR(VLOOKUP($K130,OFFSET(INDIRECT(""&amp;$S$109&amp;"!$A$4"),0,0,200,100),MATCH(U$110,INDIRECT(""&amp;$S$109&amp;"!$A$4"):INDIRECT(""&amp;$S$109&amp;"!$o$4"),0),FALSE)),"",VLOOKUP($K130,OFFSET(INDIRECT(""&amp;$S$109&amp;"!$A$4"),0,0,200,100),MATCH(U$110,INDIRECT(""&amp;$S$109&amp;"!$A$4"):INDIRECT(""&amp;$S$109&amp;"!$o$4"),0),FALSE))</f>
        <v/>
      </c>
      <c r="V130" s="160" t="str">
        <f ca="1">IF(ISERROR(VLOOKUP($K130,OFFSET(INDIRECT(""&amp;$S$109&amp;"!$A$4"),0,0,200,100),MATCH(V$110,INDIRECT(""&amp;$S$109&amp;"!$A$4"):INDIRECT(""&amp;$S$109&amp;"!$o$4"),0),FALSE)),"",VLOOKUP($K130,OFFSET(INDIRECT(""&amp;$S$109&amp;"!$A$4"),0,0,200,100),MATCH(V$110,INDIRECT(""&amp;$S$109&amp;"!$A$4"):INDIRECT(""&amp;$S$109&amp;"!$o$4"),0),FALSE))</f>
        <v/>
      </c>
      <c r="W130" s="160" t="str">
        <f ca="1">IF(ISERROR(VLOOKUP($K130,OFFSET(INDIRECT(""&amp;$S$109&amp;"!$A$4"),0,0,200,100),MATCH(W$110,INDIRECT(""&amp;$S$109&amp;"!$A$4"):INDIRECT(""&amp;$S$109&amp;"!$o$4"),0),FALSE)),"",VLOOKUP($K130,OFFSET(INDIRECT(""&amp;$S$109&amp;"!$A$4"),0,0,200,100),MATCH(W$110,INDIRECT(""&amp;$S$109&amp;"!$A$4"):INDIRECT(""&amp;$S$109&amp;"!$o$4"),0),FALSE))</f>
        <v/>
      </c>
      <c r="X130" s="160" t="str">
        <f ca="1">IF(ISERROR(VLOOKUP($K130,OFFSET(INDIRECT(""&amp;$S$109&amp;"!$A$4"),0,0,200,100),MATCH(X$110,INDIRECT(""&amp;$S$109&amp;"!$A$4"):INDIRECT(""&amp;$S$109&amp;"!$o$4"),0),FALSE)),"",VLOOKUP($K130,OFFSET(INDIRECT(""&amp;$S$109&amp;"!$A$4"),0,0,200,100),MATCH(X$110,INDIRECT(""&amp;$S$109&amp;"!$A$4"):INDIRECT(""&amp;$S$109&amp;"!$o$4"),0),FALSE))</f>
        <v/>
      </c>
      <c r="Y130" s="160" t="str">
        <f ca="1">IF(ISERROR(VLOOKUP($K130,OFFSET(INDIRECT(""&amp;$S$109&amp;"!$A$4"),0,0,200,100),MATCH(Y$110,INDIRECT(""&amp;$S$109&amp;"!$A$4"):INDIRECT(""&amp;$S$109&amp;"!$o$4"),0),FALSE)),"",VLOOKUP($K130,OFFSET(INDIRECT(""&amp;$S$109&amp;"!$A$4"),0,0,200,100),MATCH(Y$110,INDIRECT(""&amp;$S$109&amp;"!$A$4"):INDIRECT(""&amp;$S$109&amp;"!$o$4"),0),FALSE))</f>
        <v/>
      </c>
      <c r="Z130" s="160" t="str">
        <f ca="1">IF(ISERROR(VLOOKUP($K130,OFFSET(INDIRECT(""&amp;$S$109&amp;"!$A$4"),0,0,200,100),MATCH(Z$110,INDIRECT(""&amp;$S$109&amp;"!$A$4"):INDIRECT(""&amp;$S$109&amp;"!$P$4"),0),FALSE)),"",VLOOKUP($K130,OFFSET(INDIRECT(""&amp;$S$109&amp;"!$A$4"),0,0,200,100),MATCH(Z$110,INDIRECT(""&amp;$S$109&amp;"!$A$4"):INDIRECT(""&amp;$S$109&amp;"!$P$4"),0),FALSE))</f>
        <v/>
      </c>
      <c r="AA130" s="160"/>
      <c r="AC130" s="126"/>
      <c r="AD130" s="126"/>
      <c r="AE130" s="126"/>
      <c r="AF130" s="126"/>
      <c r="AG130" s="126"/>
      <c r="AH130" s="126"/>
      <c r="AI130" s="148"/>
      <c r="AJ130" s="148"/>
      <c r="AK130" s="148"/>
      <c r="AL130" s="148"/>
      <c r="AM130" s="148"/>
      <c r="AN130" s="148"/>
      <c r="AO130" s="126"/>
      <c r="AP130" s="126"/>
      <c r="AQ130" s="126"/>
      <c r="AR130" s="126"/>
      <c r="AS130" s="126"/>
      <c r="AT130" s="72"/>
      <c r="AU130" s="72"/>
      <c r="AV130" s="73"/>
      <c r="AW130" s="73"/>
      <c r="AX130" s="73"/>
      <c r="AY130" s="73"/>
      <c r="AZ130" s="73"/>
      <c r="BA130" s="73"/>
      <c r="BB130" s="73"/>
      <c r="BC130" s="73"/>
      <c r="BD130" s="73"/>
      <c r="BE130" s="73"/>
      <c r="BF130" s="73"/>
    </row>
    <row r="131" spans="1:58" s="128" customFormat="1" ht="15.95" customHeight="1">
      <c r="A131" s="111" t="s">
        <v>319</v>
      </c>
      <c r="B131" s="111" t="s">
        <v>363</v>
      </c>
      <c r="C131" s="74">
        <f ca="1">IF(ISERROR(VLOOKUP($B131,OFFSET(INDIRECT(""&amp;$B$109&amp;"!$A$4"),0,0,200,100),MATCH(C$110,INDIRECT(""&amp;$B$109&amp;"!$A$4"):INDIRECT(""&amp;$B$109&amp;"!$o$4"),0),FALSE)),"",VLOOKUP($B131,OFFSET(INDIRECT(""&amp;$B$109&amp;"!$A$4"),0,0,200,100),MATCH(C$110,INDIRECT(""&amp;$B$109&amp;"!$A$4"):INDIRECT(""&amp;$B$109&amp;"!$o$4"),0),FALSE))</f>
        <v>-30741.335859999999</v>
      </c>
      <c r="D131" s="74">
        <f ca="1">IF(ISERROR(VLOOKUP($B131,OFFSET(INDIRECT(""&amp;$B$109&amp;"!$A$4"),0,0,200,100),MATCH(D$110,INDIRECT(""&amp;$B$109&amp;"!$A$4"):INDIRECT(""&amp;$B$109&amp;"!$o$4"),0),FALSE)),"",VLOOKUP($B131,OFFSET(INDIRECT(""&amp;$B$109&amp;"!$A$4"),0,0,200,100),MATCH(D$110,INDIRECT(""&amp;$B$109&amp;"!$A$4"):INDIRECT(""&amp;$B$109&amp;"!$o$4"),0),FALSE))</f>
        <v>-59744.746249000003</v>
      </c>
      <c r="E131" s="74">
        <f ca="1">IF(ISERROR(VLOOKUP($B131,OFFSET(INDIRECT(""&amp;$B$109&amp;"!$A$4"),0,0,200,100),MATCH(E$110,INDIRECT(""&amp;$B$109&amp;"!$A$4"):INDIRECT(""&amp;$B$109&amp;"!$o$4"),0),FALSE)),"",VLOOKUP($B131,OFFSET(INDIRECT(""&amp;$B$109&amp;"!$A$4"),0,0,200,100),MATCH(E$110,INDIRECT(""&amp;$B$109&amp;"!$A$4"):INDIRECT(""&amp;$B$109&amp;"!$o$4"),0),FALSE))</f>
        <v>-39821.251641000003</v>
      </c>
      <c r="F131" s="74">
        <f ca="1">IF(ISERROR(VLOOKUP($B131,OFFSET(INDIRECT(""&amp;$B$109&amp;"!$A$4"),0,0,200,100),MATCH(F$110,INDIRECT(""&amp;$B$109&amp;"!$A$4"):INDIRECT(""&amp;$B$109&amp;"!$o$4"),0),FALSE)),"",VLOOKUP($B131,OFFSET(INDIRECT(""&amp;$B$109&amp;"!$A$4"),0,0,200,100),MATCH(F$110,INDIRECT(""&amp;$B$109&amp;"!$A$4"):INDIRECT(""&amp;$B$109&amp;"!$o$4"),0),FALSE))</f>
        <v>-55783.612544000003</v>
      </c>
      <c r="G131" s="74">
        <f ca="1">IF(ISERROR(VLOOKUP($B131,OFFSET(INDIRECT(""&amp;$B$109&amp;"!$A$4"),0,0,200,100),MATCH(G$110,INDIRECT(""&amp;$B$109&amp;"!$A$4"):INDIRECT(""&amp;$B$109&amp;"!$o$4"),0),FALSE)),"",VLOOKUP($B131,OFFSET(INDIRECT(""&amp;$B$109&amp;"!$A$4"),0,0,200,100),MATCH(G$110,INDIRECT(""&amp;$B$109&amp;"!$A$4"):INDIRECT(""&amp;$B$109&amp;"!$o$4"),0),FALSE))</f>
        <v>-22996.713102999998</v>
      </c>
      <c r="H131" s="74">
        <f ca="1">IF(ISERROR(VLOOKUP($B131,OFFSET(INDIRECT(""&amp;$B$109&amp;"!$A$4"),0,0,200,100),MATCH(H$110,INDIRECT(""&amp;$B$109&amp;"!$A$4"):INDIRECT(""&amp;$B$109&amp;"!$o$4"),0),FALSE)),"",VLOOKUP($B131,OFFSET(INDIRECT(""&amp;$B$109&amp;"!$A$4"),0,0,200,100),MATCH(H$110,INDIRECT(""&amp;$B$109&amp;"!$A$4"):INDIRECT(""&amp;$B$109&amp;"!$o$4"),0),FALSE))</f>
        <v>-9315.1896610000003</v>
      </c>
      <c r="I131" s="74">
        <f ca="1">IF(ISERROR(VLOOKUP($B131,OFFSET(INDIRECT(""&amp;$B$109&amp;"!$A$4"),0,0,200,100),MATCH(I$110,INDIRECT(""&amp;$B$109&amp;"!$A$4"):INDIRECT(""&amp;$B$109&amp;"!$o$4"),0),FALSE)),"",VLOOKUP($B131,OFFSET(INDIRECT(""&amp;$B$109&amp;"!$A$4"),0,0,200,100),MATCH(I$110,INDIRECT(""&amp;$B$109&amp;"!$A$4"):INDIRECT(""&amp;$B$109&amp;"!$o$4"),0),FALSE))</f>
        <v>-1399.3706999999999</v>
      </c>
      <c r="J131" s="74">
        <f ca="1">IF(ISERROR(VLOOKUP($B131,OFFSET(INDIRECT(""&amp;$B$109&amp;"!$A$4"),0,0,200,100),MATCH(J$110,INDIRECT(""&amp;$B$109&amp;"!$A$4"):INDIRECT(""&amp;$B$109&amp;"!$o$4"),0),FALSE)),"",VLOOKUP($B131,OFFSET(INDIRECT(""&amp;$B$109&amp;"!$A$4"),0,0,200,100),MATCH(J$110,INDIRECT(""&amp;$B$109&amp;"!$A$4"):INDIRECT(""&amp;$B$109&amp;"!$o$4"),0),FALSE))</f>
        <v>-1399.3706999999999</v>
      </c>
      <c r="K131" s="129" t="s">
        <v>363</v>
      </c>
      <c r="L131" s="190">
        <f ca="1">IF(ISERROR(VLOOKUP($K131,OFFSET(INDIRECT(""&amp;$S$109&amp;"!$A$4"),0,0,200,100),MATCH(L$110,INDIRECT(""&amp;$S$109&amp;"!$A$4"):INDIRECT(""&amp;$S$109&amp;"!$o$4"),0),FALSE)),"",VLOOKUP($K131,OFFSET(INDIRECT(""&amp;$S$109&amp;"!$A$4"),0,0,200,100),MATCH(L$110,INDIRECT(""&amp;$S$109&amp;"!$A$4"):INDIRECT(""&amp;$S$109&amp;"!$o$4"),0),FALSE))</f>
        <v>-2283.197255</v>
      </c>
      <c r="M131" s="190">
        <f ca="1">IF(ISERROR(VLOOKUP($K131,OFFSET(INDIRECT(""&amp;$S$109&amp;"!$A$4"),0,0,200,100),MATCH(M$110,INDIRECT(""&amp;$S$109&amp;"!$A$4"):INDIRECT(""&amp;$S$109&amp;"!$o$4"),0),FALSE)),"",VLOOKUP($K131,OFFSET(INDIRECT(""&amp;$S$109&amp;"!$A$4"),0,0,200,100),MATCH(M$110,INDIRECT(""&amp;$S$109&amp;"!$A$4"):INDIRECT(""&amp;$S$109&amp;"!$o$4"),0),FALSE))</f>
        <v>-31350.815852</v>
      </c>
      <c r="N131" s="190">
        <f ca="1">IF(ISERROR(VLOOKUP($K131,OFFSET(INDIRECT(""&amp;$S$109&amp;"!$A$4"),0,0,200,100),MATCH(N$110,INDIRECT(""&amp;$S$109&amp;"!$A$4"):INDIRECT(""&amp;$S$109&amp;"!$o$4"),0),FALSE)),"",VLOOKUP($K131,OFFSET(INDIRECT(""&amp;$S$109&amp;"!$A$4"),0,0,200,100),MATCH(N$110,INDIRECT(""&amp;$S$109&amp;"!$A$4"):INDIRECT(""&amp;$S$109&amp;"!$o$4"),0),FALSE))</f>
        <v>-47286.279153000003</v>
      </c>
      <c r="O131" s="190">
        <f ca="1">IF(ISERROR(VLOOKUP($K131,OFFSET(INDIRECT(""&amp;$S$109&amp;"!$A$4"),0,0,200,100),MATCH(O$110,INDIRECT(""&amp;$S$109&amp;"!$A$4"):INDIRECT(""&amp;$S$109&amp;"!$o$4"),0),FALSE)),"",VLOOKUP($K131,OFFSET(INDIRECT(""&amp;$S$109&amp;"!$A$4"),0,0,200,100),MATCH(O$110,INDIRECT(""&amp;$S$109&amp;"!$A$4"):INDIRECT(""&amp;$S$109&amp;"!$o$4"),0),FALSE))</f>
        <v>-3789.1138500000002</v>
      </c>
      <c r="P131" s="190">
        <f ca="1">IF(ISERROR(VLOOKUP($K131,OFFSET(INDIRECT(""&amp;$S$109&amp;"!$A$4"),0,0,200,100),MATCH(P$110,INDIRECT(""&amp;$S$109&amp;"!$A$4"):INDIRECT(""&amp;$S$109&amp;"!$o$4"),0),FALSE)),"",VLOOKUP($K131,OFFSET(INDIRECT(""&amp;$S$109&amp;"!$A$4"),0,0,200,100),MATCH(P$110,INDIRECT(""&amp;$S$109&amp;"!$A$4"):INDIRECT(""&amp;$S$109&amp;"!$o$4"),0),FALSE))</f>
        <v>-8015.3810960000001</v>
      </c>
      <c r="Q131" s="190">
        <f ca="1">IF(ISERROR(VLOOKUP($K131,OFFSET(INDIRECT(""&amp;$S$109&amp;"!$A$4"),0,0,200,100),MATCH(Q$110,INDIRECT(""&amp;$S$109&amp;"!$A$4"):INDIRECT(""&amp;$S$109&amp;"!$o$4"),0),FALSE)),"",VLOOKUP($K131,OFFSET(INDIRECT(""&amp;$S$109&amp;"!$A$4"),0,0,200,100),MATCH(Q$110,INDIRECT(""&amp;$S$109&amp;"!$A$4"):INDIRECT(""&amp;$S$109&amp;"!$o$4"),0),FALSE))</f>
        <v>0</v>
      </c>
      <c r="R131" s="190">
        <f ca="1">IF(ISERROR(VLOOKUP($K131,OFFSET(INDIRECT(""&amp;$S$109&amp;"!$A$4"),0,0,200,100),MATCH(R$110,INDIRECT(""&amp;$S$109&amp;"!$A$4"):INDIRECT(""&amp;$S$109&amp;"!$o$4"),0),FALSE)),"",VLOOKUP($K131,OFFSET(INDIRECT(""&amp;$S$109&amp;"!$A$4"),0,0,200,100),MATCH(R$110,INDIRECT(""&amp;$S$109&amp;"!$A$4"):INDIRECT(""&amp;$S$109&amp;"!$o$4"),0),FALSE))</f>
        <v>0</v>
      </c>
      <c r="S131" s="190">
        <f ca="1">IF(ISERROR(VLOOKUP($K131,OFFSET(INDIRECT(""&amp;$S$109&amp;"!$A$4"),0,0,200,100),MATCH(S$110,INDIRECT(""&amp;$S$109&amp;"!$A$4"):INDIRECT(""&amp;$S$109&amp;"!$o$4"),0),FALSE)),"",VLOOKUP($K131,OFFSET(INDIRECT(""&amp;$S$109&amp;"!$A$4"),0,0,200,100),MATCH(S$110,INDIRECT(""&amp;$S$109&amp;"!$A$4"):INDIRECT(""&amp;$S$109&amp;"!$o$4"),0),FALSE))</f>
        <v>-835.86800000000005</v>
      </c>
      <c r="T131" s="190">
        <f ca="1">IF(ISERROR(VLOOKUP($K131,OFFSET(INDIRECT(""&amp;$S$109&amp;"!$A$4"),0,0,200,100),MATCH(T$110,INDIRECT(""&amp;$S$109&amp;"!$A$4"):INDIRECT(""&amp;$S$109&amp;"!$o$4"),0),FALSE)),"",VLOOKUP($K131,OFFSET(INDIRECT(""&amp;$S$109&amp;"!$A$4"),0,0,200,100),MATCH(T$110,INDIRECT(""&amp;$S$109&amp;"!$A$4"):INDIRECT(""&amp;$S$109&amp;"!$o$4"),0),FALSE))</f>
        <v>-538.01461099999995</v>
      </c>
      <c r="U131" s="190">
        <f ca="1">IF(ISERROR(VLOOKUP($K131,OFFSET(INDIRECT(""&amp;$S$109&amp;"!$A$4"),0,0,200,100),MATCH(U$110,INDIRECT(""&amp;$S$109&amp;"!$A$4"):INDIRECT(""&amp;$S$109&amp;"!$o$4"),0),FALSE)),"",VLOOKUP($K131,OFFSET(INDIRECT(""&amp;$S$109&amp;"!$A$4"),0,0,200,100),MATCH(U$110,INDIRECT(""&amp;$S$109&amp;"!$A$4"):INDIRECT(""&amp;$S$109&amp;"!$o$4"),0),FALSE))</f>
        <v>-6361.2859909999997</v>
      </c>
      <c r="V131" s="190">
        <f ca="1">IF(ISERROR(VLOOKUP($K131,OFFSET(INDIRECT(""&amp;$S$109&amp;"!$A$4"),0,0,200,100),MATCH(V$110,INDIRECT(""&amp;$S$109&amp;"!$A$4"):INDIRECT(""&amp;$S$109&amp;"!$o$4"),0),FALSE)),"",VLOOKUP($K131,OFFSET(INDIRECT(""&amp;$S$109&amp;"!$A$4"),0,0,200,100),MATCH(V$110,INDIRECT(""&amp;$S$109&amp;"!$A$4"):INDIRECT(""&amp;$S$109&amp;"!$o$4"),0),FALSE))</f>
        <v>-81.34</v>
      </c>
      <c r="W131" s="190">
        <f ca="1">IF(ISERROR(VLOOKUP($K131,OFFSET(INDIRECT(""&amp;$S$109&amp;"!$A$4"),0,0,200,100),MATCH(W$110,INDIRECT(""&amp;$S$109&amp;"!$A$4"):INDIRECT(""&amp;$S$109&amp;"!$o$4"),0),FALSE)),"",VLOOKUP($K131,OFFSET(INDIRECT(""&amp;$S$109&amp;"!$A$4"),0,0,200,100),MATCH(W$110,INDIRECT(""&amp;$S$109&amp;"!$A$4"):INDIRECT(""&amp;$S$109&amp;"!$o$4"),0),FALSE))</f>
        <v>-141.05247299999999</v>
      </c>
      <c r="X131" s="190">
        <f ca="1">IF(ISERROR(VLOOKUP($K131,OFFSET(INDIRECT(""&amp;$S$109&amp;"!$A$4"),0,0,200,100),MATCH(X$110,INDIRECT(""&amp;$S$109&amp;"!$A$4"):INDIRECT(""&amp;$S$109&amp;"!$o$4"),0),FALSE)),"",VLOOKUP($K131,OFFSET(INDIRECT(""&amp;$S$109&amp;"!$A$4"),0,0,200,100),MATCH(X$110,INDIRECT(""&amp;$S$109&amp;"!$A$4"):INDIRECT(""&amp;$S$109&amp;"!$o$4"),0),FALSE))</f>
        <v>-299.40570000000002</v>
      </c>
      <c r="Y131" s="190">
        <f ca="1">IF(ISERROR(VLOOKUP($K131,OFFSET(INDIRECT(""&amp;$S$109&amp;"!$A$4"),0,0,200,100),MATCH(Y$110,INDIRECT(""&amp;$S$109&amp;"!$A$4"):INDIRECT(""&amp;$S$109&amp;"!$o$4"),0),FALSE)),"",VLOOKUP($K131,OFFSET(INDIRECT(""&amp;$S$109&amp;"!$A$4"),0,0,200,100),MATCH(Y$110,INDIRECT(""&amp;$S$109&amp;"!$A$4"):INDIRECT(""&amp;$S$109&amp;"!$o$4"),0),FALSE))</f>
        <v>-1113.4690000000001</v>
      </c>
      <c r="Z131" s="160">
        <f ca="1">IF(ISERROR(VLOOKUP($K131,OFFSET(INDIRECT(""&amp;$S$109&amp;"!$A$4"),0,0,200,100),MATCH(Z$110,INDIRECT(""&amp;$S$109&amp;"!$A$4"):INDIRECT(""&amp;$S$109&amp;"!$P$4"),0),FALSE)),"",VLOOKUP($K131,OFFSET(INDIRECT(""&amp;$S$109&amp;"!$A$4"),0,0,200,100),MATCH(Z$110,INDIRECT(""&amp;$S$109&amp;"!$A$4"):INDIRECT(""&amp;$S$109&amp;"!$P$4"),0),FALSE))</f>
        <v>-40.67</v>
      </c>
      <c r="AA131" s="190"/>
      <c r="AC131" s="126"/>
      <c r="AD131" s="126"/>
      <c r="AE131" s="126"/>
      <c r="AF131" s="126"/>
      <c r="AG131" s="126"/>
      <c r="AH131" s="126"/>
      <c r="AI131" s="148"/>
      <c r="AJ131" s="148"/>
      <c r="AK131" s="148"/>
      <c r="AL131" s="148"/>
      <c r="AM131" s="148"/>
      <c r="AN131" s="148"/>
      <c r="AO131" s="126"/>
      <c r="AP131" s="126"/>
      <c r="AQ131" s="126"/>
      <c r="AR131" s="126"/>
      <c r="AS131" s="126"/>
      <c r="AT131" s="72"/>
      <c r="AU131" s="72"/>
      <c r="AV131" s="73"/>
      <c r="AW131" s="73"/>
      <c r="AX131" s="73"/>
      <c r="AY131" s="73"/>
      <c r="AZ131" s="73"/>
      <c r="BA131" s="73"/>
      <c r="BB131" s="73"/>
      <c r="BC131" s="73"/>
      <c r="BD131" s="73"/>
      <c r="BE131" s="73"/>
      <c r="BF131" s="73"/>
    </row>
    <row r="132" spans="1:58" s="128" customFormat="1" ht="15.95" customHeight="1">
      <c r="A132" s="111" t="s">
        <v>320</v>
      </c>
      <c r="B132" s="111" t="s">
        <v>364</v>
      </c>
      <c r="C132" s="74">
        <f ca="1">IF(ISERROR(VLOOKUP($B132,OFFSET(INDIRECT(""&amp;$B$109&amp;"!$A$4"),0,0,200,100),MATCH(C$110,INDIRECT(""&amp;$B$109&amp;"!$A$4"):INDIRECT(""&amp;$B$109&amp;"!$o$4"),0),FALSE)),"",VLOOKUP($B132,OFFSET(INDIRECT(""&amp;$B$109&amp;"!$A$4"),0,0,200,100),MATCH(C$110,INDIRECT(""&amp;$B$109&amp;"!$A$4"):INDIRECT(""&amp;$B$109&amp;"!$o$4"),0),FALSE))</f>
        <v>0</v>
      </c>
      <c r="D132" s="74">
        <f ca="1">IF(ISERROR(VLOOKUP($B132,OFFSET(INDIRECT(""&amp;$B$109&amp;"!$A$4"),0,0,200,100),MATCH(D$110,INDIRECT(""&amp;$B$109&amp;"!$A$4"):INDIRECT(""&amp;$B$109&amp;"!$o$4"),0),FALSE)),"",VLOOKUP($B132,OFFSET(INDIRECT(""&amp;$B$109&amp;"!$A$4"),0,0,200,100),MATCH(D$110,INDIRECT(""&amp;$B$109&amp;"!$A$4"):INDIRECT(""&amp;$B$109&amp;"!$o$4"),0),FALSE))</f>
        <v>1169.49</v>
      </c>
      <c r="E132" s="74">
        <f ca="1">IF(ISERROR(VLOOKUP($B132,OFFSET(INDIRECT(""&amp;$B$109&amp;"!$A$4"),0,0,200,100),MATCH(E$110,INDIRECT(""&amp;$B$109&amp;"!$A$4"):INDIRECT(""&amp;$B$109&amp;"!$o$4"),0),FALSE)),"",VLOOKUP($B132,OFFSET(INDIRECT(""&amp;$B$109&amp;"!$A$4"),0,0,200,100),MATCH(E$110,INDIRECT(""&amp;$B$109&amp;"!$A$4"):INDIRECT(""&amp;$B$109&amp;"!$o$4"),0),FALSE))</f>
        <v>0</v>
      </c>
      <c r="F132" s="74">
        <f ca="1">IF(ISERROR(VLOOKUP($B132,OFFSET(INDIRECT(""&amp;$B$109&amp;"!$A$4"),0,0,200,100),MATCH(F$110,INDIRECT(""&amp;$B$109&amp;"!$A$4"):INDIRECT(""&amp;$B$109&amp;"!$o$4"),0),FALSE)),"",VLOOKUP($B132,OFFSET(INDIRECT(""&amp;$B$109&amp;"!$A$4"),0,0,200,100),MATCH(F$110,INDIRECT(""&amp;$B$109&amp;"!$A$4"):INDIRECT(""&amp;$B$109&amp;"!$o$4"),0),FALSE))</f>
        <v>0</v>
      </c>
      <c r="G132" s="74">
        <f ca="1">IF(ISERROR(VLOOKUP($B132,OFFSET(INDIRECT(""&amp;$B$109&amp;"!$A$4"),0,0,200,100),MATCH(G$110,INDIRECT(""&amp;$B$109&amp;"!$A$4"):INDIRECT(""&amp;$B$109&amp;"!$o$4"),0),FALSE)),"",VLOOKUP($B132,OFFSET(INDIRECT(""&amp;$B$109&amp;"!$A$4"),0,0,200,100),MATCH(G$110,INDIRECT(""&amp;$B$109&amp;"!$A$4"):INDIRECT(""&amp;$B$109&amp;"!$o$4"),0),FALSE))</f>
        <v>0</v>
      </c>
      <c r="H132" s="74">
        <f ca="1">IF(ISERROR(VLOOKUP($B132,OFFSET(INDIRECT(""&amp;$B$109&amp;"!$A$4"),0,0,200,100),MATCH(H$110,INDIRECT(""&amp;$B$109&amp;"!$A$4"):INDIRECT(""&amp;$B$109&amp;"!$o$4"),0),FALSE)),"",VLOOKUP($B132,OFFSET(INDIRECT(""&amp;$B$109&amp;"!$A$4"),0,0,200,100),MATCH(H$110,INDIRECT(""&amp;$B$109&amp;"!$A$4"):INDIRECT(""&amp;$B$109&amp;"!$o$4"),0),FALSE))</f>
        <v>0</v>
      </c>
      <c r="I132" s="74">
        <f ca="1">IF(ISERROR(VLOOKUP($B132,OFFSET(INDIRECT(""&amp;$B$109&amp;"!$A$4"),0,0,200,100),MATCH(I$110,INDIRECT(""&amp;$B$109&amp;"!$A$4"):INDIRECT(""&amp;$B$109&amp;"!$o$4"),0),FALSE)),"",VLOOKUP($B132,OFFSET(INDIRECT(""&amp;$B$109&amp;"!$A$4"),0,0,200,100),MATCH(I$110,INDIRECT(""&amp;$B$109&amp;"!$A$4"):INDIRECT(""&amp;$B$109&amp;"!$o$4"),0),FALSE))</f>
        <v>555.35454600000003</v>
      </c>
      <c r="J132" s="74">
        <f ca="1">IF(ISERROR(VLOOKUP($B132,OFFSET(INDIRECT(""&amp;$B$109&amp;"!$A$4"),0,0,200,100),MATCH(J$110,INDIRECT(""&amp;$B$109&amp;"!$A$4"):INDIRECT(""&amp;$B$109&amp;"!$o$4"),0),FALSE)),"",VLOOKUP($B132,OFFSET(INDIRECT(""&amp;$B$109&amp;"!$A$4"),0,0,200,100),MATCH(J$110,INDIRECT(""&amp;$B$109&amp;"!$A$4"):INDIRECT(""&amp;$B$109&amp;"!$o$4"),0),FALSE))</f>
        <v>555.35454600000003</v>
      </c>
      <c r="K132" s="129" t="s">
        <v>364</v>
      </c>
      <c r="L132" s="190">
        <f ca="1">IF(ISERROR(VLOOKUP($K132,OFFSET(INDIRECT(""&amp;$S$109&amp;"!$A$4"),0,0,200,100),MATCH(L$110,INDIRECT(""&amp;$S$109&amp;"!$A$4"):INDIRECT(""&amp;$S$109&amp;"!$o$4"),0),FALSE)),"",VLOOKUP($K132,OFFSET(INDIRECT(""&amp;$S$109&amp;"!$A$4"),0,0,200,100),MATCH(L$110,INDIRECT(""&amp;$S$109&amp;"!$A$4"):INDIRECT(""&amp;$S$109&amp;"!$o$4"),0),FALSE))</f>
        <v>0</v>
      </c>
      <c r="M132" s="190">
        <f ca="1">IF(ISERROR(VLOOKUP($K132,OFFSET(INDIRECT(""&amp;$S$109&amp;"!$A$4"),0,0,200,100),MATCH(M$110,INDIRECT(""&amp;$S$109&amp;"!$A$4"):INDIRECT(""&amp;$S$109&amp;"!$o$4"),0),FALSE)),"",VLOOKUP($K132,OFFSET(INDIRECT(""&amp;$S$109&amp;"!$A$4"),0,0,200,100),MATCH(M$110,INDIRECT(""&amp;$S$109&amp;"!$A$4"):INDIRECT(""&amp;$S$109&amp;"!$o$4"),0),FALSE))</f>
        <v>0</v>
      </c>
      <c r="N132" s="190">
        <f ca="1">IF(ISERROR(VLOOKUP($K132,OFFSET(INDIRECT(""&amp;$S$109&amp;"!$A$4"),0,0,200,100),MATCH(N$110,INDIRECT(""&amp;$S$109&amp;"!$A$4"):INDIRECT(""&amp;$S$109&amp;"!$o$4"),0),FALSE)),"",VLOOKUP($K132,OFFSET(INDIRECT(""&amp;$S$109&amp;"!$A$4"),0,0,200,100),MATCH(N$110,INDIRECT(""&amp;$S$109&amp;"!$A$4"):INDIRECT(""&amp;$S$109&amp;"!$o$4"),0),FALSE))</f>
        <v>0</v>
      </c>
      <c r="O132" s="190">
        <f ca="1">IF(ISERROR(VLOOKUP($K132,OFFSET(INDIRECT(""&amp;$S$109&amp;"!$A$4"),0,0,200,100),MATCH(O$110,INDIRECT(""&amp;$S$109&amp;"!$A$4"):INDIRECT(""&amp;$S$109&amp;"!$o$4"),0),FALSE)),"",VLOOKUP($K132,OFFSET(INDIRECT(""&amp;$S$109&amp;"!$A$4"),0,0,200,100),MATCH(O$110,INDIRECT(""&amp;$S$109&amp;"!$A$4"):INDIRECT(""&amp;$S$109&amp;"!$o$4"),0),FALSE))</f>
        <v>0</v>
      </c>
      <c r="P132" s="190">
        <f ca="1">IF(ISERROR(VLOOKUP($K132,OFFSET(INDIRECT(""&amp;$S$109&amp;"!$A$4"),0,0,200,100),MATCH(P$110,INDIRECT(""&amp;$S$109&amp;"!$A$4"):INDIRECT(""&amp;$S$109&amp;"!$o$4"),0),FALSE)),"",VLOOKUP($K132,OFFSET(INDIRECT(""&amp;$S$109&amp;"!$A$4"),0,0,200,100),MATCH(P$110,INDIRECT(""&amp;$S$109&amp;"!$A$4"):INDIRECT(""&amp;$S$109&amp;"!$o$4"),0),FALSE))</f>
        <v>0</v>
      </c>
      <c r="Q132" s="190">
        <f ca="1">IF(ISERROR(VLOOKUP($K132,OFFSET(INDIRECT(""&amp;$S$109&amp;"!$A$4"),0,0,200,100),MATCH(Q$110,INDIRECT(""&amp;$S$109&amp;"!$A$4"):INDIRECT(""&amp;$S$109&amp;"!$o$4"),0),FALSE)),"",VLOOKUP($K132,OFFSET(INDIRECT(""&amp;$S$109&amp;"!$A$4"),0,0,200,100),MATCH(Q$110,INDIRECT(""&amp;$S$109&amp;"!$A$4"):INDIRECT(""&amp;$S$109&amp;"!$o$4"),0),FALSE))</f>
        <v>0</v>
      </c>
      <c r="R132" s="190">
        <f ca="1">IF(ISERROR(VLOOKUP($K132,OFFSET(INDIRECT(""&amp;$S$109&amp;"!$A$4"),0,0,200,100),MATCH(R$110,INDIRECT(""&amp;$S$109&amp;"!$A$4"):INDIRECT(""&amp;$S$109&amp;"!$o$4"),0),FALSE)),"",VLOOKUP($K132,OFFSET(INDIRECT(""&amp;$S$109&amp;"!$A$4"),0,0,200,100),MATCH(R$110,INDIRECT(""&amp;$S$109&amp;"!$A$4"):INDIRECT(""&amp;$S$109&amp;"!$o$4"),0),FALSE))</f>
        <v>0</v>
      </c>
      <c r="S132" s="190">
        <f ca="1">IF(ISERROR(VLOOKUP($K132,OFFSET(INDIRECT(""&amp;$S$109&amp;"!$A$4"),0,0,200,100),MATCH(S$110,INDIRECT(""&amp;$S$109&amp;"!$A$4"):INDIRECT(""&amp;$S$109&amp;"!$o$4"),0),FALSE)),"",VLOOKUP($K132,OFFSET(INDIRECT(""&amp;$S$109&amp;"!$A$4"),0,0,200,100),MATCH(S$110,INDIRECT(""&amp;$S$109&amp;"!$A$4"):INDIRECT(""&amp;$S$109&amp;"!$o$4"),0),FALSE))</f>
        <v>101.2</v>
      </c>
      <c r="T132" s="190">
        <f ca="1">IF(ISERROR(VLOOKUP($K132,OFFSET(INDIRECT(""&amp;$S$109&amp;"!$A$4"),0,0,200,100),MATCH(T$110,INDIRECT(""&amp;$S$109&amp;"!$A$4"):INDIRECT(""&amp;$S$109&amp;"!$o$4"),0),FALSE)),"",VLOOKUP($K132,OFFSET(INDIRECT(""&amp;$S$109&amp;"!$A$4"),0,0,200,100),MATCH(T$110,INDIRECT(""&amp;$S$109&amp;"!$A$4"):INDIRECT(""&amp;$S$109&amp;"!$o$4"),0),FALSE))</f>
        <v>0</v>
      </c>
      <c r="U132" s="190">
        <f ca="1">IF(ISERROR(VLOOKUP($K132,OFFSET(INDIRECT(""&amp;$S$109&amp;"!$A$4"),0,0,200,100),MATCH(U$110,INDIRECT(""&amp;$S$109&amp;"!$A$4"):INDIRECT(""&amp;$S$109&amp;"!$o$4"),0),FALSE)),"",VLOOKUP($K132,OFFSET(INDIRECT(""&amp;$S$109&amp;"!$A$4"),0,0,200,100),MATCH(U$110,INDIRECT(""&amp;$S$109&amp;"!$A$4"):INDIRECT(""&amp;$S$109&amp;"!$o$4"),0),FALSE))</f>
        <v>0</v>
      </c>
      <c r="V132" s="190">
        <f ca="1">IF(ISERROR(VLOOKUP($K132,OFFSET(INDIRECT(""&amp;$S$109&amp;"!$A$4"),0,0,200,100),MATCH(V$110,INDIRECT(""&amp;$S$109&amp;"!$A$4"):INDIRECT(""&amp;$S$109&amp;"!$o$4"),0),FALSE)),"",VLOOKUP($K132,OFFSET(INDIRECT(""&amp;$S$109&amp;"!$A$4"),0,0,200,100),MATCH(V$110,INDIRECT(""&amp;$S$109&amp;"!$A$4"):INDIRECT(""&amp;$S$109&amp;"!$o$4"),0),FALSE))</f>
        <v>0</v>
      </c>
      <c r="W132" s="190">
        <f ca="1">IF(ISERROR(VLOOKUP($K132,OFFSET(INDIRECT(""&amp;$S$109&amp;"!$A$4"),0,0,200,100),MATCH(W$110,INDIRECT(""&amp;$S$109&amp;"!$A$4"):INDIRECT(""&amp;$S$109&amp;"!$o$4"),0),FALSE)),"",VLOOKUP($K132,OFFSET(INDIRECT(""&amp;$S$109&amp;"!$A$4"),0,0,200,100),MATCH(W$110,INDIRECT(""&amp;$S$109&amp;"!$A$4"):INDIRECT(""&amp;$S$109&amp;"!$o$4"),0),FALSE))</f>
        <v>0</v>
      </c>
      <c r="X132" s="190">
        <f ca="1">IF(ISERROR(VLOOKUP($K132,OFFSET(INDIRECT(""&amp;$S$109&amp;"!$A$4"),0,0,200,100),MATCH(X$110,INDIRECT(""&amp;$S$109&amp;"!$A$4"):INDIRECT(""&amp;$S$109&amp;"!$o$4"),0),FALSE)),"",VLOOKUP($K132,OFFSET(INDIRECT(""&amp;$S$109&amp;"!$A$4"),0,0,200,100),MATCH(X$110,INDIRECT(""&amp;$S$109&amp;"!$A$4"):INDIRECT(""&amp;$S$109&amp;"!$o$4"),0),FALSE))</f>
        <v>0</v>
      </c>
      <c r="Y132" s="190">
        <f ca="1">IF(ISERROR(VLOOKUP($K132,OFFSET(INDIRECT(""&amp;$S$109&amp;"!$A$4"),0,0,200,100),MATCH(Y$110,INDIRECT(""&amp;$S$109&amp;"!$A$4"):INDIRECT(""&amp;$S$109&amp;"!$o$4"),0),FALSE)),"",VLOOKUP($K132,OFFSET(INDIRECT(""&amp;$S$109&amp;"!$A$4"),0,0,200,100),MATCH(Y$110,INDIRECT(""&amp;$S$109&amp;"!$A$4"):INDIRECT(""&amp;$S$109&amp;"!$o$4"),0),FALSE))</f>
        <v>0.4</v>
      </c>
      <c r="Z132" s="160">
        <f ca="1">IF(ISERROR(VLOOKUP($K132,OFFSET(INDIRECT(""&amp;$S$109&amp;"!$A$4"),0,0,200,100),MATCH(Z$110,INDIRECT(""&amp;$S$109&amp;"!$A$4"):INDIRECT(""&amp;$S$109&amp;"!$P$4"),0),FALSE)),"",VLOOKUP($K132,OFFSET(INDIRECT(""&amp;$S$109&amp;"!$A$4"),0,0,200,100),MATCH(Z$110,INDIRECT(""&amp;$S$109&amp;"!$A$4"):INDIRECT(""&amp;$S$109&amp;"!$P$4"),0),FALSE))</f>
        <v>0</v>
      </c>
      <c r="AA132" s="190"/>
      <c r="AC132" s="126"/>
      <c r="AD132" s="126"/>
      <c r="AE132" s="126"/>
      <c r="AF132" s="126"/>
      <c r="AG132" s="126"/>
      <c r="AH132" s="126"/>
      <c r="AI132" s="148"/>
      <c r="AJ132" s="148"/>
      <c r="AK132" s="148"/>
      <c r="AL132" s="148"/>
      <c r="AM132" s="148"/>
      <c r="AN132" s="148"/>
      <c r="AO132" s="126"/>
      <c r="AP132" s="126"/>
      <c r="AQ132" s="126"/>
      <c r="AR132" s="126"/>
      <c r="AS132" s="126"/>
      <c r="AT132" s="72"/>
      <c r="AU132" s="72"/>
      <c r="AV132" s="73"/>
      <c r="AW132" s="73"/>
      <c r="AX132" s="73"/>
      <c r="AY132" s="73"/>
      <c r="AZ132" s="73"/>
      <c r="BA132" s="73"/>
      <c r="BB132" s="73"/>
      <c r="BC132" s="73"/>
      <c r="BD132" s="73"/>
      <c r="BE132" s="73"/>
      <c r="BF132" s="73"/>
    </row>
    <row r="133" spans="1:58" s="128" customFormat="1" ht="15.95" customHeight="1">
      <c r="A133" s="111" t="s">
        <v>321</v>
      </c>
      <c r="B133" s="111" t="s">
        <v>365</v>
      </c>
      <c r="C133" s="74">
        <f ca="1">IF(ISERROR(VLOOKUP($B133,OFFSET(INDIRECT(""&amp;$B$109&amp;"!$A$4"),0,0,200,100),MATCH(C$110,INDIRECT(""&amp;$B$109&amp;"!$A$4"):INDIRECT(""&amp;$B$109&amp;"!$o$4"),0),FALSE)),"",VLOOKUP($B133,OFFSET(INDIRECT(""&amp;$B$109&amp;"!$A$4"),0,0,200,100),MATCH(C$110,INDIRECT(""&amp;$B$109&amp;"!$A$4"):INDIRECT(""&amp;$B$109&amp;"!$o$4"),0),FALSE))</f>
        <v>0</v>
      </c>
      <c r="D133" s="74">
        <f ca="1">IF(ISERROR(VLOOKUP($B133,OFFSET(INDIRECT(""&amp;$B$109&amp;"!$A$4"),0,0,200,100),MATCH(D$110,INDIRECT(""&amp;$B$109&amp;"!$A$4"):INDIRECT(""&amp;$B$109&amp;"!$o$4"),0),FALSE)),"",VLOOKUP($B133,OFFSET(INDIRECT(""&amp;$B$109&amp;"!$A$4"),0,0,200,100),MATCH(D$110,INDIRECT(""&amp;$B$109&amp;"!$A$4"):INDIRECT(""&amp;$B$109&amp;"!$o$4"),0),FALSE))</f>
        <v>-31757.32</v>
      </c>
      <c r="E133" s="74">
        <f ca="1">IF(ISERROR(VLOOKUP($B133,OFFSET(INDIRECT(""&amp;$B$109&amp;"!$A$4"),0,0,200,100),MATCH(E$110,INDIRECT(""&amp;$B$109&amp;"!$A$4"):INDIRECT(""&amp;$B$109&amp;"!$o$4"),0),FALSE)),"",VLOOKUP($B133,OFFSET(INDIRECT(""&amp;$B$109&amp;"!$A$4"),0,0,200,100),MATCH(E$110,INDIRECT(""&amp;$B$109&amp;"!$A$4"):INDIRECT(""&amp;$B$109&amp;"!$o$4"),0),FALSE))</f>
        <v>-8842.375</v>
      </c>
      <c r="F133" s="74">
        <f ca="1">IF(ISERROR(VLOOKUP($B133,OFFSET(INDIRECT(""&amp;$B$109&amp;"!$A$4"),0,0,200,100),MATCH(F$110,INDIRECT(""&amp;$B$109&amp;"!$A$4"):INDIRECT(""&amp;$B$109&amp;"!$o$4"),0),FALSE)),"",VLOOKUP($B133,OFFSET(INDIRECT(""&amp;$B$109&amp;"!$A$4"),0,0,200,100),MATCH(F$110,INDIRECT(""&amp;$B$109&amp;"!$A$4"):INDIRECT(""&amp;$B$109&amp;"!$o$4"),0),FALSE))</f>
        <v>-6100</v>
      </c>
      <c r="G133" s="74">
        <f ca="1">IF(ISERROR(VLOOKUP($B133,OFFSET(INDIRECT(""&amp;$B$109&amp;"!$A$4"),0,0,200,100),MATCH(G$110,INDIRECT(""&amp;$B$109&amp;"!$A$4"):INDIRECT(""&amp;$B$109&amp;"!$o$4"),0),FALSE)),"",VLOOKUP($B133,OFFSET(INDIRECT(""&amp;$B$109&amp;"!$A$4"),0,0,200,100),MATCH(G$110,INDIRECT(""&amp;$B$109&amp;"!$A$4"):INDIRECT(""&amp;$B$109&amp;"!$o$4"),0),FALSE))</f>
        <v>-20849</v>
      </c>
      <c r="H133" s="74">
        <f ca="1">IF(ISERROR(VLOOKUP($B133,OFFSET(INDIRECT(""&amp;$B$109&amp;"!$A$4"),0,0,200,100),MATCH(H$110,INDIRECT(""&amp;$B$109&amp;"!$A$4"):INDIRECT(""&amp;$B$109&amp;"!$o$4"),0),FALSE)),"",VLOOKUP($B133,OFFSET(INDIRECT(""&amp;$B$109&amp;"!$A$4"),0,0,200,100),MATCH(H$110,INDIRECT(""&amp;$B$109&amp;"!$A$4"):INDIRECT(""&amp;$B$109&amp;"!$o$4"),0),FALSE))</f>
        <v>-1750</v>
      </c>
      <c r="I133" s="74">
        <f ca="1">IF(ISERROR(VLOOKUP($B133,OFFSET(INDIRECT(""&amp;$B$109&amp;"!$A$4"),0,0,200,100),MATCH(I$110,INDIRECT(""&amp;$B$109&amp;"!$A$4"):INDIRECT(""&amp;$B$109&amp;"!$o$4"),0),FALSE)),"",VLOOKUP($B133,OFFSET(INDIRECT(""&amp;$B$109&amp;"!$A$4"),0,0,200,100),MATCH(I$110,INDIRECT(""&amp;$B$109&amp;"!$A$4"):INDIRECT(""&amp;$B$109&amp;"!$o$4"),0),FALSE))</f>
        <v>0</v>
      </c>
      <c r="J133" s="74">
        <f ca="1">IF(ISERROR(VLOOKUP($B133,OFFSET(INDIRECT(""&amp;$B$109&amp;"!$A$4"),0,0,200,100),MATCH(J$110,INDIRECT(""&amp;$B$109&amp;"!$A$4"):INDIRECT(""&amp;$B$109&amp;"!$o$4"),0),FALSE)),"",VLOOKUP($B133,OFFSET(INDIRECT(""&amp;$B$109&amp;"!$A$4"),0,0,200,100),MATCH(J$110,INDIRECT(""&amp;$B$109&amp;"!$A$4"):INDIRECT(""&amp;$B$109&amp;"!$o$4"),0),FALSE))</f>
        <v>0</v>
      </c>
      <c r="K133" s="129" t="s">
        <v>365</v>
      </c>
      <c r="L133" s="190">
        <f ca="1">IF(ISERROR(VLOOKUP($K133,OFFSET(INDIRECT(""&amp;$S$109&amp;"!$A$4"),0,0,200,100),MATCH(L$110,INDIRECT(""&amp;$S$109&amp;"!$A$4"):INDIRECT(""&amp;$S$109&amp;"!$o$4"),0),FALSE)),"",VLOOKUP($K133,OFFSET(INDIRECT(""&amp;$S$109&amp;"!$A$4"),0,0,200,100),MATCH(L$110,INDIRECT(""&amp;$S$109&amp;"!$A$4"):INDIRECT(""&amp;$S$109&amp;"!$o$4"),0),FALSE))</f>
        <v>0</v>
      </c>
      <c r="M133" s="190">
        <f ca="1">IF(ISERROR(VLOOKUP($K133,OFFSET(INDIRECT(""&amp;$S$109&amp;"!$A$4"),0,0,200,100),MATCH(M$110,INDIRECT(""&amp;$S$109&amp;"!$A$4"):INDIRECT(""&amp;$S$109&amp;"!$o$4"),0),FALSE)),"",VLOOKUP($K133,OFFSET(INDIRECT(""&amp;$S$109&amp;"!$A$4"),0,0,200,100),MATCH(M$110,INDIRECT(""&amp;$S$109&amp;"!$A$4"):INDIRECT(""&amp;$S$109&amp;"!$o$4"),0),FALSE))</f>
        <v>-4900</v>
      </c>
      <c r="N133" s="190">
        <f ca="1">IF(ISERROR(VLOOKUP($K133,OFFSET(INDIRECT(""&amp;$S$109&amp;"!$A$4"),0,0,200,100),MATCH(N$110,INDIRECT(""&amp;$S$109&amp;"!$A$4"):INDIRECT(""&amp;$S$109&amp;"!$o$4"),0),FALSE)),"",VLOOKUP($K133,OFFSET(INDIRECT(""&amp;$S$109&amp;"!$A$4"),0,0,200,100),MATCH(N$110,INDIRECT(""&amp;$S$109&amp;"!$A$4"):INDIRECT(""&amp;$S$109&amp;"!$o$4"),0),FALSE))</f>
        <v>0</v>
      </c>
      <c r="O133" s="190">
        <f ca="1">IF(ISERROR(VLOOKUP($K133,OFFSET(INDIRECT(""&amp;$S$109&amp;"!$A$4"),0,0,200,100),MATCH(O$110,INDIRECT(""&amp;$S$109&amp;"!$A$4"):INDIRECT(""&amp;$S$109&amp;"!$o$4"),0),FALSE)),"",VLOOKUP($K133,OFFSET(INDIRECT(""&amp;$S$109&amp;"!$A$4"),0,0,200,100),MATCH(O$110,INDIRECT(""&amp;$S$109&amp;"!$A$4"):INDIRECT(""&amp;$S$109&amp;"!$o$4"),0),FALSE))</f>
        <v>0</v>
      </c>
      <c r="P133" s="190">
        <f ca="1">IF(ISERROR(VLOOKUP($K133,OFFSET(INDIRECT(""&amp;$S$109&amp;"!$A$4"),0,0,200,100),MATCH(P$110,INDIRECT(""&amp;$S$109&amp;"!$A$4"):INDIRECT(""&amp;$S$109&amp;"!$o$4"),0),FALSE)),"",VLOOKUP($K133,OFFSET(INDIRECT(""&amp;$S$109&amp;"!$A$4"),0,0,200,100),MATCH(P$110,INDIRECT(""&amp;$S$109&amp;"!$A$4"):INDIRECT(""&amp;$S$109&amp;"!$o$4"),0),FALSE))</f>
        <v>0</v>
      </c>
      <c r="Q133" s="190">
        <f ca="1">IF(ISERROR(VLOOKUP($K133,OFFSET(INDIRECT(""&amp;$S$109&amp;"!$A$4"),0,0,200,100),MATCH(Q$110,INDIRECT(""&amp;$S$109&amp;"!$A$4"):INDIRECT(""&amp;$S$109&amp;"!$o$4"),0),FALSE)),"",VLOOKUP($K133,OFFSET(INDIRECT(""&amp;$S$109&amp;"!$A$4"),0,0,200,100),MATCH(Q$110,INDIRECT(""&amp;$S$109&amp;"!$A$4"):INDIRECT(""&amp;$S$109&amp;"!$o$4"),0),FALSE))</f>
        <v>0</v>
      </c>
      <c r="R133" s="190">
        <f ca="1">IF(ISERROR(VLOOKUP($K133,OFFSET(INDIRECT(""&amp;$S$109&amp;"!$A$4"),0,0,200,100),MATCH(R$110,INDIRECT(""&amp;$S$109&amp;"!$A$4"):INDIRECT(""&amp;$S$109&amp;"!$o$4"),0),FALSE)),"",VLOOKUP($K133,OFFSET(INDIRECT(""&amp;$S$109&amp;"!$A$4"),0,0,200,100),MATCH(R$110,INDIRECT(""&amp;$S$109&amp;"!$A$4"):INDIRECT(""&amp;$S$109&amp;"!$o$4"),0),FALSE))</f>
        <v>0</v>
      </c>
      <c r="S133" s="190">
        <f ca="1">IF(ISERROR(VLOOKUP($K133,OFFSET(INDIRECT(""&amp;$S$109&amp;"!$A$4"),0,0,200,100),MATCH(S$110,INDIRECT(""&amp;$S$109&amp;"!$A$4"):INDIRECT(""&amp;$S$109&amp;"!$o$4"),0),FALSE)),"",VLOOKUP($K133,OFFSET(INDIRECT(""&amp;$S$109&amp;"!$A$4"),0,0,200,100),MATCH(S$110,INDIRECT(""&amp;$S$109&amp;"!$A$4"):INDIRECT(""&amp;$S$109&amp;"!$o$4"),0),FALSE))</f>
        <v>0</v>
      </c>
      <c r="T133" s="190">
        <f ca="1">IF(ISERROR(VLOOKUP($K133,OFFSET(INDIRECT(""&amp;$S$109&amp;"!$A$4"),0,0,200,100),MATCH(T$110,INDIRECT(""&amp;$S$109&amp;"!$A$4"):INDIRECT(""&amp;$S$109&amp;"!$o$4"),0),FALSE)),"",VLOOKUP($K133,OFFSET(INDIRECT(""&amp;$S$109&amp;"!$A$4"),0,0,200,100),MATCH(T$110,INDIRECT(""&amp;$S$109&amp;"!$A$4"):INDIRECT(""&amp;$S$109&amp;"!$o$4"),0),FALSE))</f>
        <v>0</v>
      </c>
      <c r="U133" s="190">
        <f ca="1">IF(ISERROR(VLOOKUP($K133,OFFSET(INDIRECT(""&amp;$S$109&amp;"!$A$4"),0,0,200,100),MATCH(U$110,INDIRECT(""&amp;$S$109&amp;"!$A$4"):INDIRECT(""&amp;$S$109&amp;"!$o$4"),0),FALSE)),"",VLOOKUP($K133,OFFSET(INDIRECT(""&amp;$S$109&amp;"!$A$4"),0,0,200,100),MATCH(U$110,INDIRECT(""&amp;$S$109&amp;"!$A$4"):INDIRECT(""&amp;$S$109&amp;"!$o$4"),0),FALSE))</f>
        <v>0</v>
      </c>
      <c r="V133" s="190">
        <f ca="1">IF(ISERROR(VLOOKUP($K133,OFFSET(INDIRECT(""&amp;$S$109&amp;"!$A$4"),0,0,200,100),MATCH(V$110,INDIRECT(""&amp;$S$109&amp;"!$A$4"):INDIRECT(""&amp;$S$109&amp;"!$o$4"),0),FALSE)),"",VLOOKUP($K133,OFFSET(INDIRECT(""&amp;$S$109&amp;"!$A$4"),0,0,200,100),MATCH(V$110,INDIRECT(""&amp;$S$109&amp;"!$A$4"):INDIRECT(""&amp;$S$109&amp;"!$o$4"),0),FALSE))</f>
        <v>0</v>
      </c>
      <c r="W133" s="190">
        <f ca="1">IF(ISERROR(VLOOKUP($K133,OFFSET(INDIRECT(""&amp;$S$109&amp;"!$A$4"),0,0,200,100),MATCH(W$110,INDIRECT(""&amp;$S$109&amp;"!$A$4"):INDIRECT(""&amp;$S$109&amp;"!$o$4"),0),FALSE)),"",VLOOKUP($K133,OFFSET(INDIRECT(""&amp;$S$109&amp;"!$A$4"),0,0,200,100),MATCH(W$110,INDIRECT(""&amp;$S$109&amp;"!$A$4"):INDIRECT(""&amp;$S$109&amp;"!$o$4"),0),FALSE))</f>
        <v>0</v>
      </c>
      <c r="X133" s="190">
        <f ca="1">IF(ISERROR(VLOOKUP($K133,OFFSET(INDIRECT(""&amp;$S$109&amp;"!$A$4"),0,0,200,100),MATCH(X$110,INDIRECT(""&amp;$S$109&amp;"!$A$4"):INDIRECT(""&amp;$S$109&amp;"!$o$4"),0),FALSE)),"",VLOOKUP($K133,OFFSET(INDIRECT(""&amp;$S$109&amp;"!$A$4"),0,0,200,100),MATCH(X$110,INDIRECT(""&amp;$S$109&amp;"!$A$4"):INDIRECT(""&amp;$S$109&amp;"!$o$4"),0),FALSE))</f>
        <v>0</v>
      </c>
      <c r="Y133" s="190">
        <f ca="1">IF(ISERROR(VLOOKUP($K133,OFFSET(INDIRECT(""&amp;$S$109&amp;"!$A$4"),0,0,200,100),MATCH(Y$110,INDIRECT(""&amp;$S$109&amp;"!$A$4"):INDIRECT(""&amp;$S$109&amp;"!$o$4"),0),FALSE)),"",VLOOKUP($K133,OFFSET(INDIRECT(""&amp;$S$109&amp;"!$A$4"),0,0,200,100),MATCH(Y$110,INDIRECT(""&amp;$S$109&amp;"!$A$4"):INDIRECT(""&amp;$S$109&amp;"!$o$4"),0),FALSE))</f>
        <v>0</v>
      </c>
      <c r="Z133" s="160">
        <f ca="1">IF(ISERROR(VLOOKUP($K133,OFFSET(INDIRECT(""&amp;$S$109&amp;"!$A$4"),0,0,200,100),MATCH(Z$110,INDIRECT(""&amp;$S$109&amp;"!$A$4"):INDIRECT(""&amp;$S$109&amp;"!$P$4"),0),FALSE)),"",VLOOKUP($K133,OFFSET(INDIRECT(""&amp;$S$109&amp;"!$A$4"),0,0,200,100),MATCH(Z$110,INDIRECT(""&amp;$S$109&amp;"!$A$4"):INDIRECT(""&amp;$S$109&amp;"!$P$4"),0),FALSE))</f>
        <v>0</v>
      </c>
      <c r="AA133" s="190"/>
      <c r="AC133" s="126"/>
      <c r="AD133" s="126"/>
      <c r="AE133" s="126"/>
      <c r="AF133" s="126"/>
      <c r="AG133" s="126"/>
      <c r="AH133" s="126"/>
      <c r="AI133" s="148"/>
      <c r="AJ133" s="148"/>
      <c r="AK133" s="148"/>
      <c r="AL133" s="148"/>
      <c r="AM133" s="148"/>
      <c r="AN133" s="148"/>
      <c r="AO133" s="126"/>
      <c r="AP133" s="126"/>
      <c r="AQ133" s="126"/>
      <c r="AR133" s="126"/>
      <c r="AS133" s="126"/>
      <c r="AT133" s="72"/>
      <c r="AU133" s="72"/>
      <c r="AV133" s="73"/>
      <c r="AW133" s="73"/>
      <c r="AX133" s="73"/>
      <c r="AY133" s="73"/>
      <c r="AZ133" s="73"/>
      <c r="BA133" s="73"/>
      <c r="BB133" s="73"/>
      <c r="BC133" s="73"/>
      <c r="BD133" s="73"/>
      <c r="BE133" s="73"/>
      <c r="BF133" s="73"/>
    </row>
    <row r="134" spans="1:58" s="128" customFormat="1" ht="15.95" customHeight="1">
      <c r="A134" s="111" t="s">
        <v>322</v>
      </c>
      <c r="B134" s="111" t="s">
        <v>366</v>
      </c>
      <c r="C134" s="74">
        <f ca="1">IF(ISERROR(VLOOKUP($B134,OFFSET(INDIRECT(""&amp;$B$109&amp;"!$A$4"),0,0,200,100),MATCH(C$110,INDIRECT(""&amp;$B$109&amp;"!$A$4"):INDIRECT(""&amp;$B$109&amp;"!$o$4"),0),FALSE)),"",VLOOKUP($B134,OFFSET(INDIRECT(""&amp;$B$109&amp;"!$A$4"),0,0,200,100),MATCH(C$110,INDIRECT(""&amp;$B$109&amp;"!$A$4"):INDIRECT(""&amp;$B$109&amp;"!$o$4"),0),FALSE))</f>
        <v>0</v>
      </c>
      <c r="D134" s="74">
        <f ca="1">IF(ISERROR(VLOOKUP($B134,OFFSET(INDIRECT(""&amp;$B$109&amp;"!$A$4"),0,0,200,100),MATCH(D$110,INDIRECT(""&amp;$B$109&amp;"!$A$4"):INDIRECT(""&amp;$B$109&amp;"!$o$4"),0),FALSE)),"",VLOOKUP($B134,OFFSET(INDIRECT(""&amp;$B$109&amp;"!$A$4"),0,0,200,100),MATCH(D$110,INDIRECT(""&amp;$B$109&amp;"!$A$4"):INDIRECT(""&amp;$B$109&amp;"!$o$4"),0),FALSE))</f>
        <v>29975.605511000002</v>
      </c>
      <c r="E134" s="74">
        <f ca="1">IF(ISERROR(VLOOKUP($B134,OFFSET(INDIRECT(""&amp;$B$109&amp;"!$A$4"),0,0,200,100),MATCH(E$110,INDIRECT(""&amp;$B$109&amp;"!$A$4"):INDIRECT(""&amp;$B$109&amp;"!$o$4"),0),FALSE)),"",VLOOKUP($B134,OFFSET(INDIRECT(""&amp;$B$109&amp;"!$A$4"),0,0,200,100),MATCH(E$110,INDIRECT(""&amp;$B$109&amp;"!$A$4"):INDIRECT(""&amp;$B$109&amp;"!$o$4"),0),FALSE))</f>
        <v>38086.844862999998</v>
      </c>
      <c r="F134" s="74">
        <f ca="1">IF(ISERROR(VLOOKUP($B134,OFFSET(INDIRECT(""&amp;$B$109&amp;"!$A$4"),0,0,200,100),MATCH(F$110,INDIRECT(""&amp;$B$109&amp;"!$A$4"):INDIRECT(""&amp;$B$109&amp;"!$o$4"),0),FALSE)),"",VLOOKUP($B134,OFFSET(INDIRECT(""&amp;$B$109&amp;"!$A$4"),0,0,200,100),MATCH(F$110,INDIRECT(""&amp;$B$109&amp;"!$A$4"):INDIRECT(""&amp;$B$109&amp;"!$o$4"),0),FALSE))</f>
        <v>22619.283724000001</v>
      </c>
      <c r="G134" s="74">
        <f ca="1">IF(ISERROR(VLOOKUP($B134,OFFSET(INDIRECT(""&amp;$B$109&amp;"!$A$4"),0,0,200,100),MATCH(G$110,INDIRECT(""&amp;$B$109&amp;"!$A$4"):INDIRECT(""&amp;$B$109&amp;"!$o$4"),0),FALSE)),"",VLOOKUP($B134,OFFSET(INDIRECT(""&amp;$B$109&amp;"!$A$4"),0,0,200,100),MATCH(G$110,INDIRECT(""&amp;$B$109&amp;"!$A$4"):INDIRECT(""&amp;$B$109&amp;"!$o$4"),0),FALSE))</f>
        <v>21400</v>
      </c>
      <c r="H134" s="74">
        <f ca="1">IF(ISERROR(VLOOKUP($B134,OFFSET(INDIRECT(""&amp;$B$109&amp;"!$A$4"),0,0,200,100),MATCH(H$110,INDIRECT(""&amp;$B$109&amp;"!$A$4"):INDIRECT(""&amp;$B$109&amp;"!$o$4"),0),FALSE)),"",VLOOKUP($B134,OFFSET(INDIRECT(""&amp;$B$109&amp;"!$A$4"),0,0,200,100),MATCH(H$110,INDIRECT(""&amp;$B$109&amp;"!$A$4"):INDIRECT(""&amp;$B$109&amp;"!$o$4"),0),FALSE))</f>
        <v>2122</v>
      </c>
      <c r="I134" s="74">
        <f ca="1">IF(ISERROR(VLOOKUP($B134,OFFSET(INDIRECT(""&amp;$B$109&amp;"!$A$4"),0,0,200,100),MATCH(I$110,INDIRECT(""&amp;$B$109&amp;"!$A$4"):INDIRECT(""&amp;$B$109&amp;"!$o$4"),0),FALSE)),"",VLOOKUP($B134,OFFSET(INDIRECT(""&amp;$B$109&amp;"!$A$4"),0,0,200,100),MATCH(I$110,INDIRECT(""&amp;$B$109&amp;"!$A$4"):INDIRECT(""&amp;$B$109&amp;"!$o$4"),0),FALSE))</f>
        <v>1652.4280000000001</v>
      </c>
      <c r="J134" s="74">
        <f ca="1">IF(ISERROR(VLOOKUP($B134,OFFSET(INDIRECT(""&amp;$B$109&amp;"!$A$4"),0,0,200,100),MATCH(J$110,INDIRECT(""&amp;$B$109&amp;"!$A$4"):INDIRECT(""&amp;$B$109&amp;"!$o$4"),0),FALSE)),"",VLOOKUP($B134,OFFSET(INDIRECT(""&amp;$B$109&amp;"!$A$4"),0,0,200,100),MATCH(J$110,INDIRECT(""&amp;$B$109&amp;"!$A$4"):INDIRECT(""&amp;$B$109&amp;"!$o$4"),0),FALSE))</f>
        <v>1652.4280000000001</v>
      </c>
      <c r="K134" s="129" t="s">
        <v>366</v>
      </c>
      <c r="L134" s="190">
        <f ca="1">IF(ISERROR(VLOOKUP($K134,OFFSET(INDIRECT(""&amp;$S$109&amp;"!$A$4"),0,0,200,100),MATCH(L$110,INDIRECT(""&amp;$S$109&amp;"!$A$4"):INDIRECT(""&amp;$S$109&amp;"!$o$4"),0),FALSE)),"",VLOOKUP($K134,OFFSET(INDIRECT(""&amp;$S$109&amp;"!$A$4"),0,0,200,100),MATCH(L$110,INDIRECT(""&amp;$S$109&amp;"!$A$4"):INDIRECT(""&amp;$S$109&amp;"!$o$4"),0),FALSE))</f>
        <v>0</v>
      </c>
      <c r="M134" s="190">
        <f ca="1">IF(ISERROR(VLOOKUP($K134,OFFSET(INDIRECT(""&amp;$S$109&amp;"!$A$4"),0,0,200,100),MATCH(M$110,INDIRECT(""&amp;$S$109&amp;"!$A$4"):INDIRECT(""&amp;$S$109&amp;"!$o$4"),0),FALSE)),"",VLOOKUP($K134,OFFSET(INDIRECT(""&amp;$S$109&amp;"!$A$4"),0,0,200,100),MATCH(M$110,INDIRECT(""&amp;$S$109&amp;"!$A$4"):INDIRECT(""&amp;$S$109&amp;"!$o$4"),0),FALSE))</f>
        <v>1256.181724</v>
      </c>
      <c r="N134" s="190">
        <f ca="1">IF(ISERROR(VLOOKUP($K134,OFFSET(INDIRECT(""&amp;$S$109&amp;"!$A$4"),0,0,200,100),MATCH(N$110,INDIRECT(""&amp;$S$109&amp;"!$A$4"):INDIRECT(""&amp;$S$109&amp;"!$o$4"),0),FALSE)),"",VLOOKUP($K134,OFFSET(INDIRECT(""&amp;$S$109&amp;"!$A$4"),0,0,200,100),MATCH(N$110,INDIRECT(""&amp;$S$109&amp;"!$A$4"):INDIRECT(""&amp;$S$109&amp;"!$o$4"),0),FALSE))</f>
        <v>0</v>
      </c>
      <c r="O134" s="190">
        <f ca="1">IF(ISERROR(VLOOKUP($K134,OFFSET(INDIRECT(""&amp;$S$109&amp;"!$A$4"),0,0,200,100),MATCH(O$110,INDIRECT(""&amp;$S$109&amp;"!$A$4"):INDIRECT(""&amp;$S$109&amp;"!$o$4"),0),FALSE)),"",VLOOKUP($K134,OFFSET(INDIRECT(""&amp;$S$109&amp;"!$A$4"),0,0,200,100),MATCH(O$110,INDIRECT(""&amp;$S$109&amp;"!$A$4"):INDIRECT(""&amp;$S$109&amp;"!$o$4"),0),FALSE))</f>
        <v>0</v>
      </c>
      <c r="P134" s="190">
        <f ca="1">IF(ISERROR(VLOOKUP($K134,OFFSET(INDIRECT(""&amp;$S$109&amp;"!$A$4"),0,0,200,100),MATCH(P$110,INDIRECT(""&amp;$S$109&amp;"!$A$4"):INDIRECT(""&amp;$S$109&amp;"!$o$4"),0),FALSE)),"",VLOOKUP($K134,OFFSET(INDIRECT(""&amp;$S$109&amp;"!$A$4"),0,0,200,100),MATCH(P$110,INDIRECT(""&amp;$S$109&amp;"!$A$4"):INDIRECT(""&amp;$S$109&amp;"!$o$4"),0),FALSE))</f>
        <v>0</v>
      </c>
      <c r="Q134" s="190">
        <f ca="1">IF(ISERROR(VLOOKUP($K134,OFFSET(INDIRECT(""&amp;$S$109&amp;"!$A$4"),0,0,200,100),MATCH(Q$110,INDIRECT(""&amp;$S$109&amp;"!$A$4"):INDIRECT(""&amp;$S$109&amp;"!$o$4"),0),FALSE)),"",VLOOKUP($K134,OFFSET(INDIRECT(""&amp;$S$109&amp;"!$A$4"),0,0,200,100),MATCH(Q$110,INDIRECT(""&amp;$S$109&amp;"!$A$4"):INDIRECT(""&amp;$S$109&amp;"!$o$4"),0),FALSE))</f>
        <v>0</v>
      </c>
      <c r="R134" s="190">
        <f ca="1">IF(ISERROR(VLOOKUP($K134,OFFSET(INDIRECT(""&amp;$S$109&amp;"!$A$4"),0,0,200,100),MATCH(R$110,INDIRECT(""&amp;$S$109&amp;"!$A$4"):INDIRECT(""&amp;$S$109&amp;"!$o$4"),0),FALSE)),"",VLOOKUP($K134,OFFSET(INDIRECT(""&amp;$S$109&amp;"!$A$4"),0,0,200,100),MATCH(R$110,INDIRECT(""&amp;$S$109&amp;"!$A$4"):INDIRECT(""&amp;$S$109&amp;"!$o$4"),0),FALSE))</f>
        <v>0</v>
      </c>
      <c r="S134" s="190">
        <f ca="1">IF(ISERROR(VLOOKUP($K134,OFFSET(INDIRECT(""&amp;$S$109&amp;"!$A$4"),0,0,200,100),MATCH(S$110,INDIRECT(""&amp;$S$109&amp;"!$A$4"):INDIRECT(""&amp;$S$109&amp;"!$o$4"),0),FALSE)),"",VLOOKUP($K134,OFFSET(INDIRECT(""&amp;$S$109&amp;"!$A$4"),0,0,200,100),MATCH(S$110,INDIRECT(""&amp;$S$109&amp;"!$A$4"):INDIRECT(""&amp;$S$109&amp;"!$o$4"),0),FALSE))</f>
        <v>0</v>
      </c>
      <c r="T134" s="190">
        <f ca="1">IF(ISERROR(VLOOKUP($K134,OFFSET(INDIRECT(""&amp;$S$109&amp;"!$A$4"),0,0,200,100),MATCH(T$110,INDIRECT(""&amp;$S$109&amp;"!$A$4"):INDIRECT(""&amp;$S$109&amp;"!$o$4"),0),FALSE)),"",VLOOKUP($K134,OFFSET(INDIRECT(""&amp;$S$109&amp;"!$A$4"),0,0,200,100),MATCH(T$110,INDIRECT(""&amp;$S$109&amp;"!$A$4"):INDIRECT(""&amp;$S$109&amp;"!$o$4"),0),FALSE))</f>
        <v>0</v>
      </c>
      <c r="U134" s="190">
        <f ca="1">IF(ISERROR(VLOOKUP($K134,OFFSET(INDIRECT(""&amp;$S$109&amp;"!$A$4"),0,0,200,100),MATCH(U$110,INDIRECT(""&amp;$S$109&amp;"!$A$4"):INDIRECT(""&amp;$S$109&amp;"!$o$4"),0),FALSE)),"",VLOOKUP($K134,OFFSET(INDIRECT(""&amp;$S$109&amp;"!$A$4"),0,0,200,100),MATCH(U$110,INDIRECT(""&amp;$S$109&amp;"!$A$4"):INDIRECT(""&amp;$S$109&amp;"!$o$4"),0),FALSE))</f>
        <v>0</v>
      </c>
      <c r="V134" s="190">
        <f ca="1">IF(ISERROR(VLOOKUP($K134,OFFSET(INDIRECT(""&amp;$S$109&amp;"!$A$4"),0,0,200,100),MATCH(V$110,INDIRECT(""&amp;$S$109&amp;"!$A$4"):INDIRECT(""&amp;$S$109&amp;"!$o$4"),0),FALSE)),"",VLOOKUP($K134,OFFSET(INDIRECT(""&amp;$S$109&amp;"!$A$4"),0,0,200,100),MATCH(V$110,INDIRECT(""&amp;$S$109&amp;"!$A$4"):INDIRECT(""&amp;$S$109&amp;"!$o$4"),0),FALSE))</f>
        <v>0</v>
      </c>
      <c r="W134" s="190">
        <f ca="1">IF(ISERROR(VLOOKUP($K134,OFFSET(INDIRECT(""&amp;$S$109&amp;"!$A$4"),0,0,200,100),MATCH(W$110,INDIRECT(""&amp;$S$109&amp;"!$A$4"):INDIRECT(""&amp;$S$109&amp;"!$o$4"),0),FALSE)),"",VLOOKUP($K134,OFFSET(INDIRECT(""&amp;$S$109&amp;"!$A$4"),0,0,200,100),MATCH(W$110,INDIRECT(""&amp;$S$109&amp;"!$A$4"):INDIRECT(""&amp;$S$109&amp;"!$o$4"),0),FALSE))</f>
        <v>0</v>
      </c>
      <c r="X134" s="190">
        <f ca="1">IF(ISERROR(VLOOKUP($K134,OFFSET(INDIRECT(""&amp;$S$109&amp;"!$A$4"),0,0,200,100),MATCH(X$110,INDIRECT(""&amp;$S$109&amp;"!$A$4"):INDIRECT(""&amp;$S$109&amp;"!$o$4"),0),FALSE)),"",VLOOKUP($K134,OFFSET(INDIRECT(""&amp;$S$109&amp;"!$A$4"),0,0,200,100),MATCH(X$110,INDIRECT(""&amp;$S$109&amp;"!$A$4"):INDIRECT(""&amp;$S$109&amp;"!$o$4"),0),FALSE))</f>
        <v>0</v>
      </c>
      <c r="Y134" s="190">
        <f ca="1">IF(ISERROR(VLOOKUP($K134,OFFSET(INDIRECT(""&amp;$S$109&amp;"!$A$4"),0,0,200,100),MATCH(Y$110,INDIRECT(""&amp;$S$109&amp;"!$A$4"):INDIRECT(""&amp;$S$109&amp;"!$o$4"),0),FALSE)),"",VLOOKUP($K134,OFFSET(INDIRECT(""&amp;$S$109&amp;"!$A$4"),0,0,200,100),MATCH(Y$110,INDIRECT(""&amp;$S$109&amp;"!$A$4"):INDIRECT(""&amp;$S$109&amp;"!$o$4"),0),FALSE))</f>
        <v>0</v>
      </c>
      <c r="Z134" s="160">
        <f ca="1">IF(ISERROR(VLOOKUP($K134,OFFSET(INDIRECT(""&amp;$S$109&amp;"!$A$4"),0,0,200,100),MATCH(Z$110,INDIRECT(""&amp;$S$109&amp;"!$A$4"):INDIRECT(""&amp;$S$109&amp;"!$P$4"),0),FALSE)),"",VLOOKUP($K134,OFFSET(INDIRECT(""&amp;$S$109&amp;"!$A$4"),0,0,200,100),MATCH(Z$110,INDIRECT(""&amp;$S$109&amp;"!$A$4"):INDIRECT(""&amp;$S$109&amp;"!$P$4"),0),FALSE))</f>
        <v>0</v>
      </c>
      <c r="AA134" s="190"/>
      <c r="AC134" s="126"/>
      <c r="AD134" s="126"/>
      <c r="AE134" s="126"/>
      <c r="AF134" s="126"/>
      <c r="AG134" s="126"/>
      <c r="AH134" s="126"/>
      <c r="AI134" s="148"/>
      <c r="AJ134" s="148"/>
      <c r="AK134" s="148"/>
      <c r="AL134" s="148"/>
      <c r="AM134" s="148"/>
      <c r="AN134" s="148"/>
      <c r="AO134" s="126"/>
      <c r="AP134" s="126"/>
      <c r="AQ134" s="126"/>
      <c r="AR134" s="126"/>
      <c r="AS134" s="126"/>
      <c r="AT134" s="72"/>
      <c r="AU134" s="72"/>
      <c r="AV134" s="73"/>
      <c r="AW134" s="73"/>
      <c r="AX134" s="73"/>
      <c r="AY134" s="73"/>
      <c r="AZ134" s="73"/>
      <c r="BA134" s="73"/>
      <c r="BB134" s="73"/>
      <c r="BC134" s="73"/>
      <c r="BD134" s="73"/>
      <c r="BE134" s="73"/>
      <c r="BF134" s="73"/>
    </row>
    <row r="135" spans="1:58" s="128" customFormat="1" ht="15.95" customHeight="1">
      <c r="A135" s="111" t="s">
        <v>323</v>
      </c>
      <c r="B135" s="111" t="s">
        <v>367</v>
      </c>
      <c r="C135" s="74">
        <f ca="1">IF(ISERROR(VLOOKUP($B135,OFFSET(INDIRECT(""&amp;$B$109&amp;"!$A$4"),0,0,200,100),MATCH(C$110,INDIRECT(""&amp;$B$109&amp;"!$A$4"):INDIRECT(""&amp;$B$109&amp;"!$o$4"),0),FALSE)),"",VLOOKUP($B135,OFFSET(INDIRECT(""&amp;$B$109&amp;"!$A$4"),0,0,200,100),MATCH(C$110,INDIRECT(""&amp;$B$109&amp;"!$A$4"):INDIRECT(""&amp;$B$109&amp;"!$o$4"),0),FALSE))</f>
        <v>-129486.500375</v>
      </c>
      <c r="D135" s="74">
        <f ca="1">IF(ISERROR(VLOOKUP($B135,OFFSET(INDIRECT(""&amp;$B$109&amp;"!$A$4"),0,0,200,100),MATCH(D$110,INDIRECT(""&amp;$B$109&amp;"!$A$4"):INDIRECT(""&amp;$B$109&amp;"!$o$4"),0),FALSE)),"",VLOOKUP($B135,OFFSET(INDIRECT(""&amp;$B$109&amp;"!$A$4"),0,0,200,100),MATCH(D$110,INDIRECT(""&amp;$B$109&amp;"!$A$4"):INDIRECT(""&amp;$B$109&amp;"!$o$4"),0),FALSE))</f>
        <v>-14364.550467999999</v>
      </c>
      <c r="E135" s="74">
        <f ca="1">IF(ISERROR(VLOOKUP($B135,OFFSET(INDIRECT(""&amp;$B$109&amp;"!$A$4"),0,0,200,100),MATCH(E$110,INDIRECT(""&amp;$B$109&amp;"!$A$4"):INDIRECT(""&amp;$B$109&amp;"!$o$4"),0),FALSE)),"",VLOOKUP($B135,OFFSET(INDIRECT(""&amp;$B$109&amp;"!$A$4"),0,0,200,100),MATCH(E$110,INDIRECT(""&amp;$B$109&amp;"!$A$4"):INDIRECT(""&amp;$B$109&amp;"!$o$4"),0),FALSE))</f>
        <v>0</v>
      </c>
      <c r="F135" s="74">
        <f ca="1">IF(ISERROR(VLOOKUP($B135,OFFSET(INDIRECT(""&amp;$B$109&amp;"!$A$4"),0,0,200,100),MATCH(F$110,INDIRECT(""&amp;$B$109&amp;"!$A$4"):INDIRECT(""&amp;$B$109&amp;"!$o$4"),0),FALSE)),"",VLOOKUP($B135,OFFSET(INDIRECT(""&amp;$B$109&amp;"!$A$4"),0,0,200,100),MATCH(F$110,INDIRECT(""&amp;$B$109&amp;"!$A$4"):INDIRECT(""&amp;$B$109&amp;"!$o$4"),0),FALSE))</f>
        <v>-6224.9080000000004</v>
      </c>
      <c r="G135" s="74">
        <f ca="1">IF(ISERROR(VLOOKUP($B135,OFFSET(INDIRECT(""&amp;$B$109&amp;"!$A$4"),0,0,200,100),MATCH(G$110,INDIRECT(""&amp;$B$109&amp;"!$A$4"):INDIRECT(""&amp;$B$109&amp;"!$o$4"),0),FALSE)),"",VLOOKUP($B135,OFFSET(INDIRECT(""&amp;$B$109&amp;"!$A$4"),0,0,200,100),MATCH(G$110,INDIRECT(""&amp;$B$109&amp;"!$A$4"):INDIRECT(""&amp;$B$109&amp;"!$o$4"),0),FALSE))</f>
        <v>-796</v>
      </c>
      <c r="H135" s="74">
        <f ca="1">IF(ISERROR(VLOOKUP($B135,OFFSET(INDIRECT(""&amp;$B$109&amp;"!$A$4"),0,0,200,100),MATCH(H$110,INDIRECT(""&amp;$B$109&amp;"!$A$4"):INDIRECT(""&amp;$B$109&amp;"!$o$4"),0),FALSE)),"",VLOOKUP($B135,OFFSET(INDIRECT(""&amp;$B$109&amp;"!$A$4"),0,0,200,100),MATCH(H$110,INDIRECT(""&amp;$B$109&amp;"!$A$4"):INDIRECT(""&amp;$B$109&amp;"!$o$4"),0),FALSE))</f>
        <v>0</v>
      </c>
      <c r="I135" s="74">
        <f ca="1">IF(ISERROR(VLOOKUP($B135,OFFSET(INDIRECT(""&amp;$B$109&amp;"!$A$4"),0,0,200,100),MATCH(I$110,INDIRECT(""&amp;$B$109&amp;"!$A$4"):INDIRECT(""&amp;$B$109&amp;"!$o$4"),0),FALSE)),"",VLOOKUP($B135,OFFSET(INDIRECT(""&amp;$B$109&amp;"!$A$4"),0,0,200,100),MATCH(I$110,INDIRECT(""&amp;$B$109&amp;"!$A$4"):INDIRECT(""&amp;$B$109&amp;"!$o$4"),0),FALSE))</f>
        <v>0</v>
      </c>
      <c r="J135" s="74">
        <f ca="1">IF(ISERROR(VLOOKUP($B135,OFFSET(INDIRECT(""&amp;$B$109&amp;"!$A$4"),0,0,200,100),MATCH(J$110,INDIRECT(""&amp;$B$109&amp;"!$A$4"):INDIRECT(""&amp;$B$109&amp;"!$o$4"),0),FALSE)),"",VLOOKUP($B135,OFFSET(INDIRECT(""&amp;$B$109&amp;"!$A$4"),0,0,200,100),MATCH(J$110,INDIRECT(""&amp;$B$109&amp;"!$A$4"):INDIRECT(""&amp;$B$109&amp;"!$o$4"),0),FALSE))</f>
        <v>0</v>
      </c>
      <c r="K135" s="129" t="s">
        <v>367</v>
      </c>
      <c r="L135" s="190">
        <f ca="1">IF(ISERROR(VLOOKUP($K135,OFFSET(INDIRECT(""&amp;$S$109&amp;"!$A$4"),0,0,200,100),MATCH(L$110,INDIRECT(""&amp;$S$109&amp;"!$A$4"):INDIRECT(""&amp;$S$109&amp;"!$o$4"),0),FALSE)),"",VLOOKUP($K135,OFFSET(INDIRECT(""&amp;$S$109&amp;"!$A$4"),0,0,200,100),MATCH(L$110,INDIRECT(""&amp;$S$109&amp;"!$A$4"):INDIRECT(""&amp;$S$109&amp;"!$o$4"),0),FALSE))</f>
        <v>-2800</v>
      </c>
      <c r="M135" s="190">
        <f ca="1">IF(ISERROR(VLOOKUP($K135,OFFSET(INDIRECT(""&amp;$S$109&amp;"!$A$4"),0,0,200,100),MATCH(M$110,INDIRECT(""&amp;$S$109&amp;"!$A$4"):INDIRECT(""&amp;$S$109&amp;"!$o$4"),0),FALSE)),"",VLOOKUP($K135,OFFSET(INDIRECT(""&amp;$S$109&amp;"!$A$4"),0,0,200,100),MATCH(M$110,INDIRECT(""&amp;$S$109&amp;"!$A$4"):INDIRECT(""&amp;$S$109&amp;"!$o$4"),0),FALSE))</f>
        <v>-3124.9079999999999</v>
      </c>
      <c r="N135" s="190">
        <f ca="1">IF(ISERROR(VLOOKUP($K135,OFFSET(INDIRECT(""&amp;$S$109&amp;"!$A$4"),0,0,200,100),MATCH(N$110,INDIRECT(""&amp;$S$109&amp;"!$A$4"):INDIRECT(""&amp;$S$109&amp;"!$o$4"),0),FALSE)),"",VLOOKUP($K135,OFFSET(INDIRECT(""&amp;$S$109&amp;"!$A$4"),0,0,200,100),MATCH(N$110,INDIRECT(""&amp;$S$109&amp;"!$A$4"):INDIRECT(""&amp;$S$109&amp;"!$o$4"),0),FALSE))</f>
        <v>-24536.134247000002</v>
      </c>
      <c r="O135" s="190">
        <f ca="1">IF(ISERROR(VLOOKUP($K135,OFFSET(INDIRECT(""&amp;$S$109&amp;"!$A$4"),0,0,200,100),MATCH(O$110,INDIRECT(""&amp;$S$109&amp;"!$A$4"):INDIRECT(""&amp;$S$109&amp;"!$o$4"),0),FALSE)),"",VLOOKUP($K135,OFFSET(INDIRECT(""&amp;$S$109&amp;"!$A$4"),0,0,200,100),MATCH(O$110,INDIRECT(""&amp;$S$109&amp;"!$A$4"):INDIRECT(""&amp;$S$109&amp;"!$o$4"),0),FALSE))</f>
        <v>15899.134247</v>
      </c>
      <c r="P135" s="190">
        <f ca="1">IF(ISERROR(VLOOKUP($K135,OFFSET(INDIRECT(""&amp;$S$109&amp;"!$A$4"),0,0,200,100),MATCH(P$110,INDIRECT(""&amp;$S$109&amp;"!$A$4"):INDIRECT(""&amp;$S$109&amp;"!$o$4"),0),FALSE)),"",VLOOKUP($K135,OFFSET(INDIRECT(""&amp;$S$109&amp;"!$A$4"),0,0,200,100),MATCH(P$110,INDIRECT(""&amp;$S$109&amp;"!$A$4"):INDIRECT(""&amp;$S$109&amp;"!$o$4"),0),FALSE))</f>
        <v>-379</v>
      </c>
      <c r="Q135" s="190">
        <f ca="1">IF(ISERROR(VLOOKUP($K135,OFFSET(INDIRECT(""&amp;$S$109&amp;"!$A$4"),0,0,200,100),MATCH(Q$110,INDIRECT(""&amp;$S$109&amp;"!$A$4"):INDIRECT(""&amp;$S$109&amp;"!$o$4"),0),FALSE)),"",VLOOKUP($K135,OFFSET(INDIRECT(""&amp;$S$109&amp;"!$A$4"),0,0,200,100),MATCH(Q$110,INDIRECT(""&amp;$S$109&amp;"!$A$4"):INDIRECT(""&amp;$S$109&amp;"!$o$4"),0),FALSE))</f>
        <v>0</v>
      </c>
      <c r="R135" s="190">
        <f ca="1">IF(ISERROR(VLOOKUP($K135,OFFSET(INDIRECT(""&amp;$S$109&amp;"!$A$4"),0,0,200,100),MATCH(R$110,INDIRECT(""&amp;$S$109&amp;"!$A$4"):INDIRECT(""&amp;$S$109&amp;"!$o$4"),0),FALSE)),"",VLOOKUP($K135,OFFSET(INDIRECT(""&amp;$S$109&amp;"!$A$4"),0,0,200,100),MATCH(R$110,INDIRECT(""&amp;$S$109&amp;"!$A$4"):INDIRECT(""&amp;$S$109&amp;"!$o$4"),0),FALSE))</f>
        <v>0</v>
      </c>
      <c r="S135" s="190">
        <f ca="1">IF(ISERROR(VLOOKUP($K135,OFFSET(INDIRECT(""&amp;$S$109&amp;"!$A$4"),0,0,200,100),MATCH(S$110,INDIRECT(""&amp;$S$109&amp;"!$A$4"):INDIRECT(""&amp;$S$109&amp;"!$o$4"),0),FALSE)),"",VLOOKUP($K135,OFFSET(INDIRECT(""&amp;$S$109&amp;"!$A$4"),0,0,200,100),MATCH(S$110,INDIRECT(""&amp;$S$109&amp;"!$A$4"):INDIRECT(""&amp;$S$109&amp;"!$o$4"),0),FALSE))</f>
        <v>-16089.915403999999</v>
      </c>
      <c r="T135" s="190">
        <f ca="1">IF(ISERROR(VLOOKUP($K135,OFFSET(INDIRECT(""&amp;$S$109&amp;"!$A$4"),0,0,200,100),MATCH(T$110,INDIRECT(""&amp;$S$109&amp;"!$A$4"):INDIRECT(""&amp;$S$109&amp;"!$o$4"),0),FALSE)),"",VLOOKUP($K135,OFFSET(INDIRECT(""&amp;$S$109&amp;"!$A$4"),0,0,200,100),MATCH(T$110,INDIRECT(""&amp;$S$109&amp;"!$A$4"):INDIRECT(""&amp;$S$109&amp;"!$o$4"),0),FALSE))</f>
        <v>-12000</v>
      </c>
      <c r="U135" s="190">
        <f ca="1">IF(ISERROR(VLOOKUP($K135,OFFSET(INDIRECT(""&amp;$S$109&amp;"!$A$4"),0,0,200,100),MATCH(U$110,INDIRECT(""&amp;$S$109&amp;"!$A$4"):INDIRECT(""&amp;$S$109&amp;"!$o$4"),0),FALSE)),"",VLOOKUP($K135,OFFSET(INDIRECT(""&amp;$S$109&amp;"!$A$4"),0,0,200,100),MATCH(U$110,INDIRECT(""&amp;$S$109&amp;"!$A$4"):INDIRECT(""&amp;$S$109&amp;"!$o$4"),0),FALSE))</f>
        <v>-16100</v>
      </c>
      <c r="V135" s="190">
        <f ca="1">IF(ISERROR(VLOOKUP($K135,OFFSET(INDIRECT(""&amp;$S$109&amp;"!$A$4"),0,0,200,100),MATCH(V$110,INDIRECT(""&amp;$S$109&amp;"!$A$4"):INDIRECT(""&amp;$S$109&amp;"!$o$4"),0),FALSE)),"",VLOOKUP($K135,OFFSET(INDIRECT(""&amp;$S$109&amp;"!$A$4"),0,0,200,100),MATCH(V$110,INDIRECT(""&amp;$S$109&amp;"!$A$4"):INDIRECT(""&amp;$S$109&amp;"!$o$4"),0),FALSE))</f>
        <v>0</v>
      </c>
      <c r="W135" s="190">
        <f ca="1">IF(ISERROR(VLOOKUP($K135,OFFSET(INDIRECT(""&amp;$S$109&amp;"!$A$4"),0,0,200,100),MATCH(W$110,INDIRECT(""&amp;$S$109&amp;"!$A$4"):INDIRECT(""&amp;$S$109&amp;"!$o$4"),0),FALSE)),"",VLOOKUP($K135,OFFSET(INDIRECT(""&amp;$S$109&amp;"!$A$4"),0,0,200,100),MATCH(W$110,INDIRECT(""&amp;$S$109&amp;"!$A$4"):INDIRECT(""&amp;$S$109&amp;"!$o$4"),0),FALSE))</f>
        <v>-650</v>
      </c>
      <c r="X135" s="190">
        <f ca="1">IF(ISERROR(VLOOKUP($K135,OFFSET(INDIRECT(""&amp;$S$109&amp;"!$A$4"),0,0,200,100),MATCH(X$110,INDIRECT(""&amp;$S$109&amp;"!$A$4"):INDIRECT(""&amp;$S$109&amp;"!$o$4"),0),FALSE)),"",VLOOKUP($K135,OFFSET(INDIRECT(""&amp;$S$109&amp;"!$A$4"),0,0,200,100),MATCH(X$110,INDIRECT(""&amp;$S$109&amp;"!$A$4"):INDIRECT(""&amp;$S$109&amp;"!$o$4"),0),FALSE))</f>
        <v>0</v>
      </c>
      <c r="Y135" s="190">
        <f ca="1">IF(ISERROR(VLOOKUP($K135,OFFSET(INDIRECT(""&amp;$S$109&amp;"!$A$4"),0,0,200,100),MATCH(Y$110,INDIRECT(""&amp;$S$109&amp;"!$A$4"):INDIRECT(""&amp;$S$109&amp;"!$o$4"),0),FALSE)),"",VLOOKUP($K135,OFFSET(INDIRECT(""&amp;$S$109&amp;"!$A$4"),0,0,200,100),MATCH(Y$110,INDIRECT(""&amp;$S$109&amp;"!$A$4"):INDIRECT(""&amp;$S$109&amp;"!$o$4"),0),FALSE))</f>
        <v>-10000</v>
      </c>
      <c r="Z135" s="160">
        <f ca="1">IF(ISERROR(VLOOKUP($K135,OFFSET(INDIRECT(""&amp;$S$109&amp;"!$A$4"),0,0,200,100),MATCH(Z$110,INDIRECT(""&amp;$S$109&amp;"!$A$4"):INDIRECT(""&amp;$S$109&amp;"!$P$4"),0),FALSE)),"",VLOOKUP($K135,OFFSET(INDIRECT(""&amp;$S$109&amp;"!$A$4"),0,0,200,100),MATCH(Z$110,INDIRECT(""&amp;$S$109&amp;"!$A$4"):INDIRECT(""&amp;$S$109&amp;"!$P$4"),0),FALSE))</f>
        <v>0</v>
      </c>
      <c r="AA135" s="190"/>
      <c r="AC135" s="126"/>
      <c r="AD135" s="126"/>
      <c r="AE135" s="126"/>
      <c r="AF135" s="126"/>
      <c r="AG135" s="126"/>
      <c r="AH135" s="126"/>
      <c r="AI135" s="148"/>
      <c r="AJ135" s="148"/>
      <c r="AK135" s="148"/>
      <c r="AL135" s="148"/>
      <c r="AM135" s="148"/>
      <c r="AN135" s="148"/>
      <c r="AO135" s="126"/>
      <c r="AP135" s="126"/>
      <c r="AQ135" s="126"/>
      <c r="AR135" s="126"/>
      <c r="AS135" s="126"/>
      <c r="AT135" s="72"/>
      <c r="AU135" s="72"/>
      <c r="AV135" s="73"/>
      <c r="AW135" s="73"/>
      <c r="AX135" s="73"/>
      <c r="AY135" s="73"/>
      <c r="AZ135" s="73"/>
      <c r="BA135" s="73"/>
      <c r="BB135" s="73"/>
      <c r="BC135" s="73"/>
      <c r="BD135" s="73"/>
      <c r="BE135" s="73"/>
      <c r="BF135" s="73"/>
    </row>
    <row r="136" spans="1:58" s="128" customFormat="1" ht="15.95" customHeight="1">
      <c r="A136" s="111" t="s">
        <v>324</v>
      </c>
      <c r="B136" s="111" t="s">
        <v>369</v>
      </c>
      <c r="C136" s="74">
        <f ca="1">IF(ISERROR(VLOOKUP($B136,OFFSET(INDIRECT(""&amp;$B$109&amp;"!$A$4"),0,0,200,100),MATCH(C$110,INDIRECT(""&amp;$B$109&amp;"!$A$4"):INDIRECT(""&amp;$B$109&amp;"!$o$4"),0),FALSE)),"",VLOOKUP($B136,OFFSET(INDIRECT(""&amp;$B$109&amp;"!$A$4"),0,0,200,100),MATCH(C$110,INDIRECT(""&amp;$B$109&amp;"!$A$4"):INDIRECT(""&amp;$B$109&amp;"!$o$4"),0),FALSE))</f>
        <v>2648.3849340000002</v>
      </c>
      <c r="D136" s="74">
        <f ca="1">IF(ISERROR(VLOOKUP($B136,OFFSET(INDIRECT(""&amp;$B$109&amp;"!$A$4"),0,0,200,100),MATCH(D$110,INDIRECT(""&amp;$B$109&amp;"!$A$4"):INDIRECT(""&amp;$B$109&amp;"!$o$4"),0),FALSE)),"",VLOOKUP($B136,OFFSET(INDIRECT(""&amp;$B$109&amp;"!$A$4"),0,0,200,100),MATCH(D$110,INDIRECT(""&amp;$B$109&amp;"!$A$4"):INDIRECT(""&amp;$B$109&amp;"!$o$4"),0),FALSE))</f>
        <v>8052.0209729999997</v>
      </c>
      <c r="E136" s="74">
        <f ca="1">IF(ISERROR(VLOOKUP($B136,OFFSET(INDIRECT(""&amp;$B$109&amp;"!$A$4"),0,0,200,100),MATCH(E$110,INDIRECT(""&amp;$B$109&amp;"!$A$4"):INDIRECT(""&amp;$B$109&amp;"!$o$4"),0),FALSE)),"",VLOOKUP($B136,OFFSET(INDIRECT(""&amp;$B$109&amp;"!$A$4"),0,0,200,100),MATCH(E$110,INDIRECT(""&amp;$B$109&amp;"!$A$4"):INDIRECT(""&amp;$B$109&amp;"!$o$4"),0),FALSE))</f>
        <v>4527.2362830000002</v>
      </c>
      <c r="F136" s="74">
        <f ca="1">IF(ISERROR(VLOOKUP($B136,OFFSET(INDIRECT(""&amp;$B$109&amp;"!$A$4"),0,0,200,100),MATCH(F$110,INDIRECT(""&amp;$B$109&amp;"!$A$4"):INDIRECT(""&amp;$B$109&amp;"!$o$4"),0),FALSE)),"",VLOOKUP($B136,OFFSET(INDIRECT(""&amp;$B$109&amp;"!$A$4"),0,0,200,100),MATCH(F$110,INDIRECT(""&amp;$B$109&amp;"!$A$4"):INDIRECT(""&amp;$B$109&amp;"!$o$4"),0),FALSE))</f>
        <v>-1835.5978</v>
      </c>
      <c r="G136" s="74">
        <f ca="1">IF(ISERROR(VLOOKUP($B136,OFFSET(INDIRECT(""&amp;$B$109&amp;"!$A$4"),0,0,200,100),MATCH(G$110,INDIRECT(""&amp;$B$109&amp;"!$A$4"):INDIRECT(""&amp;$B$109&amp;"!$o$4"),0),FALSE)),"",VLOOKUP($B136,OFFSET(INDIRECT(""&amp;$B$109&amp;"!$A$4"),0,0,200,100),MATCH(G$110,INDIRECT(""&amp;$B$109&amp;"!$A$4"):INDIRECT(""&amp;$B$109&amp;"!$o$4"),0),FALSE))</f>
        <v>3257.4305340000001</v>
      </c>
      <c r="H136" s="74">
        <f ca="1">IF(ISERROR(VLOOKUP($B136,OFFSET(INDIRECT(""&amp;$B$109&amp;"!$A$4"),0,0,200,100),MATCH(H$110,INDIRECT(""&amp;$B$109&amp;"!$A$4"):INDIRECT(""&amp;$B$109&amp;"!$o$4"),0),FALSE)),"",VLOOKUP($B136,OFFSET(INDIRECT(""&amp;$B$109&amp;"!$A$4"),0,0,200,100),MATCH(H$110,INDIRECT(""&amp;$B$109&amp;"!$A$4"):INDIRECT(""&amp;$B$109&amp;"!$o$4"),0),FALSE))</f>
        <v>1607.4859610000001</v>
      </c>
      <c r="I136" s="74">
        <f ca="1">IF(ISERROR(VLOOKUP($B136,OFFSET(INDIRECT(""&amp;$B$109&amp;"!$A$4"),0,0,200,100),MATCH(I$110,INDIRECT(""&amp;$B$109&amp;"!$A$4"):INDIRECT(""&amp;$B$109&amp;"!$o$4"),0),FALSE)),"",VLOOKUP($B136,OFFSET(INDIRECT(""&amp;$B$109&amp;"!$A$4"),0,0,200,100),MATCH(I$110,INDIRECT(""&amp;$B$109&amp;"!$A$4"):INDIRECT(""&amp;$B$109&amp;"!$o$4"),0),FALSE))</f>
        <v>4268.4419520000001</v>
      </c>
      <c r="J136" s="74">
        <f ca="1">IF(ISERROR(VLOOKUP($B136,OFFSET(INDIRECT(""&amp;$B$109&amp;"!$A$4"),0,0,200,100),MATCH(J$110,INDIRECT(""&amp;$B$109&amp;"!$A$4"):INDIRECT(""&amp;$B$109&amp;"!$o$4"),0),FALSE)),"",VLOOKUP($B136,OFFSET(INDIRECT(""&amp;$B$109&amp;"!$A$4"),0,0,200,100),MATCH(J$110,INDIRECT(""&amp;$B$109&amp;"!$A$4"):INDIRECT(""&amp;$B$109&amp;"!$o$4"),0),FALSE))</f>
        <v>4268.4419520000001</v>
      </c>
      <c r="K136" s="129" t="s">
        <v>369</v>
      </c>
      <c r="L136" s="190">
        <f ca="1">IF(ISERROR(VLOOKUP($K136,OFFSET(INDIRECT(""&amp;$S$109&amp;"!$A$4"),0,0,200,100),MATCH(L$110,INDIRECT(""&amp;$S$109&amp;"!$A$4"):INDIRECT(""&amp;$S$109&amp;"!$o$4"),0),FALSE)),"",VLOOKUP($K136,OFFSET(INDIRECT(""&amp;$S$109&amp;"!$A$4"),0,0,200,100),MATCH(L$110,INDIRECT(""&amp;$S$109&amp;"!$A$4"):INDIRECT(""&amp;$S$109&amp;"!$o$4"),0),FALSE))</f>
        <v>417.36957799999999</v>
      </c>
      <c r="M136" s="190">
        <f ca="1">IF(ISERROR(VLOOKUP($K136,OFFSET(INDIRECT(""&amp;$S$109&amp;"!$A$4"),0,0,200,100),MATCH(M$110,INDIRECT(""&amp;$S$109&amp;"!$A$4"):INDIRECT(""&amp;$S$109&amp;"!$o$4"),0),FALSE)),"",VLOOKUP($K136,OFFSET(INDIRECT(""&amp;$S$109&amp;"!$A$4"),0,0,200,100),MATCH(M$110,INDIRECT(""&amp;$S$109&amp;"!$A$4"):INDIRECT(""&amp;$S$109&amp;"!$o$4"),0),FALSE))</f>
        <v>5689.1927999999998</v>
      </c>
      <c r="N136" s="190">
        <f ca="1">IF(ISERROR(VLOOKUP($K136,OFFSET(INDIRECT(""&amp;$S$109&amp;"!$A$4"),0,0,200,100),MATCH(N$110,INDIRECT(""&amp;$S$109&amp;"!$A$4"):INDIRECT(""&amp;$S$109&amp;"!$o$4"),0),FALSE)),"",VLOOKUP($K136,OFFSET(INDIRECT(""&amp;$S$109&amp;"!$A$4"),0,0,200,100),MATCH(N$110,INDIRECT(""&amp;$S$109&amp;"!$A$4"):INDIRECT(""&amp;$S$109&amp;"!$o$4"),0),FALSE))</f>
        <v>7770.5793649999996</v>
      </c>
      <c r="O136" s="190">
        <f ca="1">IF(ISERROR(VLOOKUP($K136,OFFSET(INDIRECT(""&amp;$S$109&amp;"!$A$4"),0,0,200,100),MATCH(O$110,INDIRECT(""&amp;$S$109&amp;"!$A$4"):INDIRECT(""&amp;$S$109&amp;"!$o$4"),0),FALSE)),"",VLOOKUP($K136,OFFSET(INDIRECT(""&amp;$S$109&amp;"!$A$4"),0,0,200,100),MATCH(O$110,INDIRECT(""&amp;$S$109&amp;"!$A$4"):INDIRECT(""&amp;$S$109&amp;"!$o$4"),0),FALSE))</f>
        <v>702.95844399999999</v>
      </c>
      <c r="P136" s="190">
        <f ca="1">IF(ISERROR(VLOOKUP($K136,OFFSET(INDIRECT(""&amp;$S$109&amp;"!$A$4"),0,0,200,100),MATCH(P$110,INDIRECT(""&amp;$S$109&amp;"!$A$4"):INDIRECT(""&amp;$S$109&amp;"!$o$4"),0),FALSE)),"",VLOOKUP($K136,OFFSET(INDIRECT(""&amp;$S$109&amp;"!$A$4"),0,0,200,100),MATCH(P$110,INDIRECT(""&amp;$S$109&amp;"!$A$4"):INDIRECT(""&amp;$S$109&amp;"!$o$4"),0),FALSE))</f>
        <v>1810.9729</v>
      </c>
      <c r="Q136" s="190">
        <f ca="1">IF(ISERROR(VLOOKUP($K136,OFFSET(INDIRECT(""&amp;$S$109&amp;"!$A$4"),0,0,200,100),MATCH(Q$110,INDIRECT(""&amp;$S$109&amp;"!$A$4"):INDIRECT(""&amp;$S$109&amp;"!$o$4"),0),FALSE)),"",VLOOKUP($K136,OFFSET(INDIRECT(""&amp;$S$109&amp;"!$A$4"),0,0,200,100),MATCH(Q$110,INDIRECT(""&amp;$S$109&amp;"!$A$4"):INDIRECT(""&amp;$S$109&amp;"!$o$4"),0),FALSE))</f>
        <v>0</v>
      </c>
      <c r="R136" s="190">
        <f ca="1">IF(ISERROR(VLOOKUP($K136,OFFSET(INDIRECT(""&amp;$S$109&amp;"!$A$4"),0,0,200,100),MATCH(R$110,INDIRECT(""&amp;$S$109&amp;"!$A$4"):INDIRECT(""&amp;$S$109&amp;"!$o$4"),0),FALSE)),"",VLOOKUP($K136,OFFSET(INDIRECT(""&amp;$S$109&amp;"!$A$4"),0,0,200,100),MATCH(R$110,INDIRECT(""&amp;$S$109&amp;"!$A$4"):INDIRECT(""&amp;$S$109&amp;"!$o$4"),0),FALSE))</f>
        <v>0</v>
      </c>
      <c r="S136" s="190">
        <f ca="1">IF(ISERROR(VLOOKUP($K136,OFFSET(INDIRECT(""&amp;$S$109&amp;"!$A$4"),0,0,200,100),MATCH(S$110,INDIRECT(""&amp;$S$109&amp;"!$A$4"):INDIRECT(""&amp;$S$109&amp;"!$o$4"),0),FALSE)),"",VLOOKUP($K136,OFFSET(INDIRECT(""&amp;$S$109&amp;"!$A$4"),0,0,200,100),MATCH(S$110,INDIRECT(""&amp;$S$109&amp;"!$A$4"):INDIRECT(""&amp;$S$109&amp;"!$o$4"),0),FALSE))</f>
        <v>512.382296</v>
      </c>
      <c r="T136" s="190">
        <f ca="1">IF(ISERROR(VLOOKUP($K136,OFFSET(INDIRECT(""&amp;$S$109&amp;"!$A$4"),0,0,200,100),MATCH(T$110,INDIRECT(""&amp;$S$109&amp;"!$A$4"):INDIRECT(""&amp;$S$109&amp;"!$o$4"),0),FALSE)),"",VLOOKUP($K136,OFFSET(INDIRECT(""&amp;$S$109&amp;"!$A$4"),0,0,200,100),MATCH(T$110,INDIRECT(""&amp;$S$109&amp;"!$A$4"):INDIRECT(""&amp;$S$109&amp;"!$o$4"),0),FALSE))</f>
        <v>153.88366500000001</v>
      </c>
      <c r="U136" s="190">
        <f ca="1">IF(ISERROR(VLOOKUP($K136,OFFSET(INDIRECT(""&amp;$S$109&amp;"!$A$4"),0,0,200,100),MATCH(U$110,INDIRECT(""&amp;$S$109&amp;"!$A$4"):INDIRECT(""&amp;$S$109&amp;"!$o$4"),0),FALSE)),"",VLOOKUP($K136,OFFSET(INDIRECT(""&amp;$S$109&amp;"!$A$4"),0,0,200,100),MATCH(U$110,INDIRECT(""&amp;$S$109&amp;"!$A$4"):INDIRECT(""&amp;$S$109&amp;"!$o$4"),0),FALSE))</f>
        <v>635.03028300000005</v>
      </c>
      <c r="V136" s="190">
        <f ca="1">IF(ISERROR(VLOOKUP($K136,OFFSET(INDIRECT(""&amp;$S$109&amp;"!$A$4"),0,0,200,100),MATCH(V$110,INDIRECT(""&amp;$S$109&amp;"!$A$4"):INDIRECT(""&amp;$S$109&amp;"!$o$4"),0),FALSE)),"",VLOOKUP($K136,OFFSET(INDIRECT(""&amp;$S$109&amp;"!$A$4"),0,0,200,100),MATCH(V$110,INDIRECT(""&amp;$S$109&amp;"!$A$4"):INDIRECT(""&amp;$S$109&amp;"!$o$4"),0),FALSE))</f>
        <v>681.09363499999995</v>
      </c>
      <c r="W136" s="190">
        <f ca="1">IF(ISERROR(VLOOKUP($K136,OFFSET(INDIRECT(""&amp;$S$109&amp;"!$A$4"),0,0,200,100),MATCH(W$110,INDIRECT(""&amp;$S$109&amp;"!$A$4"):INDIRECT(""&amp;$S$109&amp;"!$o$4"),0),FALSE)),"",VLOOKUP($K136,OFFSET(INDIRECT(""&amp;$S$109&amp;"!$A$4"),0,0,200,100),MATCH(W$110,INDIRECT(""&amp;$S$109&amp;"!$A$4"):INDIRECT(""&amp;$S$109&amp;"!$o$4"),0),FALSE))</f>
        <v>626.26245700000004</v>
      </c>
      <c r="X136" s="190">
        <f ca="1">IF(ISERROR(VLOOKUP($K136,OFFSET(INDIRECT(""&amp;$S$109&amp;"!$A$4"),0,0,200,100),MATCH(X$110,INDIRECT(""&amp;$S$109&amp;"!$A$4"):INDIRECT(""&amp;$S$109&amp;"!$o$4"),0),FALSE)),"",VLOOKUP($K136,OFFSET(INDIRECT(""&amp;$S$109&amp;"!$A$4"),0,0,200,100),MATCH(X$110,INDIRECT(""&amp;$S$109&amp;"!$A$4"):INDIRECT(""&amp;$S$109&amp;"!$o$4"),0),FALSE))</f>
        <v>1096.8588</v>
      </c>
      <c r="Y136" s="190">
        <f ca="1">IF(ISERROR(VLOOKUP($K136,OFFSET(INDIRECT(""&amp;$S$109&amp;"!$A$4"),0,0,200,100),MATCH(Y$110,INDIRECT(""&amp;$S$109&amp;"!$A$4"):INDIRECT(""&amp;$S$109&amp;"!$o$4"),0),FALSE)),"",VLOOKUP($K136,OFFSET(INDIRECT(""&amp;$S$109&amp;"!$A$4"),0,0,200,100),MATCH(Y$110,INDIRECT(""&amp;$S$109&amp;"!$A$4"):INDIRECT(""&amp;$S$109&amp;"!$o$4"),0),FALSE))</f>
        <v>631.11880099999996</v>
      </c>
      <c r="Z136" s="160">
        <f ca="1">IF(ISERROR(VLOOKUP($K136,OFFSET(INDIRECT(""&amp;$S$109&amp;"!$A$4"),0,0,200,100),MATCH(Z$110,INDIRECT(""&amp;$S$109&amp;"!$A$4"):INDIRECT(""&amp;$S$109&amp;"!$P$4"),0),FALSE)),"",VLOOKUP($K136,OFFSET(INDIRECT(""&amp;$S$109&amp;"!$A$4"),0,0,200,100),MATCH(Z$110,INDIRECT(""&amp;$S$109&amp;"!$A$4"):INDIRECT(""&amp;$S$109&amp;"!$P$4"),0),FALSE))</f>
        <v>1341.9229849999999</v>
      </c>
      <c r="AA136" s="190"/>
      <c r="AC136" s="126"/>
      <c r="AD136" s="126"/>
      <c r="AE136" s="126"/>
      <c r="AF136" s="126"/>
      <c r="AG136" s="126"/>
      <c r="AH136" s="126"/>
      <c r="AI136" s="148"/>
      <c r="AJ136" s="148"/>
      <c r="AK136" s="148"/>
      <c r="AL136" s="148"/>
      <c r="AM136" s="148"/>
      <c r="AN136" s="148"/>
      <c r="AO136" s="126"/>
      <c r="AP136" s="126"/>
      <c r="AQ136" s="126"/>
      <c r="AR136" s="126"/>
      <c r="AS136" s="126"/>
      <c r="AT136" s="72"/>
      <c r="AU136" s="72"/>
      <c r="AV136" s="73"/>
      <c r="AW136" s="73"/>
      <c r="AX136" s="73"/>
      <c r="AY136" s="73"/>
      <c r="AZ136" s="73"/>
      <c r="BA136" s="73"/>
      <c r="BB136" s="73"/>
      <c r="BC136" s="73"/>
      <c r="BD136" s="73"/>
      <c r="BE136" s="73"/>
      <c r="BF136" s="73"/>
    </row>
    <row r="137" spans="1:58" s="128" customFormat="1" ht="15.95" customHeight="1">
      <c r="A137" s="116" t="s">
        <v>325</v>
      </c>
      <c r="B137" s="116" t="s">
        <v>370</v>
      </c>
      <c r="C137" s="160">
        <f ca="1">IF(ISERROR(VLOOKUP($B137,OFFSET(INDIRECT(""&amp;$B$109&amp;"!$A$4"),0,0,200,100),MATCH(C$110,INDIRECT(""&amp;$B$109&amp;"!$A$4"):INDIRECT(""&amp;$B$109&amp;"!$o$4"),0),FALSE)),"",VLOOKUP($B137,OFFSET(INDIRECT(""&amp;$B$109&amp;"!$A$4"),0,0,200,100),MATCH(C$110,INDIRECT(""&amp;$B$109&amp;"!$A$4"):INDIRECT(""&amp;$B$109&amp;"!$o$4"),0),FALSE))</f>
        <v>-89580.327212999997</v>
      </c>
      <c r="D137" s="160">
        <f ca="1">IF(ISERROR(VLOOKUP($B137,OFFSET(INDIRECT(""&amp;$B$109&amp;"!$A$4"),0,0,200,100),MATCH(D$110,INDIRECT(""&amp;$B$109&amp;"!$A$4"):INDIRECT(""&amp;$B$109&amp;"!$o$4"),0),FALSE)),"",VLOOKUP($B137,OFFSET(INDIRECT(""&amp;$B$109&amp;"!$A$4"),0,0,200,100),MATCH(D$110,INDIRECT(""&amp;$B$109&amp;"!$A$4"):INDIRECT(""&amp;$B$109&amp;"!$o$4"),0),FALSE))</f>
        <v>-52631.146232999999</v>
      </c>
      <c r="E137" s="160">
        <f ca="1">IF(ISERROR(VLOOKUP($B137,OFFSET(INDIRECT(""&amp;$B$109&amp;"!$A$4"),0,0,200,100),MATCH(E$110,INDIRECT(""&amp;$B$109&amp;"!$A$4"):INDIRECT(""&amp;$B$109&amp;"!$o$4"),0),FALSE)),"",VLOOKUP($B137,OFFSET(INDIRECT(""&amp;$B$109&amp;"!$A$4"),0,0,200,100),MATCH(E$110,INDIRECT(""&amp;$B$109&amp;"!$A$4"):INDIRECT(""&amp;$B$109&amp;"!$o$4"),0),FALSE))</f>
        <v>-6049.5454950000003</v>
      </c>
      <c r="F137" s="160">
        <f ca="1">IF(ISERROR(VLOOKUP($B137,OFFSET(INDIRECT(""&amp;$B$109&amp;"!$A$4"),0,0,200,100),MATCH(F$110,INDIRECT(""&amp;$B$109&amp;"!$A$4"):INDIRECT(""&amp;$B$109&amp;"!$o$4"),0),FALSE)),"",VLOOKUP($B137,OFFSET(INDIRECT(""&amp;$B$109&amp;"!$A$4"),0,0,200,100),MATCH(F$110,INDIRECT(""&amp;$B$109&amp;"!$A$4"):INDIRECT(""&amp;$B$109&amp;"!$o$4"),0),FALSE))</f>
        <v>-47324.834620000001</v>
      </c>
      <c r="G137" s="160">
        <f ca="1">IF(ISERROR(VLOOKUP($B137,OFFSET(INDIRECT(""&amp;$B$109&amp;"!$A$4"),0,0,200,100),MATCH(G$110,INDIRECT(""&amp;$B$109&amp;"!$A$4"):INDIRECT(""&amp;$B$109&amp;"!$o$4"),0),FALSE)),"",VLOOKUP($B137,OFFSET(INDIRECT(""&amp;$B$109&amp;"!$A$4"),0,0,200,100),MATCH(G$110,INDIRECT(""&amp;$B$109&amp;"!$A$4"):INDIRECT(""&amp;$B$109&amp;"!$o$4"),0),FALSE))</f>
        <v>-17154.377044000001</v>
      </c>
      <c r="H137" s="160">
        <f ca="1">IF(ISERROR(VLOOKUP($B137,OFFSET(INDIRECT(""&amp;$B$109&amp;"!$A$4"),0,0,200,100),MATCH(H$110,INDIRECT(""&amp;$B$109&amp;"!$A$4"):INDIRECT(""&amp;$B$109&amp;"!$o$4"),0),FALSE)),"",VLOOKUP($B137,OFFSET(INDIRECT(""&amp;$B$109&amp;"!$A$4"),0,0,200,100),MATCH(H$110,INDIRECT(""&amp;$B$109&amp;"!$A$4"):INDIRECT(""&amp;$B$109&amp;"!$o$4"),0),FALSE))</f>
        <v>-6939.0491149999998</v>
      </c>
      <c r="I137" s="160">
        <f ca="1">IF(ISERROR(VLOOKUP($B137,OFFSET(INDIRECT(""&amp;$B$109&amp;"!$A$4"),0,0,200,100),MATCH(I$110,INDIRECT(""&amp;$B$109&amp;"!$A$4"):INDIRECT(""&amp;$B$109&amp;"!$o$4"),0),FALSE)),"",VLOOKUP($B137,OFFSET(INDIRECT(""&amp;$B$109&amp;"!$A$4"),0,0,200,100),MATCH(I$110,INDIRECT(""&amp;$B$109&amp;"!$A$4"):INDIRECT(""&amp;$B$109&amp;"!$o$4"),0),FALSE))</f>
        <v>5937.2103319999997</v>
      </c>
      <c r="J137" s="160">
        <f ca="1">IF(ISERROR(VLOOKUP($B137,OFFSET(INDIRECT(""&amp;$B$109&amp;"!$A$4"),0,0,200,100),MATCH(J$110,INDIRECT(""&amp;$B$109&amp;"!$A$4"):INDIRECT(""&amp;$B$109&amp;"!$o$4"),0),FALSE)),"",VLOOKUP($B137,OFFSET(INDIRECT(""&amp;$B$109&amp;"!$A$4"),0,0,200,100),MATCH(J$110,INDIRECT(""&amp;$B$109&amp;"!$A$4"):INDIRECT(""&amp;$B$109&amp;"!$o$4"),0),FALSE))</f>
        <v>5937.2103319999997</v>
      </c>
      <c r="K137" s="129" t="s">
        <v>370</v>
      </c>
      <c r="L137" s="160">
        <f ca="1">IF(ISERROR(VLOOKUP($K137,OFFSET(INDIRECT(""&amp;$S$109&amp;"!$A$4"),0,0,200,100),MATCH(L$110,INDIRECT(""&amp;$S$109&amp;"!$A$4"):INDIRECT(""&amp;$S$109&amp;"!$o$4"),0),FALSE)),"",VLOOKUP($K137,OFFSET(INDIRECT(""&amp;$S$109&amp;"!$A$4"),0,0,200,100),MATCH(L$110,INDIRECT(""&amp;$S$109&amp;"!$A$4"):INDIRECT(""&amp;$S$109&amp;"!$o$4"),0),FALSE))</f>
        <v>-1371.327677</v>
      </c>
      <c r="M137" s="160">
        <f ca="1">IF(ISERROR(VLOOKUP($K137,OFFSET(INDIRECT(""&amp;$S$109&amp;"!$A$4"),0,0,200,100),MATCH(M$110,INDIRECT(""&amp;$S$109&amp;"!$A$4"):INDIRECT(""&amp;$S$109&amp;"!$o$4"),0),FALSE)),"",VLOOKUP($K137,OFFSET(INDIRECT(""&amp;$S$109&amp;"!$A$4"),0,0,200,100),MATCH(M$110,INDIRECT(""&amp;$S$109&amp;"!$A$4"):INDIRECT(""&amp;$S$109&amp;"!$o$4"),0),FALSE))</f>
        <v>-18323.192328000001</v>
      </c>
      <c r="N137" s="160">
        <f ca="1">IF(ISERROR(VLOOKUP($K137,OFFSET(INDIRECT(""&amp;$S$109&amp;"!$A$4"),0,0,200,100),MATCH(N$110,INDIRECT(""&amp;$S$109&amp;"!$A$4"):INDIRECT(""&amp;$S$109&amp;"!$o$4"),0),FALSE)),"",VLOOKUP($K137,OFFSET(INDIRECT(""&amp;$S$109&amp;"!$A$4"),0,0,200,100),MATCH(N$110,INDIRECT(""&amp;$S$109&amp;"!$A$4"):INDIRECT(""&amp;$S$109&amp;"!$o$4"),0),FALSE))</f>
        <v>-45338.122635</v>
      </c>
      <c r="O137" s="160">
        <f ca="1">IF(ISERROR(VLOOKUP($K137,OFFSET(INDIRECT(""&amp;$S$109&amp;"!$A$4"),0,0,200,100),MATCH(O$110,INDIRECT(""&amp;$S$109&amp;"!$A$4"):INDIRECT(""&amp;$S$109&amp;"!$o$4"),0),FALSE)),"",VLOOKUP($K137,OFFSET(INDIRECT(""&amp;$S$109&amp;"!$A$4"),0,0,200,100),MATCH(O$110,INDIRECT(""&amp;$S$109&amp;"!$A$4"):INDIRECT(""&amp;$S$109&amp;"!$o$4"),0),FALSE))</f>
        <v>2521.128134</v>
      </c>
      <c r="P137" s="160">
        <f ca="1">IF(ISERROR(VLOOKUP($K137,OFFSET(INDIRECT(""&amp;$S$109&amp;"!$A$4"),0,0,200,100),MATCH(P$110,INDIRECT(""&amp;$S$109&amp;"!$A$4"):INDIRECT(""&amp;$S$109&amp;"!$o$4"),0),FALSE)),"",VLOOKUP($K137,OFFSET(INDIRECT(""&amp;$S$109&amp;"!$A$4"),0,0,200,100),MATCH(P$110,INDIRECT(""&amp;$S$109&amp;"!$A$4"):INDIRECT(""&amp;$S$109&amp;"!$o$4"),0),FALSE))</f>
        <v>-5728.2121960000004</v>
      </c>
      <c r="Q137" s="160">
        <f ca="1">IF(ISERROR(VLOOKUP($K137,OFFSET(INDIRECT(""&amp;$S$109&amp;"!$A$4"),0,0,200,100),MATCH(Q$110,INDIRECT(""&amp;$S$109&amp;"!$A$4"):INDIRECT(""&amp;$S$109&amp;"!$o$4"),0),FALSE)),"",VLOOKUP($K137,OFFSET(INDIRECT(""&amp;$S$109&amp;"!$A$4"),0,0,200,100),MATCH(Q$110,INDIRECT(""&amp;$S$109&amp;"!$A$4"):INDIRECT(""&amp;$S$109&amp;"!$o$4"),0),FALSE))</f>
        <v>0</v>
      </c>
      <c r="R137" s="160">
        <f ca="1">IF(ISERROR(VLOOKUP($K137,OFFSET(INDIRECT(""&amp;$S$109&amp;"!$A$4"),0,0,200,100),MATCH(R$110,INDIRECT(""&amp;$S$109&amp;"!$A$4"):INDIRECT(""&amp;$S$109&amp;"!$o$4"),0),FALSE)),"",VLOOKUP($K137,OFFSET(INDIRECT(""&amp;$S$109&amp;"!$A$4"),0,0,200,100),MATCH(R$110,INDIRECT(""&amp;$S$109&amp;"!$A$4"):INDIRECT(""&amp;$S$109&amp;"!$o$4"),0),FALSE))</f>
        <v>0</v>
      </c>
      <c r="S137" s="160">
        <f ca="1">IF(ISERROR(VLOOKUP($K137,OFFSET(INDIRECT(""&amp;$S$109&amp;"!$A$4"),0,0,200,100),MATCH(S$110,INDIRECT(""&amp;$S$109&amp;"!$A$4"):INDIRECT(""&amp;$S$109&amp;"!$o$4"),0),FALSE)),"",VLOOKUP($K137,OFFSET(INDIRECT(""&amp;$S$109&amp;"!$A$4"),0,0,200,100),MATCH(S$110,INDIRECT(""&amp;$S$109&amp;"!$A$4"):INDIRECT(""&amp;$S$109&amp;"!$o$4"),0),FALSE))</f>
        <v>23923.714295999998</v>
      </c>
      <c r="T137" s="160">
        <f ca="1">IF(ISERROR(VLOOKUP($K137,OFFSET(INDIRECT(""&amp;$S$109&amp;"!$A$4"),0,0,200,100),MATCH(T$110,INDIRECT(""&amp;$S$109&amp;"!$A$4"):INDIRECT(""&amp;$S$109&amp;"!$o$4"),0),FALSE)),"",VLOOKUP($K137,OFFSET(INDIRECT(""&amp;$S$109&amp;"!$A$4"),0,0,200,100),MATCH(T$110,INDIRECT(""&amp;$S$109&amp;"!$A$4"):INDIRECT(""&amp;$S$109&amp;"!$o$4"),0),FALSE))</f>
        <v>-1134.130946</v>
      </c>
      <c r="U137" s="160">
        <f ca="1">IF(ISERROR(VLOOKUP($K137,OFFSET(INDIRECT(""&amp;$S$109&amp;"!$A$4"),0,0,200,100),MATCH(U$110,INDIRECT(""&amp;$S$109&amp;"!$A$4"):INDIRECT(""&amp;$S$109&amp;"!$o$4"),0),FALSE)),"",VLOOKUP($K137,OFFSET(INDIRECT(""&amp;$S$109&amp;"!$A$4"),0,0,200,100),MATCH(U$110,INDIRECT(""&amp;$S$109&amp;"!$A$4"):INDIRECT(""&amp;$S$109&amp;"!$o$4"),0),FALSE))</f>
        <v>-5353.2557079999997</v>
      </c>
      <c r="V137" s="160">
        <f ca="1">IF(ISERROR(VLOOKUP($K137,OFFSET(INDIRECT(""&amp;$S$109&amp;"!$A$4"),0,0,200,100),MATCH(V$110,INDIRECT(""&amp;$S$109&amp;"!$A$4"):INDIRECT(""&amp;$S$109&amp;"!$o$4"),0),FALSE)),"",VLOOKUP($K137,OFFSET(INDIRECT(""&amp;$S$109&amp;"!$A$4"),0,0,200,100),MATCH(V$110,INDIRECT(""&amp;$S$109&amp;"!$A$4"):INDIRECT(""&amp;$S$109&amp;"!$o$4"),0),FALSE))</f>
        <v>1038.5233479999999</v>
      </c>
      <c r="W137" s="160">
        <f ca="1">IF(ISERROR(VLOOKUP($K137,OFFSET(INDIRECT(""&amp;$S$109&amp;"!$A$4"),0,0,200,100),MATCH(W$110,INDIRECT(""&amp;$S$109&amp;"!$A$4"):INDIRECT(""&amp;$S$109&amp;"!$o$4"),0),FALSE)),"",VLOOKUP($K137,OFFSET(INDIRECT(""&amp;$S$109&amp;"!$A$4"),0,0,200,100),MATCH(W$110,INDIRECT(""&amp;$S$109&amp;"!$A$4"):INDIRECT(""&amp;$S$109&amp;"!$o$4"),0),FALSE))</f>
        <v>1087.0948559999999</v>
      </c>
      <c r="X137" s="160">
        <f ca="1">IF(ISERROR(VLOOKUP($K137,OFFSET(INDIRECT(""&amp;$S$109&amp;"!$A$4"),0,0,200,100),MATCH(X$110,INDIRECT(""&amp;$S$109&amp;"!$A$4"):INDIRECT(""&amp;$S$109&amp;"!$o$4"),0),FALSE)),"",VLOOKUP($K137,OFFSET(INDIRECT(""&amp;$S$109&amp;"!$A$4"),0,0,200,100),MATCH(X$110,INDIRECT(""&amp;$S$109&amp;"!$A$4"):INDIRECT(""&amp;$S$109&amp;"!$o$4"),0),FALSE))</f>
        <v>1243.3875439999999</v>
      </c>
      <c r="Y137" s="160">
        <f ca="1">IF(ISERROR(VLOOKUP($K137,OFFSET(INDIRECT(""&amp;$S$109&amp;"!$A$4"),0,0,200,100),MATCH(Y$110,INDIRECT(""&amp;$S$109&amp;"!$A$4"):INDIRECT(""&amp;$S$109&amp;"!$o$4"),0),FALSE)),"",VLOOKUP($K137,OFFSET(INDIRECT(""&amp;$S$109&amp;"!$A$4"),0,0,200,100),MATCH(Y$110,INDIRECT(""&amp;$S$109&amp;"!$A$4"):INDIRECT(""&amp;$S$109&amp;"!$o$4"),0),FALSE))</f>
        <v>533.97980099999995</v>
      </c>
      <c r="Z137" s="160">
        <f ca="1">IF(ISERROR(VLOOKUP($K137,OFFSET(INDIRECT(""&amp;$S$109&amp;"!$A$4"),0,0,200,100),MATCH(Z$110,INDIRECT(""&amp;$S$109&amp;"!$A$4"):INDIRECT(""&amp;$S$109&amp;"!$P$4"),0),FALSE)),"",VLOOKUP($K137,OFFSET(INDIRECT(""&amp;$S$109&amp;"!$A$4"),0,0,200,100),MATCH(Z$110,INDIRECT(""&amp;$S$109&amp;"!$A$4"):INDIRECT(""&amp;$S$109&amp;"!$P$4"),0),FALSE))</f>
        <v>2186.0440749999998</v>
      </c>
      <c r="AA137" s="160"/>
      <c r="AC137" s="126"/>
      <c r="AD137" s="126"/>
      <c r="AE137" s="126"/>
      <c r="AF137" s="126"/>
      <c r="AG137" s="126"/>
      <c r="AH137" s="126"/>
      <c r="AI137" s="148"/>
      <c r="AJ137" s="148"/>
      <c r="AK137" s="148"/>
      <c r="AL137" s="148"/>
      <c r="AM137" s="148"/>
      <c r="AN137" s="148"/>
      <c r="AO137" s="126"/>
      <c r="AP137" s="126"/>
      <c r="AQ137" s="126"/>
      <c r="AR137" s="126"/>
      <c r="AS137" s="126"/>
      <c r="AT137" s="72"/>
      <c r="AU137" s="72"/>
      <c r="AV137" s="73"/>
      <c r="AW137" s="73"/>
      <c r="AX137" s="73"/>
      <c r="AY137" s="73"/>
      <c r="AZ137" s="73"/>
      <c r="BA137" s="73"/>
      <c r="BB137" s="73"/>
      <c r="BC137" s="73"/>
      <c r="BD137" s="73"/>
      <c r="BE137" s="73"/>
      <c r="BF137" s="73"/>
    </row>
    <row r="138" spans="1:58" s="128" customFormat="1" ht="15.95" customHeight="1">
      <c r="A138" s="116" t="s">
        <v>328</v>
      </c>
      <c r="B138" s="116"/>
      <c r="C138" s="74" t="str">
        <f ca="1">IF(ISERROR(VLOOKUP($B138,OFFSET(INDIRECT(""&amp;$B$109&amp;"!$A$4"),0,0,200,100),MATCH(C$110,INDIRECT(""&amp;$B$109&amp;"!$A$4"):INDIRECT(""&amp;$B$109&amp;"!$o$4"),0),FALSE)),"",VLOOKUP($B138,OFFSET(INDIRECT(""&amp;$B$109&amp;"!$A$4"),0,0,200,100),MATCH(C$110,INDIRECT(""&amp;$B$109&amp;"!$A$4"):INDIRECT(""&amp;$B$109&amp;"!$o$4"),0),FALSE))</f>
        <v/>
      </c>
      <c r="D138" s="74" t="str">
        <f ca="1">IF(ISERROR(VLOOKUP($B138,OFFSET(INDIRECT(""&amp;$B$109&amp;"!$A$4"),0,0,200,100),MATCH(D$110,INDIRECT(""&amp;$B$109&amp;"!$A$4"):INDIRECT(""&amp;$B$109&amp;"!$o$4"),0),FALSE)),"",VLOOKUP($B138,OFFSET(INDIRECT(""&amp;$B$109&amp;"!$A$4"),0,0,200,100),MATCH(D$110,INDIRECT(""&amp;$B$109&amp;"!$A$4"):INDIRECT(""&amp;$B$109&amp;"!$o$4"),0),FALSE))</f>
        <v/>
      </c>
      <c r="E138" s="74" t="str">
        <f ca="1">IF(ISERROR(VLOOKUP($B138,OFFSET(INDIRECT(""&amp;$B$109&amp;"!$A$4"),0,0,200,100),MATCH(E$110,INDIRECT(""&amp;$B$109&amp;"!$A$4"):INDIRECT(""&amp;$B$109&amp;"!$o$4"),0),FALSE)),"",VLOOKUP($B138,OFFSET(INDIRECT(""&amp;$B$109&amp;"!$A$4"),0,0,200,100),MATCH(E$110,INDIRECT(""&amp;$B$109&amp;"!$A$4"):INDIRECT(""&amp;$B$109&amp;"!$o$4"),0),FALSE))</f>
        <v/>
      </c>
      <c r="F138" s="74" t="str">
        <f ca="1">IF(ISERROR(VLOOKUP($B138,OFFSET(INDIRECT(""&amp;$B$109&amp;"!$A$4"),0,0,200,100),MATCH(F$110,INDIRECT(""&amp;$B$109&amp;"!$A$4"):INDIRECT(""&amp;$B$109&amp;"!$o$4"),0),FALSE)),"",VLOOKUP($B138,OFFSET(INDIRECT(""&amp;$B$109&amp;"!$A$4"),0,0,200,100),MATCH(F$110,INDIRECT(""&amp;$B$109&amp;"!$A$4"):INDIRECT(""&amp;$B$109&amp;"!$o$4"),0),FALSE))</f>
        <v/>
      </c>
      <c r="G138" s="74" t="str">
        <f ca="1">IF(ISERROR(VLOOKUP($B138,OFFSET(INDIRECT(""&amp;$B$109&amp;"!$A$4"),0,0,200,100),MATCH(G$110,INDIRECT(""&amp;$B$109&amp;"!$A$4"):INDIRECT(""&amp;$B$109&amp;"!$o$4"),0),FALSE)),"",VLOOKUP($B138,OFFSET(INDIRECT(""&amp;$B$109&amp;"!$A$4"),0,0,200,100),MATCH(G$110,INDIRECT(""&amp;$B$109&amp;"!$A$4"):INDIRECT(""&amp;$B$109&amp;"!$o$4"),0),FALSE))</f>
        <v/>
      </c>
      <c r="H138" s="74" t="str">
        <f ca="1">IF(ISERROR(VLOOKUP($B138,OFFSET(INDIRECT(""&amp;$B$109&amp;"!$A$4"),0,0,200,100),MATCH(H$110,INDIRECT(""&amp;$B$109&amp;"!$A$4"):INDIRECT(""&amp;$B$109&amp;"!$o$4"),0),FALSE)),"",VLOOKUP($B138,OFFSET(INDIRECT(""&amp;$B$109&amp;"!$A$4"),0,0,200,100),MATCH(H$110,INDIRECT(""&amp;$B$109&amp;"!$A$4"):INDIRECT(""&amp;$B$109&amp;"!$o$4"),0),FALSE))</f>
        <v/>
      </c>
      <c r="I138" s="74" t="str">
        <f ca="1">IF(ISERROR(VLOOKUP($B138,OFFSET(INDIRECT(""&amp;$B$109&amp;"!$A$4"),0,0,200,100),MATCH(I$110,INDIRECT(""&amp;$B$109&amp;"!$A$4"):INDIRECT(""&amp;$B$109&amp;"!$o$4"),0),FALSE)),"",VLOOKUP($B138,OFFSET(INDIRECT(""&amp;$B$109&amp;"!$A$4"),0,0,200,100),MATCH(I$110,INDIRECT(""&amp;$B$109&amp;"!$A$4"):INDIRECT(""&amp;$B$109&amp;"!$o$4"),0),FALSE))</f>
        <v/>
      </c>
      <c r="J138" s="74" t="str">
        <f ca="1">IF(ISERROR(VLOOKUP($B138,OFFSET(INDIRECT(""&amp;$B$109&amp;"!$A$4"),0,0,200,100),MATCH(J$110,INDIRECT(""&amp;$B$109&amp;"!$A$4"):INDIRECT(""&amp;$B$109&amp;"!$o$4"),0),FALSE)),"",VLOOKUP($B138,OFFSET(INDIRECT(""&amp;$B$109&amp;"!$A$4"),0,0,200,100),MATCH(J$110,INDIRECT(""&amp;$B$109&amp;"!$A$4"):INDIRECT(""&amp;$B$109&amp;"!$o$4"),0),FALSE))</f>
        <v/>
      </c>
      <c r="K138" s="129"/>
      <c r="L138" s="160" t="str">
        <f ca="1">IF(ISERROR(VLOOKUP($K138,OFFSET(INDIRECT(""&amp;$S$109&amp;"!$A$4"),0,0,200,100),MATCH(L$110,INDIRECT(""&amp;$S$109&amp;"!$A$4"):INDIRECT(""&amp;$S$109&amp;"!$o$4"),0),FALSE)),"",VLOOKUP($K138,OFFSET(INDIRECT(""&amp;$S$109&amp;"!$A$4"),0,0,200,100),MATCH(L$110,INDIRECT(""&amp;$S$109&amp;"!$A$4"):INDIRECT(""&amp;$S$109&amp;"!$o$4"),0),FALSE))</f>
        <v/>
      </c>
      <c r="M138" s="160" t="str">
        <f ca="1">IF(ISERROR(VLOOKUP($K138,OFFSET(INDIRECT(""&amp;$S$109&amp;"!$A$4"),0,0,200,100),MATCH(M$110,INDIRECT(""&amp;$S$109&amp;"!$A$4"):INDIRECT(""&amp;$S$109&amp;"!$o$4"),0),FALSE)),"",VLOOKUP($K138,OFFSET(INDIRECT(""&amp;$S$109&amp;"!$A$4"),0,0,200,100),MATCH(M$110,INDIRECT(""&amp;$S$109&amp;"!$A$4"):INDIRECT(""&amp;$S$109&amp;"!$o$4"),0),FALSE))</f>
        <v/>
      </c>
      <c r="N138" s="160" t="str">
        <f ca="1">IF(ISERROR(VLOOKUP($K138,OFFSET(INDIRECT(""&amp;$S$109&amp;"!$A$4"),0,0,200,100),MATCH(N$110,INDIRECT(""&amp;$S$109&amp;"!$A$4"):INDIRECT(""&amp;$S$109&amp;"!$o$4"),0),FALSE)),"",VLOOKUP($K138,OFFSET(INDIRECT(""&amp;$S$109&amp;"!$A$4"),0,0,200,100),MATCH(N$110,INDIRECT(""&amp;$S$109&amp;"!$A$4"):INDIRECT(""&amp;$S$109&amp;"!$o$4"),0),FALSE))</f>
        <v/>
      </c>
      <c r="O138" s="160" t="str">
        <f ca="1">IF(ISERROR(VLOOKUP($K138,OFFSET(INDIRECT(""&amp;$S$109&amp;"!$A$4"),0,0,200,100),MATCH(O$110,INDIRECT(""&amp;$S$109&amp;"!$A$4"):INDIRECT(""&amp;$S$109&amp;"!$o$4"),0),FALSE)),"",VLOOKUP($K138,OFFSET(INDIRECT(""&amp;$S$109&amp;"!$A$4"),0,0,200,100),MATCH(O$110,INDIRECT(""&amp;$S$109&amp;"!$A$4"):INDIRECT(""&amp;$S$109&amp;"!$o$4"),0),FALSE))</f>
        <v/>
      </c>
      <c r="P138" s="160" t="str">
        <f ca="1">IF(ISERROR(VLOOKUP($K138,OFFSET(INDIRECT(""&amp;$S$109&amp;"!$A$4"),0,0,200,100),MATCH(P$110,INDIRECT(""&amp;$S$109&amp;"!$A$4"):INDIRECT(""&amp;$S$109&amp;"!$o$4"),0),FALSE)),"",VLOOKUP($K138,OFFSET(INDIRECT(""&amp;$S$109&amp;"!$A$4"),0,0,200,100),MATCH(P$110,INDIRECT(""&amp;$S$109&amp;"!$A$4"):INDIRECT(""&amp;$S$109&amp;"!$o$4"),0),FALSE))</f>
        <v/>
      </c>
      <c r="Q138" s="160" t="str">
        <f ca="1">IF(ISERROR(VLOOKUP($K138,OFFSET(INDIRECT(""&amp;$S$109&amp;"!$A$4"),0,0,200,100),MATCH(Q$110,INDIRECT(""&amp;$S$109&amp;"!$A$4"):INDIRECT(""&amp;$S$109&amp;"!$o$4"),0),FALSE)),"",VLOOKUP($K138,OFFSET(INDIRECT(""&amp;$S$109&amp;"!$A$4"),0,0,200,100),MATCH(Q$110,INDIRECT(""&amp;$S$109&amp;"!$A$4"):INDIRECT(""&amp;$S$109&amp;"!$o$4"),0),FALSE))</f>
        <v/>
      </c>
      <c r="R138" s="160" t="str">
        <f ca="1">IF(ISERROR(VLOOKUP($K138,OFFSET(INDIRECT(""&amp;$S$109&amp;"!$A$4"),0,0,200,100),MATCH(R$110,INDIRECT(""&amp;$S$109&amp;"!$A$4"):INDIRECT(""&amp;$S$109&amp;"!$o$4"),0),FALSE)),"",VLOOKUP($K138,OFFSET(INDIRECT(""&amp;$S$109&amp;"!$A$4"),0,0,200,100),MATCH(R$110,INDIRECT(""&amp;$S$109&amp;"!$A$4"):INDIRECT(""&amp;$S$109&amp;"!$o$4"),0),FALSE))</f>
        <v/>
      </c>
      <c r="S138" s="160" t="str">
        <f ca="1">IF(ISERROR(VLOOKUP($K138,OFFSET(INDIRECT(""&amp;$S$109&amp;"!$A$4"),0,0,200,100),MATCH(S$110,INDIRECT(""&amp;$S$109&amp;"!$A$4"):INDIRECT(""&amp;$S$109&amp;"!$o$4"),0),FALSE)),"",VLOOKUP($K138,OFFSET(INDIRECT(""&amp;$S$109&amp;"!$A$4"),0,0,200,100),MATCH(S$110,INDIRECT(""&amp;$S$109&amp;"!$A$4"):INDIRECT(""&amp;$S$109&amp;"!$o$4"),0),FALSE))</f>
        <v/>
      </c>
      <c r="T138" s="160" t="str">
        <f ca="1">IF(ISERROR(VLOOKUP($K138,OFFSET(INDIRECT(""&amp;$S$109&amp;"!$A$4"),0,0,200,100),MATCH(T$110,INDIRECT(""&amp;$S$109&amp;"!$A$4"):INDIRECT(""&amp;$S$109&amp;"!$o$4"),0),FALSE)),"",VLOOKUP($K138,OFFSET(INDIRECT(""&amp;$S$109&amp;"!$A$4"),0,0,200,100),MATCH(T$110,INDIRECT(""&amp;$S$109&amp;"!$A$4"):INDIRECT(""&amp;$S$109&amp;"!$o$4"),0),FALSE))</f>
        <v/>
      </c>
      <c r="U138" s="160" t="str">
        <f ca="1">IF(ISERROR(VLOOKUP($K138,OFFSET(INDIRECT(""&amp;$S$109&amp;"!$A$4"),0,0,200,100),MATCH(U$110,INDIRECT(""&amp;$S$109&amp;"!$A$4"):INDIRECT(""&amp;$S$109&amp;"!$o$4"),0),FALSE)),"",VLOOKUP($K138,OFFSET(INDIRECT(""&amp;$S$109&amp;"!$A$4"),0,0,200,100),MATCH(U$110,INDIRECT(""&amp;$S$109&amp;"!$A$4"):INDIRECT(""&amp;$S$109&amp;"!$o$4"),0),FALSE))</f>
        <v/>
      </c>
      <c r="V138" s="160" t="str">
        <f ca="1">IF(ISERROR(VLOOKUP($K138,OFFSET(INDIRECT(""&amp;$S$109&amp;"!$A$4"),0,0,200,100),MATCH(V$110,INDIRECT(""&amp;$S$109&amp;"!$A$4"):INDIRECT(""&amp;$S$109&amp;"!$o$4"),0),FALSE)),"",VLOOKUP($K138,OFFSET(INDIRECT(""&amp;$S$109&amp;"!$A$4"),0,0,200,100),MATCH(V$110,INDIRECT(""&amp;$S$109&amp;"!$A$4"):INDIRECT(""&amp;$S$109&amp;"!$o$4"),0),FALSE))</f>
        <v/>
      </c>
      <c r="W138" s="160" t="str">
        <f ca="1">IF(ISERROR(VLOOKUP($K138,OFFSET(INDIRECT(""&amp;$S$109&amp;"!$A$4"),0,0,200,100),MATCH(W$110,INDIRECT(""&amp;$S$109&amp;"!$A$4"):INDIRECT(""&amp;$S$109&amp;"!$o$4"),0),FALSE)),"",VLOOKUP($K138,OFFSET(INDIRECT(""&amp;$S$109&amp;"!$A$4"),0,0,200,100),MATCH(W$110,INDIRECT(""&amp;$S$109&amp;"!$A$4"):INDIRECT(""&amp;$S$109&amp;"!$o$4"),0),FALSE))</f>
        <v/>
      </c>
      <c r="X138" s="160" t="str">
        <f ca="1">IF(ISERROR(VLOOKUP($K138,OFFSET(INDIRECT(""&amp;$S$109&amp;"!$A$4"),0,0,200,100),MATCH(X$110,INDIRECT(""&amp;$S$109&amp;"!$A$4"):INDIRECT(""&amp;$S$109&amp;"!$o$4"),0),FALSE)),"",VLOOKUP($K138,OFFSET(INDIRECT(""&amp;$S$109&amp;"!$A$4"),0,0,200,100),MATCH(X$110,INDIRECT(""&amp;$S$109&amp;"!$A$4"):INDIRECT(""&amp;$S$109&amp;"!$o$4"),0),FALSE))</f>
        <v/>
      </c>
      <c r="Y138" s="160" t="str">
        <f ca="1">IF(ISERROR(VLOOKUP($K138,OFFSET(INDIRECT(""&amp;$S$109&amp;"!$A$4"),0,0,200,100),MATCH(Y$110,INDIRECT(""&amp;$S$109&amp;"!$A$4"):INDIRECT(""&amp;$S$109&amp;"!$o$4"),0),FALSE)),"",VLOOKUP($K138,OFFSET(INDIRECT(""&amp;$S$109&amp;"!$A$4"),0,0,200,100),MATCH(Y$110,INDIRECT(""&amp;$S$109&amp;"!$A$4"):INDIRECT(""&amp;$S$109&amp;"!$o$4"),0),FALSE))</f>
        <v/>
      </c>
      <c r="Z138" s="160" t="str">
        <f ca="1">IF(ISERROR(VLOOKUP($K138,OFFSET(INDIRECT(""&amp;$S$109&amp;"!$A$4"),0,0,200,100),MATCH(Z$110,INDIRECT(""&amp;$S$109&amp;"!$A$4"):INDIRECT(""&amp;$S$109&amp;"!$P$4"),0),FALSE)),"",VLOOKUP($K138,OFFSET(INDIRECT(""&amp;$S$109&amp;"!$A$4"),0,0,200,100),MATCH(Z$110,INDIRECT(""&amp;$S$109&amp;"!$A$4"):INDIRECT(""&amp;$S$109&amp;"!$P$4"),0),FALSE))</f>
        <v/>
      </c>
      <c r="AA138" s="160"/>
      <c r="AC138" s="126"/>
      <c r="AD138" s="126"/>
      <c r="AE138" s="126"/>
      <c r="AF138" s="126"/>
      <c r="AG138" s="126"/>
      <c r="AH138" s="126"/>
      <c r="AI138" s="148"/>
      <c r="AJ138" s="148"/>
      <c r="AK138" s="148"/>
      <c r="AL138" s="148"/>
      <c r="AM138" s="148"/>
      <c r="AN138" s="148"/>
      <c r="AO138" s="126"/>
      <c r="AP138" s="126"/>
      <c r="AQ138" s="126"/>
      <c r="AR138" s="126"/>
      <c r="AS138" s="126"/>
      <c r="AT138" s="72"/>
      <c r="AU138" s="72"/>
      <c r="AV138" s="73"/>
      <c r="AW138" s="73"/>
      <c r="AX138" s="73"/>
      <c r="AY138" s="73"/>
      <c r="AZ138" s="73"/>
      <c r="BA138" s="73"/>
      <c r="BB138" s="73"/>
      <c r="BC138" s="73"/>
      <c r="BD138" s="73"/>
      <c r="BE138" s="73"/>
      <c r="BF138" s="73"/>
    </row>
    <row r="139" spans="1:58" s="128" customFormat="1" ht="15.95" customHeight="1">
      <c r="A139" s="111" t="s">
        <v>329</v>
      </c>
      <c r="B139" s="111" t="s">
        <v>371</v>
      </c>
      <c r="C139" s="74">
        <f ca="1">IF(ISERROR(VLOOKUP($B139,OFFSET(INDIRECT(""&amp;$B$109&amp;"!$A$4"),0,0,200,100),MATCH(C$110,INDIRECT(""&amp;$B$109&amp;"!$A$4"):INDIRECT(""&amp;$B$109&amp;"!$o$4"),0),FALSE)),"",VLOOKUP($B139,OFFSET(INDIRECT(""&amp;$B$109&amp;"!$A$4"),0,0,200,100),MATCH(C$110,INDIRECT(""&amp;$B$109&amp;"!$A$4"):INDIRECT(""&amp;$B$109&amp;"!$o$4"),0),FALSE))</f>
        <v>0</v>
      </c>
      <c r="D139" s="74">
        <f ca="1">IF(ISERROR(VLOOKUP($B139,OFFSET(INDIRECT(""&amp;$B$109&amp;"!$A$4"),0,0,200,100),MATCH(D$110,INDIRECT(""&amp;$B$109&amp;"!$A$4"):INDIRECT(""&amp;$B$109&amp;"!$o$4"),0),FALSE)),"",VLOOKUP($B139,OFFSET(INDIRECT(""&amp;$B$109&amp;"!$A$4"),0,0,200,100),MATCH(D$110,INDIRECT(""&amp;$B$109&amp;"!$A$4"):INDIRECT(""&amp;$B$109&amp;"!$o$4"),0),FALSE))</f>
        <v>55545.198499999999</v>
      </c>
      <c r="E139" s="74">
        <f ca="1">IF(ISERROR(VLOOKUP($B139,OFFSET(INDIRECT(""&amp;$B$109&amp;"!$A$4"),0,0,200,100),MATCH(E$110,INDIRECT(""&amp;$B$109&amp;"!$A$4"):INDIRECT(""&amp;$B$109&amp;"!$o$4"),0),FALSE)),"",VLOOKUP($B139,OFFSET(INDIRECT(""&amp;$B$109&amp;"!$A$4"),0,0,200,100),MATCH(E$110,INDIRECT(""&amp;$B$109&amp;"!$A$4"):INDIRECT(""&amp;$B$109&amp;"!$o$4"),0),FALSE))</f>
        <v>0</v>
      </c>
      <c r="F139" s="74">
        <f ca="1">IF(ISERROR(VLOOKUP($B139,OFFSET(INDIRECT(""&amp;$B$109&amp;"!$A$4"),0,0,200,100),MATCH(F$110,INDIRECT(""&amp;$B$109&amp;"!$A$4"):INDIRECT(""&amp;$B$109&amp;"!$o$4"),0),FALSE)),"",VLOOKUP($B139,OFFSET(INDIRECT(""&amp;$B$109&amp;"!$A$4"),0,0,200,100),MATCH(F$110,INDIRECT(""&amp;$B$109&amp;"!$A$4"):INDIRECT(""&amp;$B$109&amp;"!$o$4"),0),FALSE))</f>
        <v>0</v>
      </c>
      <c r="G139" s="74">
        <f ca="1">IF(ISERROR(VLOOKUP($B139,OFFSET(INDIRECT(""&amp;$B$109&amp;"!$A$4"),0,0,200,100),MATCH(G$110,INDIRECT(""&amp;$B$109&amp;"!$A$4"):INDIRECT(""&amp;$B$109&amp;"!$o$4"),0),FALSE)),"",VLOOKUP($B139,OFFSET(INDIRECT(""&amp;$B$109&amp;"!$A$4"),0,0,200,100),MATCH(G$110,INDIRECT(""&amp;$B$109&amp;"!$A$4"):INDIRECT(""&amp;$B$109&amp;"!$o$4"),0),FALSE))</f>
        <v>0</v>
      </c>
      <c r="H139" s="74">
        <f ca="1">IF(ISERROR(VLOOKUP($B139,OFFSET(INDIRECT(""&amp;$B$109&amp;"!$A$4"),0,0,200,100),MATCH(H$110,INDIRECT(""&amp;$B$109&amp;"!$A$4"):INDIRECT(""&amp;$B$109&amp;"!$o$4"),0),FALSE)),"",VLOOKUP($B139,OFFSET(INDIRECT(""&amp;$B$109&amp;"!$A$4"),0,0,200,100),MATCH(H$110,INDIRECT(""&amp;$B$109&amp;"!$A$4"):INDIRECT(""&amp;$B$109&amp;"!$o$4"),0),FALSE))</f>
        <v>0</v>
      </c>
      <c r="I139" s="74">
        <f ca="1">IF(ISERROR(VLOOKUP($B139,OFFSET(INDIRECT(""&amp;$B$109&amp;"!$A$4"),0,0,200,100),MATCH(I$110,INDIRECT(""&amp;$B$109&amp;"!$A$4"):INDIRECT(""&amp;$B$109&amp;"!$o$4"),0),FALSE)),"",VLOOKUP($B139,OFFSET(INDIRECT(""&amp;$B$109&amp;"!$A$4"),0,0,200,100),MATCH(I$110,INDIRECT(""&amp;$B$109&amp;"!$A$4"):INDIRECT(""&amp;$B$109&amp;"!$o$4"),0),FALSE))</f>
        <v>0</v>
      </c>
      <c r="J139" s="74">
        <f ca="1">IF(ISERROR(VLOOKUP($B139,OFFSET(INDIRECT(""&amp;$B$109&amp;"!$A$4"),0,0,200,100),MATCH(J$110,INDIRECT(""&amp;$B$109&amp;"!$A$4"):INDIRECT(""&amp;$B$109&amp;"!$o$4"),0),FALSE)),"",VLOOKUP($B139,OFFSET(INDIRECT(""&amp;$B$109&amp;"!$A$4"),0,0,200,100),MATCH(J$110,INDIRECT(""&amp;$B$109&amp;"!$A$4"):INDIRECT(""&amp;$B$109&amp;"!$o$4"),0),FALSE))</f>
        <v>0</v>
      </c>
      <c r="K139" s="129" t="s">
        <v>371</v>
      </c>
      <c r="L139" s="190">
        <f ca="1">IF(ISERROR(VLOOKUP($K139,OFFSET(INDIRECT(""&amp;$S$109&amp;"!$A$4"),0,0,200,100),MATCH(L$110,INDIRECT(""&amp;$S$109&amp;"!$A$4"):INDIRECT(""&amp;$S$109&amp;"!$o$4"),0),FALSE)),"",VLOOKUP($K139,OFFSET(INDIRECT(""&amp;$S$109&amp;"!$A$4"),0,0,200,100),MATCH(L$110,INDIRECT(""&amp;$S$109&amp;"!$A$4"):INDIRECT(""&amp;$S$109&amp;"!$o$4"),0),FALSE))</f>
        <v>0</v>
      </c>
      <c r="M139" s="190">
        <f ca="1">IF(ISERROR(VLOOKUP($K139,OFFSET(INDIRECT(""&amp;$S$109&amp;"!$A$4"),0,0,200,100),MATCH(M$110,INDIRECT(""&amp;$S$109&amp;"!$A$4"):INDIRECT(""&amp;$S$109&amp;"!$o$4"),0),FALSE)),"",VLOOKUP($K139,OFFSET(INDIRECT(""&amp;$S$109&amp;"!$A$4"),0,0,200,100),MATCH(M$110,INDIRECT(""&amp;$S$109&amp;"!$A$4"):INDIRECT(""&amp;$S$109&amp;"!$o$4"),0),FALSE))</f>
        <v>0</v>
      </c>
      <c r="N139" s="190">
        <f ca="1">IF(ISERROR(VLOOKUP($K139,OFFSET(INDIRECT(""&amp;$S$109&amp;"!$A$4"),0,0,200,100),MATCH(N$110,INDIRECT(""&amp;$S$109&amp;"!$A$4"):INDIRECT(""&amp;$S$109&amp;"!$o$4"),0),FALSE)),"",VLOOKUP($K139,OFFSET(INDIRECT(""&amp;$S$109&amp;"!$A$4"),0,0,200,100),MATCH(N$110,INDIRECT(""&amp;$S$109&amp;"!$A$4"):INDIRECT(""&amp;$S$109&amp;"!$o$4"),0),FALSE))</f>
        <v>0</v>
      </c>
      <c r="O139" s="190">
        <f ca="1">IF(ISERROR(VLOOKUP($K139,OFFSET(INDIRECT(""&amp;$S$109&amp;"!$A$4"),0,0,200,100),MATCH(O$110,INDIRECT(""&amp;$S$109&amp;"!$A$4"):INDIRECT(""&amp;$S$109&amp;"!$o$4"),0),FALSE)),"",VLOOKUP($K139,OFFSET(INDIRECT(""&amp;$S$109&amp;"!$A$4"),0,0,200,100),MATCH(O$110,INDIRECT(""&amp;$S$109&amp;"!$A$4"):INDIRECT(""&amp;$S$109&amp;"!$o$4"),0),FALSE))</f>
        <v>0</v>
      </c>
      <c r="P139" s="190">
        <f ca="1">IF(ISERROR(VLOOKUP($K139,OFFSET(INDIRECT(""&amp;$S$109&amp;"!$A$4"),0,0,200,100),MATCH(P$110,INDIRECT(""&amp;$S$109&amp;"!$A$4"):INDIRECT(""&amp;$S$109&amp;"!$o$4"),0),FALSE)),"",VLOOKUP($K139,OFFSET(INDIRECT(""&amp;$S$109&amp;"!$A$4"),0,0,200,100),MATCH(P$110,INDIRECT(""&amp;$S$109&amp;"!$A$4"):INDIRECT(""&amp;$S$109&amp;"!$o$4"),0),FALSE))</f>
        <v>0</v>
      </c>
      <c r="Q139" s="190">
        <f ca="1">IF(ISERROR(VLOOKUP($K139,OFFSET(INDIRECT(""&amp;$S$109&amp;"!$A$4"),0,0,200,100),MATCH(Q$110,INDIRECT(""&amp;$S$109&amp;"!$A$4"):INDIRECT(""&amp;$S$109&amp;"!$o$4"),0),FALSE)),"",VLOOKUP($K139,OFFSET(INDIRECT(""&amp;$S$109&amp;"!$A$4"),0,0,200,100),MATCH(Q$110,INDIRECT(""&amp;$S$109&amp;"!$A$4"):INDIRECT(""&amp;$S$109&amp;"!$o$4"),0),FALSE))</f>
        <v>0</v>
      </c>
      <c r="R139" s="190">
        <f ca="1">IF(ISERROR(VLOOKUP($K139,OFFSET(INDIRECT(""&amp;$S$109&amp;"!$A$4"),0,0,200,100),MATCH(R$110,INDIRECT(""&amp;$S$109&amp;"!$A$4"):INDIRECT(""&amp;$S$109&amp;"!$o$4"),0),FALSE)),"",VLOOKUP($K139,OFFSET(INDIRECT(""&amp;$S$109&amp;"!$A$4"),0,0,200,100),MATCH(R$110,INDIRECT(""&amp;$S$109&amp;"!$A$4"):INDIRECT(""&amp;$S$109&amp;"!$o$4"),0),FALSE))</f>
        <v>0</v>
      </c>
      <c r="S139" s="190">
        <f ca="1">IF(ISERROR(VLOOKUP($K139,OFFSET(INDIRECT(""&amp;$S$109&amp;"!$A$4"),0,0,200,100),MATCH(S$110,INDIRECT(""&amp;$S$109&amp;"!$A$4"):INDIRECT(""&amp;$S$109&amp;"!$o$4"),0),FALSE)),"",VLOOKUP($K139,OFFSET(INDIRECT(""&amp;$S$109&amp;"!$A$4"),0,0,200,100),MATCH(S$110,INDIRECT(""&amp;$S$109&amp;"!$A$4"):INDIRECT(""&amp;$S$109&amp;"!$o$4"),0),FALSE))</f>
        <v>0</v>
      </c>
      <c r="T139" s="190">
        <f ca="1">IF(ISERROR(VLOOKUP($K139,OFFSET(INDIRECT(""&amp;$S$109&amp;"!$A$4"),0,0,200,100),MATCH(T$110,INDIRECT(""&amp;$S$109&amp;"!$A$4"):INDIRECT(""&amp;$S$109&amp;"!$o$4"),0),FALSE)),"",VLOOKUP($K139,OFFSET(INDIRECT(""&amp;$S$109&amp;"!$A$4"),0,0,200,100),MATCH(T$110,INDIRECT(""&amp;$S$109&amp;"!$A$4"):INDIRECT(""&amp;$S$109&amp;"!$o$4"),0),FALSE))</f>
        <v>0</v>
      </c>
      <c r="U139" s="190">
        <f ca="1">IF(ISERROR(VLOOKUP($K139,OFFSET(INDIRECT(""&amp;$S$109&amp;"!$A$4"),0,0,200,100),MATCH(U$110,INDIRECT(""&amp;$S$109&amp;"!$A$4"):INDIRECT(""&amp;$S$109&amp;"!$o$4"),0),FALSE)),"",VLOOKUP($K139,OFFSET(INDIRECT(""&amp;$S$109&amp;"!$A$4"),0,0,200,100),MATCH(U$110,INDIRECT(""&amp;$S$109&amp;"!$A$4"):INDIRECT(""&amp;$S$109&amp;"!$o$4"),0),FALSE))</f>
        <v>0</v>
      </c>
      <c r="V139" s="190">
        <f ca="1">IF(ISERROR(VLOOKUP($K139,OFFSET(INDIRECT(""&amp;$S$109&amp;"!$A$4"),0,0,200,100),MATCH(V$110,INDIRECT(""&amp;$S$109&amp;"!$A$4"):INDIRECT(""&amp;$S$109&amp;"!$o$4"),0),FALSE)),"",VLOOKUP($K139,OFFSET(INDIRECT(""&amp;$S$109&amp;"!$A$4"),0,0,200,100),MATCH(V$110,INDIRECT(""&amp;$S$109&amp;"!$A$4"):INDIRECT(""&amp;$S$109&amp;"!$o$4"),0),FALSE))</f>
        <v>0</v>
      </c>
      <c r="W139" s="190">
        <f ca="1">IF(ISERROR(VLOOKUP($K139,OFFSET(INDIRECT(""&amp;$S$109&amp;"!$A$4"),0,0,200,100),MATCH(W$110,INDIRECT(""&amp;$S$109&amp;"!$A$4"):INDIRECT(""&amp;$S$109&amp;"!$o$4"),0),FALSE)),"",VLOOKUP($K139,OFFSET(INDIRECT(""&amp;$S$109&amp;"!$A$4"),0,0,200,100),MATCH(W$110,INDIRECT(""&amp;$S$109&amp;"!$A$4"):INDIRECT(""&amp;$S$109&amp;"!$o$4"),0),FALSE))</f>
        <v>0</v>
      </c>
      <c r="X139" s="190">
        <f ca="1">IF(ISERROR(VLOOKUP($K139,OFFSET(INDIRECT(""&amp;$S$109&amp;"!$A$4"),0,0,200,100),MATCH(X$110,INDIRECT(""&amp;$S$109&amp;"!$A$4"):INDIRECT(""&amp;$S$109&amp;"!$o$4"),0),FALSE)),"",VLOOKUP($K139,OFFSET(INDIRECT(""&amp;$S$109&amp;"!$A$4"),0,0,200,100),MATCH(X$110,INDIRECT(""&amp;$S$109&amp;"!$A$4"):INDIRECT(""&amp;$S$109&amp;"!$o$4"),0),FALSE))</f>
        <v>0</v>
      </c>
      <c r="Y139" s="190">
        <f ca="1">IF(ISERROR(VLOOKUP($K139,OFFSET(INDIRECT(""&amp;$S$109&amp;"!$A$4"),0,0,200,100),MATCH(Y$110,INDIRECT(""&amp;$S$109&amp;"!$A$4"):INDIRECT(""&amp;$S$109&amp;"!$o$4"),0),FALSE)),"",VLOOKUP($K139,OFFSET(INDIRECT(""&amp;$S$109&amp;"!$A$4"),0,0,200,100),MATCH(Y$110,INDIRECT(""&amp;$S$109&amp;"!$A$4"):INDIRECT(""&amp;$S$109&amp;"!$o$4"),0),FALSE))</f>
        <v>0</v>
      </c>
      <c r="Z139" s="160">
        <f ca="1">IF(ISERROR(VLOOKUP($K139,OFFSET(INDIRECT(""&amp;$S$109&amp;"!$A$4"),0,0,200,100),MATCH(Z$110,INDIRECT(""&amp;$S$109&amp;"!$A$4"):INDIRECT(""&amp;$S$109&amp;"!$P$4"),0),FALSE)),"",VLOOKUP($K139,OFFSET(INDIRECT(""&amp;$S$109&amp;"!$A$4"),0,0,200,100),MATCH(Z$110,INDIRECT(""&amp;$S$109&amp;"!$A$4"):INDIRECT(""&amp;$S$109&amp;"!$P$4"),0),FALSE))</f>
        <v>0</v>
      </c>
      <c r="AA139" s="190"/>
      <c r="AC139" s="126"/>
      <c r="AD139" s="126"/>
      <c r="AE139" s="126"/>
      <c r="AF139" s="126"/>
      <c r="AG139" s="126"/>
      <c r="AH139" s="126"/>
      <c r="AI139" s="148"/>
      <c r="AJ139" s="148"/>
      <c r="AK139" s="148"/>
      <c r="AL139" s="148"/>
      <c r="AM139" s="148"/>
      <c r="AN139" s="148"/>
      <c r="AO139" s="126"/>
      <c r="AP139" s="126"/>
      <c r="AQ139" s="126"/>
      <c r="AR139" s="126"/>
      <c r="AS139" s="126"/>
      <c r="AT139" s="72"/>
      <c r="AU139" s="72"/>
      <c r="AV139" s="73"/>
      <c r="AW139" s="73"/>
      <c r="AX139" s="73"/>
      <c r="AY139" s="73"/>
      <c r="AZ139" s="73"/>
      <c r="BA139" s="73"/>
      <c r="BB139" s="73"/>
      <c r="BC139" s="73"/>
      <c r="BD139" s="73"/>
      <c r="BE139" s="73"/>
      <c r="BF139" s="73"/>
    </row>
    <row r="140" spans="1:58" s="128" customFormat="1" ht="15.95" customHeight="1">
      <c r="A140" s="111" t="s">
        <v>330</v>
      </c>
      <c r="B140" s="111" t="s">
        <v>372</v>
      </c>
      <c r="C140" s="74">
        <f ca="1">IF(ISERROR(VLOOKUP($B140,OFFSET(INDIRECT(""&amp;$B$109&amp;"!$A$4"),0,0,200,100),MATCH(C$110,INDIRECT(""&amp;$B$109&amp;"!$A$4"):INDIRECT(""&amp;$B$109&amp;"!$o$4"),0),FALSE)),"",VLOOKUP($B140,OFFSET(INDIRECT(""&amp;$B$109&amp;"!$A$4"),0,0,200,100),MATCH(C$110,INDIRECT(""&amp;$B$109&amp;"!$A$4"):INDIRECT(""&amp;$B$109&amp;"!$o$4"),0),FALSE))</f>
        <v>0</v>
      </c>
      <c r="D140" s="74">
        <f ca="1">IF(ISERROR(VLOOKUP($B140,OFFSET(INDIRECT(""&amp;$B$109&amp;"!$A$4"),0,0,200,100),MATCH(D$110,INDIRECT(""&amp;$B$109&amp;"!$A$4"):INDIRECT(""&amp;$B$109&amp;"!$o$4"),0),FALSE)),"",VLOOKUP($B140,OFFSET(INDIRECT(""&amp;$B$109&amp;"!$A$4"),0,0,200,100),MATCH(D$110,INDIRECT(""&amp;$B$109&amp;"!$A$4"):INDIRECT(""&amp;$B$109&amp;"!$o$4"),0),FALSE))</f>
        <v>-1298.22</v>
      </c>
      <c r="E140" s="74">
        <f ca="1">IF(ISERROR(VLOOKUP($B140,OFFSET(INDIRECT(""&amp;$B$109&amp;"!$A$4"),0,0,200,100),MATCH(E$110,INDIRECT(""&amp;$B$109&amp;"!$A$4"):INDIRECT(""&amp;$B$109&amp;"!$o$4"),0),FALSE)),"",VLOOKUP($B140,OFFSET(INDIRECT(""&amp;$B$109&amp;"!$A$4"),0,0,200,100),MATCH(E$110,INDIRECT(""&amp;$B$109&amp;"!$A$4"):INDIRECT(""&amp;$B$109&amp;"!$o$4"),0),FALSE))</f>
        <v>0</v>
      </c>
      <c r="F140" s="74">
        <f ca="1">IF(ISERROR(VLOOKUP($B140,OFFSET(INDIRECT(""&amp;$B$109&amp;"!$A$4"),0,0,200,100),MATCH(F$110,INDIRECT(""&amp;$B$109&amp;"!$A$4"):INDIRECT(""&amp;$B$109&amp;"!$o$4"),0),FALSE)),"",VLOOKUP($B140,OFFSET(INDIRECT(""&amp;$B$109&amp;"!$A$4"),0,0,200,100),MATCH(F$110,INDIRECT(""&amp;$B$109&amp;"!$A$4"):INDIRECT(""&amp;$B$109&amp;"!$o$4"),0),FALSE))</f>
        <v>0</v>
      </c>
      <c r="G140" s="74">
        <f ca="1">IF(ISERROR(VLOOKUP($B140,OFFSET(INDIRECT(""&amp;$B$109&amp;"!$A$4"),0,0,200,100),MATCH(G$110,INDIRECT(""&amp;$B$109&amp;"!$A$4"):INDIRECT(""&amp;$B$109&amp;"!$o$4"),0),FALSE)),"",VLOOKUP($B140,OFFSET(INDIRECT(""&amp;$B$109&amp;"!$A$4"),0,0,200,100),MATCH(G$110,INDIRECT(""&amp;$B$109&amp;"!$A$4"):INDIRECT(""&amp;$B$109&amp;"!$o$4"),0),FALSE))</f>
        <v>0</v>
      </c>
      <c r="H140" s="74">
        <f ca="1">IF(ISERROR(VLOOKUP($B140,OFFSET(INDIRECT(""&amp;$B$109&amp;"!$A$4"),0,0,200,100),MATCH(H$110,INDIRECT(""&amp;$B$109&amp;"!$A$4"):INDIRECT(""&amp;$B$109&amp;"!$o$4"),0),FALSE)),"",VLOOKUP($B140,OFFSET(INDIRECT(""&amp;$B$109&amp;"!$A$4"),0,0,200,100),MATCH(H$110,INDIRECT(""&amp;$B$109&amp;"!$A$4"):INDIRECT(""&amp;$B$109&amp;"!$o$4"),0),FALSE))</f>
        <v>0</v>
      </c>
      <c r="I140" s="74">
        <f ca="1">IF(ISERROR(VLOOKUP($B140,OFFSET(INDIRECT(""&amp;$B$109&amp;"!$A$4"),0,0,200,100),MATCH(I$110,INDIRECT(""&amp;$B$109&amp;"!$A$4"):INDIRECT(""&amp;$B$109&amp;"!$o$4"),0),FALSE)),"",VLOOKUP($B140,OFFSET(INDIRECT(""&amp;$B$109&amp;"!$A$4"),0,0,200,100),MATCH(I$110,INDIRECT(""&amp;$B$109&amp;"!$A$4"):INDIRECT(""&amp;$B$109&amp;"!$o$4"),0),FALSE))</f>
        <v>0</v>
      </c>
      <c r="J140" s="74">
        <f ca="1">IF(ISERROR(VLOOKUP($B140,OFFSET(INDIRECT(""&amp;$B$109&amp;"!$A$4"),0,0,200,100),MATCH(J$110,INDIRECT(""&amp;$B$109&amp;"!$A$4"):INDIRECT(""&amp;$B$109&amp;"!$o$4"),0),FALSE)),"",VLOOKUP($B140,OFFSET(INDIRECT(""&amp;$B$109&amp;"!$A$4"),0,0,200,100),MATCH(J$110,INDIRECT(""&amp;$B$109&amp;"!$A$4"):INDIRECT(""&amp;$B$109&amp;"!$o$4"),0),FALSE))</f>
        <v>0</v>
      </c>
      <c r="K140" s="129" t="s">
        <v>372</v>
      </c>
      <c r="L140" s="190">
        <f ca="1">IF(ISERROR(VLOOKUP($K140,OFFSET(INDIRECT(""&amp;$S$109&amp;"!$A$4"),0,0,200,100),MATCH(L$110,INDIRECT(""&amp;$S$109&amp;"!$A$4"):INDIRECT(""&amp;$S$109&amp;"!$o$4"),0),FALSE)),"",VLOOKUP($K140,OFFSET(INDIRECT(""&amp;$S$109&amp;"!$A$4"),0,0,200,100),MATCH(L$110,INDIRECT(""&amp;$S$109&amp;"!$A$4"):INDIRECT(""&amp;$S$109&amp;"!$o$4"),0),FALSE))</f>
        <v>0</v>
      </c>
      <c r="M140" s="190">
        <f ca="1">IF(ISERROR(VLOOKUP($K140,OFFSET(INDIRECT(""&amp;$S$109&amp;"!$A$4"),0,0,200,100),MATCH(M$110,INDIRECT(""&amp;$S$109&amp;"!$A$4"):INDIRECT(""&amp;$S$109&amp;"!$o$4"),0),FALSE)),"",VLOOKUP($K140,OFFSET(INDIRECT(""&amp;$S$109&amp;"!$A$4"),0,0,200,100),MATCH(M$110,INDIRECT(""&amp;$S$109&amp;"!$A$4"):INDIRECT(""&amp;$S$109&amp;"!$o$4"),0),FALSE))</f>
        <v>0</v>
      </c>
      <c r="N140" s="190">
        <f ca="1">IF(ISERROR(VLOOKUP($K140,OFFSET(INDIRECT(""&amp;$S$109&amp;"!$A$4"),0,0,200,100),MATCH(N$110,INDIRECT(""&amp;$S$109&amp;"!$A$4"):INDIRECT(""&amp;$S$109&amp;"!$o$4"),0),FALSE)),"",VLOOKUP($K140,OFFSET(INDIRECT(""&amp;$S$109&amp;"!$A$4"),0,0,200,100),MATCH(N$110,INDIRECT(""&amp;$S$109&amp;"!$A$4"):INDIRECT(""&amp;$S$109&amp;"!$o$4"),0),FALSE))</f>
        <v>0</v>
      </c>
      <c r="O140" s="190">
        <f ca="1">IF(ISERROR(VLOOKUP($K140,OFFSET(INDIRECT(""&amp;$S$109&amp;"!$A$4"),0,0,200,100),MATCH(O$110,INDIRECT(""&amp;$S$109&amp;"!$A$4"):INDIRECT(""&amp;$S$109&amp;"!$o$4"),0),FALSE)),"",VLOOKUP($K140,OFFSET(INDIRECT(""&amp;$S$109&amp;"!$A$4"),0,0,200,100),MATCH(O$110,INDIRECT(""&amp;$S$109&amp;"!$A$4"):INDIRECT(""&amp;$S$109&amp;"!$o$4"),0),FALSE))</f>
        <v>0</v>
      </c>
      <c r="P140" s="190">
        <f ca="1">IF(ISERROR(VLOOKUP($K140,OFFSET(INDIRECT(""&amp;$S$109&amp;"!$A$4"),0,0,200,100),MATCH(P$110,INDIRECT(""&amp;$S$109&amp;"!$A$4"):INDIRECT(""&amp;$S$109&amp;"!$o$4"),0),FALSE)),"",VLOOKUP($K140,OFFSET(INDIRECT(""&amp;$S$109&amp;"!$A$4"),0,0,200,100),MATCH(P$110,INDIRECT(""&amp;$S$109&amp;"!$A$4"):INDIRECT(""&amp;$S$109&amp;"!$o$4"),0),FALSE))</f>
        <v>0</v>
      </c>
      <c r="Q140" s="190">
        <f ca="1">IF(ISERROR(VLOOKUP($K140,OFFSET(INDIRECT(""&amp;$S$109&amp;"!$A$4"),0,0,200,100),MATCH(Q$110,INDIRECT(""&amp;$S$109&amp;"!$A$4"):INDIRECT(""&amp;$S$109&amp;"!$o$4"),0),FALSE)),"",VLOOKUP($K140,OFFSET(INDIRECT(""&amp;$S$109&amp;"!$A$4"),0,0,200,100),MATCH(Q$110,INDIRECT(""&amp;$S$109&amp;"!$A$4"):INDIRECT(""&amp;$S$109&amp;"!$o$4"),0),FALSE))</f>
        <v>0</v>
      </c>
      <c r="R140" s="190">
        <f ca="1">IF(ISERROR(VLOOKUP($K140,OFFSET(INDIRECT(""&amp;$S$109&amp;"!$A$4"),0,0,200,100),MATCH(R$110,INDIRECT(""&amp;$S$109&amp;"!$A$4"):INDIRECT(""&amp;$S$109&amp;"!$o$4"),0),FALSE)),"",VLOOKUP($K140,OFFSET(INDIRECT(""&amp;$S$109&amp;"!$A$4"),0,0,200,100),MATCH(R$110,INDIRECT(""&amp;$S$109&amp;"!$A$4"):INDIRECT(""&amp;$S$109&amp;"!$o$4"),0),FALSE))</f>
        <v>0</v>
      </c>
      <c r="S140" s="190">
        <f ca="1">IF(ISERROR(VLOOKUP($K140,OFFSET(INDIRECT(""&amp;$S$109&amp;"!$A$4"),0,0,200,100),MATCH(S$110,INDIRECT(""&amp;$S$109&amp;"!$A$4"):INDIRECT(""&amp;$S$109&amp;"!$o$4"),0),FALSE)),"",VLOOKUP($K140,OFFSET(INDIRECT(""&amp;$S$109&amp;"!$A$4"),0,0,200,100),MATCH(S$110,INDIRECT(""&amp;$S$109&amp;"!$A$4"):INDIRECT(""&amp;$S$109&amp;"!$o$4"),0),FALSE))</f>
        <v>0</v>
      </c>
      <c r="T140" s="190">
        <f ca="1">IF(ISERROR(VLOOKUP($K140,OFFSET(INDIRECT(""&amp;$S$109&amp;"!$A$4"),0,0,200,100),MATCH(T$110,INDIRECT(""&amp;$S$109&amp;"!$A$4"):INDIRECT(""&amp;$S$109&amp;"!$o$4"),0),FALSE)),"",VLOOKUP($K140,OFFSET(INDIRECT(""&amp;$S$109&amp;"!$A$4"),0,0,200,100),MATCH(T$110,INDIRECT(""&amp;$S$109&amp;"!$A$4"):INDIRECT(""&amp;$S$109&amp;"!$o$4"),0),FALSE))</f>
        <v>0</v>
      </c>
      <c r="U140" s="190">
        <f ca="1">IF(ISERROR(VLOOKUP($K140,OFFSET(INDIRECT(""&amp;$S$109&amp;"!$A$4"),0,0,200,100),MATCH(U$110,INDIRECT(""&amp;$S$109&amp;"!$A$4"):INDIRECT(""&amp;$S$109&amp;"!$o$4"),0),FALSE)),"",VLOOKUP($K140,OFFSET(INDIRECT(""&amp;$S$109&amp;"!$A$4"),0,0,200,100),MATCH(U$110,INDIRECT(""&amp;$S$109&amp;"!$A$4"):INDIRECT(""&amp;$S$109&amp;"!$o$4"),0),FALSE))</f>
        <v>0</v>
      </c>
      <c r="V140" s="190">
        <f ca="1">IF(ISERROR(VLOOKUP($K140,OFFSET(INDIRECT(""&amp;$S$109&amp;"!$A$4"),0,0,200,100),MATCH(V$110,INDIRECT(""&amp;$S$109&amp;"!$A$4"):INDIRECT(""&amp;$S$109&amp;"!$o$4"),0),FALSE)),"",VLOOKUP($K140,OFFSET(INDIRECT(""&amp;$S$109&amp;"!$A$4"),0,0,200,100),MATCH(V$110,INDIRECT(""&amp;$S$109&amp;"!$A$4"):INDIRECT(""&amp;$S$109&amp;"!$o$4"),0),FALSE))</f>
        <v>0</v>
      </c>
      <c r="W140" s="190">
        <f ca="1">IF(ISERROR(VLOOKUP($K140,OFFSET(INDIRECT(""&amp;$S$109&amp;"!$A$4"),0,0,200,100),MATCH(W$110,INDIRECT(""&amp;$S$109&amp;"!$A$4"):INDIRECT(""&amp;$S$109&amp;"!$o$4"),0),FALSE)),"",VLOOKUP($K140,OFFSET(INDIRECT(""&amp;$S$109&amp;"!$A$4"),0,0,200,100),MATCH(W$110,INDIRECT(""&amp;$S$109&amp;"!$A$4"):INDIRECT(""&amp;$S$109&amp;"!$o$4"),0),FALSE))</f>
        <v>0</v>
      </c>
      <c r="X140" s="190">
        <f ca="1">IF(ISERROR(VLOOKUP($K140,OFFSET(INDIRECT(""&amp;$S$109&amp;"!$A$4"),0,0,200,100),MATCH(X$110,INDIRECT(""&amp;$S$109&amp;"!$A$4"):INDIRECT(""&amp;$S$109&amp;"!$o$4"),0),FALSE)),"",VLOOKUP($K140,OFFSET(INDIRECT(""&amp;$S$109&amp;"!$A$4"),0,0,200,100),MATCH(X$110,INDIRECT(""&amp;$S$109&amp;"!$A$4"):INDIRECT(""&amp;$S$109&amp;"!$o$4"),0),FALSE))</f>
        <v>0</v>
      </c>
      <c r="Y140" s="190">
        <f ca="1">IF(ISERROR(VLOOKUP($K140,OFFSET(INDIRECT(""&amp;$S$109&amp;"!$A$4"),0,0,200,100),MATCH(Y$110,INDIRECT(""&amp;$S$109&amp;"!$A$4"):INDIRECT(""&amp;$S$109&amp;"!$o$4"),0),FALSE)),"",VLOOKUP($K140,OFFSET(INDIRECT(""&amp;$S$109&amp;"!$A$4"),0,0,200,100),MATCH(Y$110,INDIRECT(""&amp;$S$109&amp;"!$A$4"):INDIRECT(""&amp;$S$109&amp;"!$o$4"),0),FALSE))</f>
        <v>0</v>
      </c>
      <c r="Z140" s="160">
        <f ca="1">IF(ISERROR(VLOOKUP($K140,OFFSET(INDIRECT(""&amp;$S$109&amp;"!$A$4"),0,0,200,100),MATCH(Z$110,INDIRECT(""&amp;$S$109&amp;"!$A$4"):INDIRECT(""&amp;$S$109&amp;"!$P$4"),0),FALSE)),"",VLOOKUP($K140,OFFSET(INDIRECT(""&amp;$S$109&amp;"!$A$4"),0,0,200,100),MATCH(Z$110,INDIRECT(""&amp;$S$109&amp;"!$A$4"):INDIRECT(""&amp;$S$109&amp;"!$P$4"),0),FALSE))</f>
        <v>0</v>
      </c>
      <c r="AA140" s="190"/>
      <c r="AC140" s="126"/>
      <c r="AD140" s="126"/>
      <c r="AE140" s="126"/>
      <c r="AF140" s="126"/>
      <c r="AG140" s="126"/>
      <c r="AH140" s="126"/>
      <c r="AI140" s="148"/>
      <c r="AJ140" s="148"/>
      <c r="AK140" s="148"/>
      <c r="AL140" s="148"/>
      <c r="AM140" s="148"/>
      <c r="AN140" s="148"/>
      <c r="AO140" s="126"/>
      <c r="AP140" s="126"/>
      <c r="AQ140" s="126"/>
      <c r="AR140" s="126"/>
      <c r="AS140" s="126"/>
      <c r="AT140" s="72"/>
      <c r="AU140" s="72"/>
      <c r="AV140" s="73"/>
      <c r="AW140" s="73"/>
      <c r="AX140" s="73"/>
      <c r="AY140" s="73"/>
      <c r="AZ140" s="73"/>
      <c r="BA140" s="73"/>
      <c r="BB140" s="73"/>
      <c r="BC140" s="73"/>
      <c r="BD140" s="73"/>
      <c r="BE140" s="73"/>
      <c r="BF140" s="73"/>
    </row>
    <row r="141" spans="1:58" s="128" customFormat="1" ht="15.95" customHeight="1">
      <c r="A141" s="111" t="s">
        <v>331</v>
      </c>
      <c r="B141" s="111" t="s">
        <v>373</v>
      </c>
      <c r="C141" s="74">
        <f ca="1">IF(ISERROR(VLOOKUP($B141,OFFSET(INDIRECT(""&amp;$B$109&amp;"!$A$4"),0,0,200,100),MATCH(C$110,INDIRECT(""&amp;$B$109&amp;"!$A$4"):INDIRECT(""&amp;$B$109&amp;"!$o$4"),0),FALSE)),"",VLOOKUP($B141,OFFSET(INDIRECT(""&amp;$B$109&amp;"!$A$4"),0,0,200,100),MATCH(C$110,INDIRECT(""&amp;$B$109&amp;"!$A$4"):INDIRECT(""&amp;$B$109&amp;"!$o$4"),0),FALSE))</f>
        <v>44760</v>
      </c>
      <c r="D141" s="74">
        <f ca="1">IF(ISERROR(VLOOKUP($B141,OFFSET(INDIRECT(""&amp;$B$109&amp;"!$A$4"),0,0,200,100),MATCH(D$110,INDIRECT(""&amp;$B$109&amp;"!$A$4"):INDIRECT(""&amp;$B$109&amp;"!$o$4"),0),FALSE)),"",VLOOKUP($B141,OFFSET(INDIRECT(""&amp;$B$109&amp;"!$A$4"),0,0,200,100),MATCH(D$110,INDIRECT(""&amp;$B$109&amp;"!$A$4"):INDIRECT(""&amp;$B$109&amp;"!$o$4"),0),FALSE))</f>
        <v>11147.272498</v>
      </c>
      <c r="E141" s="74">
        <f ca="1">IF(ISERROR(VLOOKUP($B141,OFFSET(INDIRECT(""&amp;$B$109&amp;"!$A$4"),0,0,200,100),MATCH(E$110,INDIRECT(""&amp;$B$109&amp;"!$A$4"):INDIRECT(""&amp;$B$109&amp;"!$o$4"),0),FALSE)),"",VLOOKUP($B141,OFFSET(INDIRECT(""&amp;$B$109&amp;"!$A$4"),0,0,200,100),MATCH(E$110,INDIRECT(""&amp;$B$109&amp;"!$A$4"):INDIRECT(""&amp;$B$109&amp;"!$o$4"),0),FALSE))</f>
        <v>25207.940320000002</v>
      </c>
      <c r="F141" s="74">
        <f ca="1">IF(ISERROR(VLOOKUP($B141,OFFSET(INDIRECT(""&amp;$B$109&amp;"!$A$4"),0,0,200,100),MATCH(F$110,INDIRECT(""&amp;$B$109&amp;"!$A$4"):INDIRECT(""&amp;$B$109&amp;"!$o$4"),0),FALSE)),"",VLOOKUP($B141,OFFSET(INDIRECT(""&amp;$B$109&amp;"!$A$4"),0,0,200,100),MATCH(F$110,INDIRECT(""&amp;$B$109&amp;"!$A$4"):INDIRECT(""&amp;$B$109&amp;"!$o$4"),0),FALSE))</f>
        <v>38300</v>
      </c>
      <c r="G141" s="74">
        <f ca="1">IF(ISERROR(VLOOKUP($B141,OFFSET(INDIRECT(""&amp;$B$109&amp;"!$A$4"),0,0,200,100),MATCH(G$110,INDIRECT(""&amp;$B$109&amp;"!$A$4"):INDIRECT(""&amp;$B$109&amp;"!$o$4"),0),FALSE)),"",VLOOKUP($B141,OFFSET(INDIRECT(""&amp;$B$109&amp;"!$A$4"),0,0,200,100),MATCH(G$110,INDIRECT(""&amp;$B$109&amp;"!$A$4"):INDIRECT(""&amp;$B$109&amp;"!$o$4"),0),FALSE))</f>
        <v>83342.949550999998</v>
      </c>
      <c r="H141" s="74">
        <f ca="1">IF(ISERROR(VLOOKUP($B141,OFFSET(INDIRECT(""&amp;$B$109&amp;"!$A$4"),0,0,200,100),MATCH(H$110,INDIRECT(""&amp;$B$109&amp;"!$A$4"):INDIRECT(""&amp;$B$109&amp;"!$o$4"),0),FALSE)),"",VLOOKUP($B141,OFFSET(INDIRECT(""&amp;$B$109&amp;"!$A$4"),0,0,200,100),MATCH(H$110,INDIRECT(""&amp;$B$109&amp;"!$A$4"):INDIRECT(""&amp;$B$109&amp;"!$o$4"),0),FALSE))</f>
        <v>101240.611149</v>
      </c>
      <c r="I141" s="74">
        <f ca="1">IF(ISERROR(VLOOKUP($B141,OFFSET(INDIRECT(""&amp;$B$109&amp;"!$A$4"),0,0,200,100),MATCH(I$110,INDIRECT(""&amp;$B$109&amp;"!$A$4"):INDIRECT(""&amp;$B$109&amp;"!$o$4"),0),FALSE)),"",VLOOKUP($B141,OFFSET(INDIRECT(""&amp;$B$109&amp;"!$A$4"),0,0,200,100),MATCH(I$110,INDIRECT(""&amp;$B$109&amp;"!$A$4"):INDIRECT(""&amp;$B$109&amp;"!$o$4"),0),FALSE))</f>
        <v>77597.760108999995</v>
      </c>
      <c r="J141" s="74">
        <f ca="1">IF(ISERROR(VLOOKUP($B141,OFFSET(INDIRECT(""&amp;$B$109&amp;"!$A$4"),0,0,200,100),MATCH(J$110,INDIRECT(""&amp;$B$109&amp;"!$A$4"):INDIRECT(""&amp;$B$109&amp;"!$o$4"),0),FALSE)),"",VLOOKUP($B141,OFFSET(INDIRECT(""&amp;$B$109&amp;"!$A$4"),0,0,200,100),MATCH(J$110,INDIRECT(""&amp;$B$109&amp;"!$A$4"):INDIRECT(""&amp;$B$109&amp;"!$o$4"),0),FALSE))</f>
        <v>77597.760108999995</v>
      </c>
      <c r="K141" s="129" t="s">
        <v>373</v>
      </c>
      <c r="L141" s="190">
        <f ca="1">IF(ISERROR(VLOOKUP($K141,OFFSET(INDIRECT(""&amp;$S$109&amp;"!$A$4"),0,0,200,100),MATCH(L$110,INDIRECT(""&amp;$S$109&amp;"!$A$4"):INDIRECT(""&amp;$S$109&amp;"!$o$4"),0),FALSE)),"",VLOOKUP($K141,OFFSET(INDIRECT(""&amp;$S$109&amp;"!$A$4"),0,0,200,100),MATCH(L$110,INDIRECT(""&amp;$S$109&amp;"!$A$4"):INDIRECT(""&amp;$S$109&amp;"!$o$4"),0),FALSE))</f>
        <v>0</v>
      </c>
      <c r="M141" s="190">
        <f ca="1">IF(ISERROR(VLOOKUP($K141,OFFSET(INDIRECT(""&amp;$S$109&amp;"!$A$4"),0,0,200,100),MATCH(M$110,INDIRECT(""&amp;$S$109&amp;"!$A$4"):INDIRECT(""&amp;$S$109&amp;"!$o$4"),0),FALSE)),"",VLOOKUP($K141,OFFSET(INDIRECT(""&amp;$S$109&amp;"!$A$4"),0,0,200,100),MATCH(M$110,INDIRECT(""&amp;$S$109&amp;"!$A$4"):INDIRECT(""&amp;$S$109&amp;"!$o$4"),0),FALSE))</f>
        <v>8300</v>
      </c>
      <c r="N141" s="190">
        <f ca="1">IF(ISERROR(VLOOKUP($K141,OFFSET(INDIRECT(""&amp;$S$109&amp;"!$A$4"),0,0,200,100),MATCH(N$110,INDIRECT(""&amp;$S$109&amp;"!$A$4"):INDIRECT(""&amp;$S$109&amp;"!$o$4"),0),FALSE)),"",VLOOKUP($K141,OFFSET(INDIRECT(""&amp;$S$109&amp;"!$A$4"),0,0,200,100),MATCH(N$110,INDIRECT(""&amp;$S$109&amp;"!$A$4"):INDIRECT(""&amp;$S$109&amp;"!$o$4"),0),FALSE))</f>
        <v>28300</v>
      </c>
      <c r="O141" s="190">
        <f ca="1">IF(ISERROR(VLOOKUP($K141,OFFSET(INDIRECT(""&amp;$S$109&amp;"!$A$4"),0,0,200,100),MATCH(O$110,INDIRECT(""&amp;$S$109&amp;"!$A$4"):INDIRECT(""&amp;$S$109&amp;"!$o$4"),0),FALSE)),"",VLOOKUP($K141,OFFSET(INDIRECT(""&amp;$S$109&amp;"!$A$4"),0,0,200,100),MATCH(O$110,INDIRECT(""&amp;$S$109&amp;"!$A$4"):INDIRECT(""&amp;$S$109&amp;"!$o$4"),0),FALSE))</f>
        <v>10000</v>
      </c>
      <c r="P141" s="190">
        <f ca="1">IF(ISERROR(VLOOKUP($K141,OFFSET(INDIRECT(""&amp;$S$109&amp;"!$A$4"),0,0,200,100),MATCH(P$110,INDIRECT(""&amp;$S$109&amp;"!$A$4"):INDIRECT(""&amp;$S$109&amp;"!$o$4"),0),FALSE)),"",VLOOKUP($K141,OFFSET(INDIRECT(""&amp;$S$109&amp;"!$A$4"),0,0,200,100),MATCH(P$110,INDIRECT(""&amp;$S$109&amp;"!$A$4"):INDIRECT(""&amp;$S$109&amp;"!$o$4"),0),FALSE))</f>
        <v>10000</v>
      </c>
      <c r="Q141" s="190">
        <f ca="1">IF(ISERROR(VLOOKUP($K141,OFFSET(INDIRECT(""&amp;$S$109&amp;"!$A$4"),0,0,200,100),MATCH(Q$110,INDIRECT(""&amp;$S$109&amp;"!$A$4"):INDIRECT(""&amp;$S$109&amp;"!$o$4"),0),FALSE)),"",VLOOKUP($K141,OFFSET(INDIRECT(""&amp;$S$109&amp;"!$A$4"),0,0,200,100),MATCH(Q$110,INDIRECT(""&amp;$S$109&amp;"!$A$4"):INDIRECT(""&amp;$S$109&amp;"!$o$4"),0),FALSE))</f>
        <v>0</v>
      </c>
      <c r="R141" s="190">
        <f ca="1">IF(ISERROR(VLOOKUP($K141,OFFSET(INDIRECT(""&amp;$S$109&amp;"!$A$4"),0,0,200,100),MATCH(R$110,INDIRECT(""&amp;$S$109&amp;"!$A$4"):INDIRECT(""&amp;$S$109&amp;"!$o$4"),0),FALSE)),"",VLOOKUP($K141,OFFSET(INDIRECT(""&amp;$S$109&amp;"!$A$4"),0,0,200,100),MATCH(R$110,INDIRECT(""&amp;$S$109&amp;"!$A$4"):INDIRECT(""&amp;$S$109&amp;"!$o$4"),0),FALSE))</f>
        <v>0</v>
      </c>
      <c r="S141" s="190">
        <f ca="1">IF(ISERROR(VLOOKUP($K141,OFFSET(INDIRECT(""&amp;$S$109&amp;"!$A$4"),0,0,200,100),MATCH(S$110,INDIRECT(""&amp;$S$109&amp;"!$A$4"):INDIRECT(""&amp;$S$109&amp;"!$o$4"),0),FALSE)),"",VLOOKUP($K141,OFFSET(INDIRECT(""&amp;$S$109&amp;"!$A$4"),0,0,200,100),MATCH(S$110,INDIRECT(""&amp;$S$109&amp;"!$A$4"):INDIRECT(""&amp;$S$109&amp;"!$o$4"),0),FALSE))</f>
        <v>0</v>
      </c>
      <c r="T141" s="190">
        <f ca="1">IF(ISERROR(VLOOKUP($K141,OFFSET(INDIRECT(""&amp;$S$109&amp;"!$A$4"),0,0,200,100),MATCH(T$110,INDIRECT(""&amp;$S$109&amp;"!$A$4"):INDIRECT(""&amp;$S$109&amp;"!$o$4"),0),FALSE)),"",VLOOKUP($K141,OFFSET(INDIRECT(""&amp;$S$109&amp;"!$A$4"),0,0,200,100),MATCH(T$110,INDIRECT(""&amp;$S$109&amp;"!$A$4"):INDIRECT(""&amp;$S$109&amp;"!$o$4"),0),FALSE))</f>
        <v>0</v>
      </c>
      <c r="U141" s="190">
        <f ca="1">IF(ISERROR(VLOOKUP($K141,OFFSET(INDIRECT(""&amp;$S$109&amp;"!$A$4"),0,0,200,100),MATCH(U$110,INDIRECT(""&amp;$S$109&amp;"!$A$4"):INDIRECT(""&amp;$S$109&amp;"!$o$4"),0),FALSE)),"",VLOOKUP($K141,OFFSET(INDIRECT(""&amp;$S$109&amp;"!$A$4"),0,0,200,100),MATCH(U$110,INDIRECT(""&amp;$S$109&amp;"!$A$4"):INDIRECT(""&amp;$S$109&amp;"!$o$4"),0),FALSE))</f>
        <v>20849.354195</v>
      </c>
      <c r="V141" s="190">
        <f ca="1">IF(ISERROR(VLOOKUP($K141,OFFSET(INDIRECT(""&amp;$S$109&amp;"!$A$4"),0,0,200,100),MATCH(V$110,INDIRECT(""&amp;$S$109&amp;"!$A$4"):INDIRECT(""&amp;$S$109&amp;"!$o$4"),0),FALSE)),"",VLOOKUP($K141,OFFSET(INDIRECT(""&amp;$S$109&amp;"!$A$4"),0,0,200,100),MATCH(V$110,INDIRECT(""&amp;$S$109&amp;"!$A$4"):INDIRECT(""&amp;$S$109&amp;"!$o$4"),0),FALSE))</f>
        <v>0</v>
      </c>
      <c r="W141" s="190">
        <f ca="1">IF(ISERROR(VLOOKUP($K141,OFFSET(INDIRECT(""&amp;$S$109&amp;"!$A$4"),0,0,200,100),MATCH(W$110,INDIRECT(""&amp;$S$109&amp;"!$A$4"):INDIRECT(""&amp;$S$109&amp;"!$o$4"),0),FALSE)),"",VLOOKUP($K141,OFFSET(INDIRECT(""&amp;$S$109&amp;"!$A$4"),0,0,200,100),MATCH(W$110,INDIRECT(""&amp;$S$109&amp;"!$A$4"):INDIRECT(""&amp;$S$109&amp;"!$o$4"),0),FALSE))</f>
        <v>2600</v>
      </c>
      <c r="X141" s="190">
        <f ca="1">IF(ISERROR(VLOOKUP($K141,OFFSET(INDIRECT(""&amp;$S$109&amp;"!$A$4"),0,0,200,100),MATCH(X$110,INDIRECT(""&amp;$S$109&amp;"!$A$4"):INDIRECT(""&amp;$S$109&amp;"!$o$4"),0),FALSE)),"",VLOOKUP($K141,OFFSET(INDIRECT(""&amp;$S$109&amp;"!$A$4"),0,0,200,100),MATCH(X$110,INDIRECT(""&amp;$S$109&amp;"!$A$4"):INDIRECT(""&amp;$S$109&amp;"!$o$4"),0),FALSE))</f>
        <v>0</v>
      </c>
      <c r="Y141" s="190">
        <f ca="1">IF(ISERROR(VLOOKUP($K141,OFFSET(INDIRECT(""&amp;$S$109&amp;"!$A$4"),0,0,200,100),MATCH(Y$110,INDIRECT(""&amp;$S$109&amp;"!$A$4"):INDIRECT(""&amp;$S$109&amp;"!$o$4"),0),FALSE)),"",VLOOKUP($K141,OFFSET(INDIRECT(""&amp;$S$109&amp;"!$A$4"),0,0,200,100),MATCH(Y$110,INDIRECT(""&amp;$S$109&amp;"!$A$4"):INDIRECT(""&amp;$S$109&amp;"!$o$4"),0),FALSE))</f>
        <v>0</v>
      </c>
      <c r="Z141" s="160">
        <f ca="1">IF(ISERROR(VLOOKUP($K141,OFFSET(INDIRECT(""&amp;$S$109&amp;"!$A$4"),0,0,200,100),MATCH(Z$110,INDIRECT(""&amp;$S$109&amp;"!$A$4"):INDIRECT(""&amp;$S$109&amp;"!$P$4"),0),FALSE)),"",VLOOKUP($K141,OFFSET(INDIRECT(""&amp;$S$109&amp;"!$A$4"),0,0,200,100),MATCH(Z$110,INDIRECT(""&amp;$S$109&amp;"!$A$4"):INDIRECT(""&amp;$S$109&amp;"!$P$4"),0),FALSE))</f>
        <v>2537.0859999999998</v>
      </c>
      <c r="AA141" s="190"/>
      <c r="AC141" s="126"/>
      <c r="AD141" s="126"/>
      <c r="AE141" s="126"/>
      <c r="AF141" s="126"/>
      <c r="AG141" s="126"/>
      <c r="AH141" s="126"/>
      <c r="AI141" s="148"/>
      <c r="AJ141" s="148"/>
      <c r="AK141" s="148"/>
      <c r="AL141" s="148"/>
      <c r="AM141" s="148"/>
      <c r="AN141" s="148"/>
      <c r="AO141" s="126"/>
      <c r="AP141" s="126"/>
      <c r="AQ141" s="126"/>
      <c r="AR141" s="126"/>
      <c r="AS141" s="126"/>
      <c r="AT141" s="72"/>
      <c r="AU141" s="72"/>
      <c r="AV141" s="73"/>
      <c r="AW141" s="73"/>
      <c r="AX141" s="73"/>
      <c r="AY141" s="73"/>
      <c r="AZ141" s="73"/>
      <c r="BA141" s="73"/>
      <c r="BB141" s="73"/>
      <c r="BC141" s="73"/>
      <c r="BD141" s="73"/>
      <c r="BE141" s="73"/>
      <c r="BF141" s="73"/>
    </row>
    <row r="142" spans="1:58" s="128" customFormat="1" ht="15.95" customHeight="1">
      <c r="A142" s="111" t="s">
        <v>332</v>
      </c>
      <c r="B142" s="111" t="s">
        <v>374</v>
      </c>
      <c r="C142" s="74">
        <f ca="1">IF(ISERROR(VLOOKUP($B142,OFFSET(INDIRECT(""&amp;$B$109&amp;"!$A$4"),0,0,200,100),MATCH(C$110,INDIRECT(""&amp;$B$109&amp;"!$A$4"):INDIRECT(""&amp;$B$109&amp;"!$o$4"),0),FALSE)),"",VLOOKUP($B142,OFFSET(INDIRECT(""&amp;$B$109&amp;"!$A$4"),0,0,200,100),MATCH(C$110,INDIRECT(""&amp;$B$109&amp;"!$A$4"):INDIRECT(""&amp;$B$109&amp;"!$o$4"),0),FALSE))</f>
        <v>-26760</v>
      </c>
      <c r="D142" s="74">
        <f ca="1">IF(ISERROR(VLOOKUP($B142,OFFSET(INDIRECT(""&amp;$B$109&amp;"!$A$4"),0,0,200,100),MATCH(D$110,INDIRECT(""&amp;$B$109&amp;"!$A$4"):INDIRECT(""&amp;$B$109&amp;"!$o$4"),0),FALSE)),"",VLOOKUP($B142,OFFSET(INDIRECT(""&amp;$B$109&amp;"!$A$4"),0,0,200,100),MATCH(D$110,INDIRECT(""&amp;$B$109&amp;"!$A$4"):INDIRECT(""&amp;$B$109&amp;"!$o$4"),0),FALSE))</f>
        <v>-18000</v>
      </c>
      <c r="E142" s="74">
        <f ca="1">IF(ISERROR(VLOOKUP($B142,OFFSET(INDIRECT(""&amp;$B$109&amp;"!$A$4"),0,0,200,100),MATCH(E$110,INDIRECT(""&amp;$B$109&amp;"!$A$4"):INDIRECT(""&amp;$B$109&amp;"!$o$4"),0),FALSE)),"",VLOOKUP($B142,OFFSET(INDIRECT(""&amp;$B$109&amp;"!$A$4"),0,0,200,100),MATCH(E$110,INDIRECT(""&amp;$B$109&amp;"!$A$4"):INDIRECT(""&amp;$B$109&amp;"!$o$4"),0),FALSE))</f>
        <v>-36355.212818</v>
      </c>
      <c r="F142" s="74">
        <f ca="1">IF(ISERROR(VLOOKUP($B142,OFFSET(INDIRECT(""&amp;$B$109&amp;"!$A$4"),0,0,200,100),MATCH(F$110,INDIRECT(""&amp;$B$109&amp;"!$A$4"):INDIRECT(""&amp;$B$109&amp;"!$o$4"),0),FALSE)),"",VLOOKUP($B142,OFFSET(INDIRECT(""&amp;$B$109&amp;"!$A$4"),0,0,200,100),MATCH(F$110,INDIRECT(""&amp;$B$109&amp;"!$A$4"):INDIRECT(""&amp;$B$109&amp;"!$o$4"),0),FALSE))</f>
        <v>-8300</v>
      </c>
      <c r="G142" s="74">
        <f ca="1">IF(ISERROR(VLOOKUP($B142,OFFSET(INDIRECT(""&amp;$B$109&amp;"!$A$4"),0,0,200,100),MATCH(G$110,INDIRECT(""&amp;$B$109&amp;"!$A$4"):INDIRECT(""&amp;$B$109&amp;"!$o$4"),0),FALSE)),"",VLOOKUP($B142,OFFSET(INDIRECT(""&amp;$B$109&amp;"!$A$4"),0,0,200,100),MATCH(G$110,INDIRECT(""&amp;$B$109&amp;"!$A$4"):INDIRECT(""&amp;$B$109&amp;"!$o$4"),0),FALSE))</f>
        <v>-79105</v>
      </c>
      <c r="H142" s="74">
        <f ca="1">IF(ISERROR(VLOOKUP($B142,OFFSET(INDIRECT(""&amp;$B$109&amp;"!$A$4"),0,0,200,100),MATCH(H$110,INDIRECT(""&amp;$B$109&amp;"!$A$4"):INDIRECT(""&amp;$B$109&amp;"!$o$4"),0),FALSE)),"",VLOOKUP($B142,OFFSET(INDIRECT(""&amp;$B$109&amp;"!$A$4"),0,0,200,100),MATCH(H$110,INDIRECT(""&amp;$B$109&amp;"!$A$4"):INDIRECT(""&amp;$B$109&amp;"!$o$4"),0),FALSE))</f>
        <v>-104551.62717199999</v>
      </c>
      <c r="I142" s="74">
        <f ca="1">IF(ISERROR(VLOOKUP($B142,OFFSET(INDIRECT(""&amp;$B$109&amp;"!$A$4"),0,0,200,100),MATCH(I$110,INDIRECT(""&amp;$B$109&amp;"!$A$4"):INDIRECT(""&amp;$B$109&amp;"!$o$4"),0),FALSE)),"",VLOOKUP($B142,OFFSET(INDIRECT(""&amp;$B$109&amp;"!$A$4"),0,0,200,100),MATCH(I$110,INDIRECT(""&amp;$B$109&amp;"!$A$4"):INDIRECT(""&amp;$B$109&amp;"!$o$4"),0),FALSE))</f>
        <v>-91004.258222000004</v>
      </c>
      <c r="J142" s="74">
        <f ca="1">IF(ISERROR(VLOOKUP($B142,OFFSET(INDIRECT(""&amp;$B$109&amp;"!$A$4"),0,0,200,100),MATCH(J$110,INDIRECT(""&amp;$B$109&amp;"!$A$4"):INDIRECT(""&amp;$B$109&amp;"!$o$4"),0),FALSE)),"",VLOOKUP($B142,OFFSET(INDIRECT(""&amp;$B$109&amp;"!$A$4"),0,0,200,100),MATCH(J$110,INDIRECT(""&amp;$B$109&amp;"!$A$4"):INDIRECT(""&amp;$B$109&amp;"!$o$4"),0),FALSE))</f>
        <v>-91004.258222000004</v>
      </c>
      <c r="K142" s="129" t="s">
        <v>374</v>
      </c>
      <c r="L142" s="190">
        <f ca="1">IF(ISERROR(VLOOKUP($K142,OFFSET(INDIRECT(""&amp;$S$109&amp;"!$A$4"),0,0,200,100),MATCH(L$110,INDIRECT(""&amp;$S$109&amp;"!$A$4"):INDIRECT(""&amp;$S$109&amp;"!$o$4"),0),FALSE)),"",VLOOKUP($K142,OFFSET(INDIRECT(""&amp;$S$109&amp;"!$A$4"),0,0,200,100),MATCH(L$110,INDIRECT(""&amp;$S$109&amp;"!$A$4"):INDIRECT(""&amp;$S$109&amp;"!$o$4"),0),FALSE))</f>
        <v>0</v>
      </c>
      <c r="M142" s="190">
        <f ca="1">IF(ISERROR(VLOOKUP($K142,OFFSET(INDIRECT(""&amp;$S$109&amp;"!$A$4"),0,0,200,100),MATCH(M$110,INDIRECT(""&amp;$S$109&amp;"!$A$4"):INDIRECT(""&amp;$S$109&amp;"!$o$4"),0),FALSE)),"",VLOOKUP($K142,OFFSET(INDIRECT(""&amp;$S$109&amp;"!$A$4"),0,0,200,100),MATCH(M$110,INDIRECT(""&amp;$S$109&amp;"!$A$4"):INDIRECT(""&amp;$S$109&amp;"!$o$4"),0),FALSE))</f>
        <v>-4000</v>
      </c>
      <c r="N142" s="190">
        <f ca="1">IF(ISERROR(VLOOKUP($K142,OFFSET(INDIRECT(""&amp;$S$109&amp;"!$A$4"),0,0,200,100),MATCH(N$110,INDIRECT(""&amp;$S$109&amp;"!$A$4"):INDIRECT(""&amp;$S$109&amp;"!$o$4"),0),FALSE)),"",VLOOKUP($K142,OFFSET(INDIRECT(""&amp;$S$109&amp;"!$A$4"),0,0,200,100),MATCH(N$110,INDIRECT(""&amp;$S$109&amp;"!$A$4"):INDIRECT(""&amp;$S$109&amp;"!$o$4"),0),FALSE))</f>
        <v>-1800</v>
      </c>
      <c r="O142" s="190">
        <f ca="1">IF(ISERROR(VLOOKUP($K142,OFFSET(INDIRECT(""&amp;$S$109&amp;"!$A$4"),0,0,200,100),MATCH(O$110,INDIRECT(""&amp;$S$109&amp;"!$A$4"):INDIRECT(""&amp;$S$109&amp;"!$o$4"),0),FALSE)),"",VLOOKUP($K142,OFFSET(INDIRECT(""&amp;$S$109&amp;"!$A$4"),0,0,200,100),MATCH(O$110,INDIRECT(""&amp;$S$109&amp;"!$A$4"):INDIRECT(""&amp;$S$109&amp;"!$o$4"),0),FALSE))</f>
        <v>0</v>
      </c>
      <c r="P142" s="190">
        <f ca="1">IF(ISERROR(VLOOKUP($K142,OFFSET(INDIRECT(""&amp;$S$109&amp;"!$A$4"),0,0,200,100),MATCH(P$110,INDIRECT(""&amp;$S$109&amp;"!$A$4"):INDIRECT(""&amp;$S$109&amp;"!$o$4"),0),FALSE)),"",VLOOKUP($K142,OFFSET(INDIRECT(""&amp;$S$109&amp;"!$A$4"),0,0,200,100),MATCH(P$110,INDIRECT(""&amp;$S$109&amp;"!$A$4"):INDIRECT(""&amp;$S$109&amp;"!$o$4"),0),FALSE))</f>
        <v>0</v>
      </c>
      <c r="Q142" s="190">
        <f ca="1">IF(ISERROR(VLOOKUP($K142,OFFSET(INDIRECT(""&amp;$S$109&amp;"!$A$4"),0,0,200,100),MATCH(Q$110,INDIRECT(""&amp;$S$109&amp;"!$A$4"):INDIRECT(""&amp;$S$109&amp;"!$o$4"),0),FALSE)),"",VLOOKUP($K142,OFFSET(INDIRECT(""&amp;$S$109&amp;"!$A$4"),0,0,200,100),MATCH(Q$110,INDIRECT(""&amp;$S$109&amp;"!$A$4"):INDIRECT(""&amp;$S$109&amp;"!$o$4"),0),FALSE))</f>
        <v>0</v>
      </c>
      <c r="R142" s="190">
        <f ca="1">IF(ISERROR(VLOOKUP($K142,OFFSET(INDIRECT(""&amp;$S$109&amp;"!$A$4"),0,0,200,100),MATCH(R$110,INDIRECT(""&amp;$S$109&amp;"!$A$4"):INDIRECT(""&amp;$S$109&amp;"!$o$4"),0),FALSE)),"",VLOOKUP($K142,OFFSET(INDIRECT(""&amp;$S$109&amp;"!$A$4"),0,0,200,100),MATCH(R$110,INDIRECT(""&amp;$S$109&amp;"!$A$4"):INDIRECT(""&amp;$S$109&amp;"!$o$4"),0),FALSE))</f>
        <v>0</v>
      </c>
      <c r="S142" s="190">
        <f ca="1">IF(ISERROR(VLOOKUP($K142,OFFSET(INDIRECT(""&amp;$S$109&amp;"!$A$4"),0,0,200,100),MATCH(S$110,INDIRECT(""&amp;$S$109&amp;"!$A$4"):INDIRECT(""&amp;$S$109&amp;"!$o$4"),0),FALSE)),"",VLOOKUP($K142,OFFSET(INDIRECT(""&amp;$S$109&amp;"!$A$4"),0,0,200,100),MATCH(S$110,INDIRECT(""&amp;$S$109&amp;"!$A$4"):INDIRECT(""&amp;$S$109&amp;"!$o$4"),0),FALSE))</f>
        <v>-28744.085845000001</v>
      </c>
      <c r="T142" s="190">
        <f ca="1">IF(ISERROR(VLOOKUP($K142,OFFSET(INDIRECT(""&amp;$S$109&amp;"!$A$4"),0,0,200,100),MATCH(T$110,INDIRECT(""&amp;$S$109&amp;"!$A$4"):INDIRECT(""&amp;$S$109&amp;"!$o$4"),0),FALSE)),"",VLOOKUP($K142,OFFSET(INDIRECT(""&amp;$S$109&amp;"!$A$4"),0,0,200,100),MATCH(T$110,INDIRECT(""&amp;$S$109&amp;"!$A$4"):INDIRECT(""&amp;$S$109&amp;"!$o$4"),0),FALSE))</f>
        <v>-27951.143895000001</v>
      </c>
      <c r="U142" s="190">
        <f ca="1">IF(ISERROR(VLOOKUP($K142,OFFSET(INDIRECT(""&amp;$S$109&amp;"!$A$4"),0,0,200,100),MATCH(U$110,INDIRECT(""&amp;$S$109&amp;"!$A$4"):INDIRECT(""&amp;$S$109&amp;"!$o$4"),0),FALSE)),"",VLOOKUP($K142,OFFSET(INDIRECT(""&amp;$S$109&amp;"!$A$4"),0,0,200,100),MATCH(U$110,INDIRECT(""&amp;$S$109&amp;"!$A$4"):INDIRECT(""&amp;$S$109&amp;"!$o$4"),0),FALSE))</f>
        <v>-25421.871568999999</v>
      </c>
      <c r="V142" s="190">
        <f ca="1">IF(ISERROR(VLOOKUP($K142,OFFSET(INDIRECT(""&amp;$S$109&amp;"!$A$4"),0,0,200,100),MATCH(V$110,INDIRECT(""&amp;$S$109&amp;"!$A$4"):INDIRECT(""&amp;$S$109&amp;"!$o$4"),0),FALSE)),"",VLOOKUP($K142,OFFSET(INDIRECT(""&amp;$S$109&amp;"!$A$4"),0,0,200,100),MATCH(V$110,INDIRECT(""&amp;$S$109&amp;"!$A$4"):INDIRECT(""&amp;$S$109&amp;"!$o$4"),0),FALSE))</f>
        <v>-30307.159075</v>
      </c>
      <c r="W142" s="190">
        <f ca="1">IF(ISERROR(VLOOKUP($K142,OFFSET(INDIRECT(""&amp;$S$109&amp;"!$A$4"),0,0,200,100),MATCH(W$110,INDIRECT(""&amp;$S$109&amp;"!$A$4"):INDIRECT(""&amp;$S$109&amp;"!$o$4"),0),FALSE)),"",VLOOKUP($K142,OFFSET(INDIRECT(""&amp;$S$109&amp;"!$A$4"),0,0,200,100),MATCH(W$110,INDIRECT(""&amp;$S$109&amp;"!$A$4"):INDIRECT(""&amp;$S$109&amp;"!$o$4"),0),FALSE))</f>
        <v>-20173.876232999999</v>
      </c>
      <c r="X142" s="190">
        <f ca="1">IF(ISERROR(VLOOKUP($K142,OFFSET(INDIRECT(""&amp;$S$109&amp;"!$A$4"),0,0,200,100),MATCH(X$110,INDIRECT(""&amp;$S$109&amp;"!$A$4"):INDIRECT(""&amp;$S$109&amp;"!$o$4"),0),FALSE)),"",VLOOKUP($K142,OFFSET(INDIRECT(""&amp;$S$109&amp;"!$A$4"),0,0,200,100),MATCH(X$110,INDIRECT(""&amp;$S$109&amp;"!$A$4"):INDIRECT(""&amp;$S$109&amp;"!$o$4"),0),FALSE))</f>
        <v>-10640.837869999999</v>
      </c>
      <c r="Y142" s="190">
        <f ca="1">IF(ISERROR(VLOOKUP($K142,OFFSET(INDIRECT(""&amp;$S$109&amp;"!$A$4"),0,0,200,100),MATCH(Y$110,INDIRECT(""&amp;$S$109&amp;"!$A$4"):INDIRECT(""&amp;$S$109&amp;"!$o$4"),0),FALSE)),"",VLOOKUP($K142,OFFSET(INDIRECT(""&amp;$S$109&amp;"!$A$4"),0,0,200,100),MATCH(Y$110,INDIRECT(""&amp;$S$109&amp;"!$A$4"):INDIRECT(""&amp;$S$109&amp;"!$o$4"),0),FALSE))</f>
        <v>-24031.963835999999</v>
      </c>
      <c r="Z142" s="160">
        <f ca="1">IF(ISERROR(VLOOKUP($K142,OFFSET(INDIRECT(""&amp;$S$109&amp;"!$A$4"),0,0,200,100),MATCH(Z$110,INDIRECT(""&amp;$S$109&amp;"!$A$4"):INDIRECT(""&amp;$S$109&amp;"!$P$4"),0),FALSE)),"",VLOOKUP($K142,OFFSET(INDIRECT(""&amp;$S$109&amp;"!$A$4"),0,0,200,100),MATCH(Z$110,INDIRECT(""&amp;$S$109&amp;"!$A$4"):INDIRECT(""&amp;$S$109&amp;"!$P$4"),0),FALSE))</f>
        <v>-33010.873278999999</v>
      </c>
      <c r="AA142" s="190"/>
      <c r="AC142" s="126"/>
      <c r="AD142" s="126"/>
      <c r="AE142" s="126"/>
      <c r="AF142" s="126"/>
      <c r="AG142" s="126"/>
      <c r="AH142" s="126"/>
      <c r="AI142" s="148"/>
      <c r="AJ142" s="148"/>
      <c r="AK142" s="148"/>
      <c r="AL142" s="148"/>
      <c r="AM142" s="148"/>
      <c r="AN142" s="148"/>
      <c r="AO142" s="126"/>
      <c r="AP142" s="126"/>
      <c r="AQ142" s="126"/>
      <c r="AR142" s="126"/>
      <c r="AS142" s="126"/>
      <c r="AT142" s="72"/>
      <c r="AU142" s="72"/>
      <c r="AV142" s="73"/>
      <c r="AW142" s="73"/>
      <c r="AX142" s="73"/>
      <c r="AY142" s="73"/>
      <c r="AZ142" s="73"/>
      <c r="BA142" s="73"/>
      <c r="BB142" s="73"/>
      <c r="BC142" s="73"/>
      <c r="BD142" s="73"/>
      <c r="BE142" s="73"/>
      <c r="BF142" s="73"/>
    </row>
    <row r="143" spans="1:58" s="128" customFormat="1" ht="15.95" customHeight="1">
      <c r="A143" s="111" t="s">
        <v>333</v>
      </c>
      <c r="B143" s="111" t="s">
        <v>375</v>
      </c>
      <c r="C143" s="74">
        <f ca="1">IF(ISERROR(VLOOKUP($B143,OFFSET(INDIRECT(""&amp;$B$109&amp;"!$A$4"),0,0,200,100),MATCH(C$110,INDIRECT(""&amp;$B$109&amp;"!$A$4"):INDIRECT(""&amp;$B$109&amp;"!$o$4"),0),FALSE)),"",VLOOKUP($B143,OFFSET(INDIRECT(""&amp;$B$109&amp;"!$A$4"),0,0,200,100),MATCH(C$110,INDIRECT(""&amp;$B$109&amp;"!$A$4"):INDIRECT(""&amp;$B$109&amp;"!$o$4"),0),FALSE))</f>
        <v>0</v>
      </c>
      <c r="D143" s="74">
        <f ca="1">IF(ISERROR(VLOOKUP($B143,OFFSET(INDIRECT(""&amp;$B$109&amp;"!$A$4"),0,0,200,100),MATCH(D$110,INDIRECT(""&amp;$B$109&amp;"!$A$4"):INDIRECT(""&amp;$B$109&amp;"!$o$4"),0),FALSE)),"",VLOOKUP($B143,OFFSET(INDIRECT(""&amp;$B$109&amp;"!$A$4"),0,0,200,100),MATCH(D$110,INDIRECT(""&amp;$B$109&amp;"!$A$4"):INDIRECT(""&amp;$B$109&amp;"!$o$4"),0),FALSE))</f>
        <v>0</v>
      </c>
      <c r="E143" s="74">
        <f ca="1">IF(ISERROR(VLOOKUP($B143,OFFSET(INDIRECT(""&amp;$B$109&amp;"!$A$4"),0,0,200,100),MATCH(E$110,INDIRECT(""&amp;$B$109&amp;"!$A$4"):INDIRECT(""&amp;$B$109&amp;"!$o$4"),0),FALSE)),"",VLOOKUP($B143,OFFSET(INDIRECT(""&amp;$B$109&amp;"!$A$4"),0,0,200,100),MATCH(E$110,INDIRECT(""&amp;$B$109&amp;"!$A$4"):INDIRECT(""&amp;$B$109&amp;"!$o$4"),0),FALSE))</f>
        <v>0</v>
      </c>
      <c r="F143" s="74">
        <f ca="1">IF(ISERROR(VLOOKUP($B143,OFFSET(INDIRECT(""&amp;$B$109&amp;"!$A$4"),0,0,200,100),MATCH(F$110,INDIRECT(""&amp;$B$109&amp;"!$A$4"):INDIRECT(""&amp;$B$109&amp;"!$o$4"),0),FALSE)),"",VLOOKUP($B143,OFFSET(INDIRECT(""&amp;$B$109&amp;"!$A$4"),0,0,200,100),MATCH(F$110,INDIRECT(""&amp;$B$109&amp;"!$A$4"):INDIRECT(""&amp;$B$109&amp;"!$o$4"),0),FALSE))</f>
        <v>0</v>
      </c>
      <c r="G143" s="74">
        <f ca="1">IF(ISERROR(VLOOKUP($B143,OFFSET(INDIRECT(""&amp;$B$109&amp;"!$A$4"),0,0,200,100),MATCH(G$110,INDIRECT(""&amp;$B$109&amp;"!$A$4"):INDIRECT(""&amp;$B$109&amp;"!$o$4"),0),FALSE)),"",VLOOKUP($B143,OFFSET(INDIRECT(""&amp;$B$109&amp;"!$A$4"),0,0,200,100),MATCH(G$110,INDIRECT(""&amp;$B$109&amp;"!$A$4"):INDIRECT(""&amp;$B$109&amp;"!$o$4"),0),FALSE))</f>
        <v>0</v>
      </c>
      <c r="H143" s="74">
        <f ca="1">IF(ISERROR(VLOOKUP($B143,OFFSET(INDIRECT(""&amp;$B$109&amp;"!$A$4"),0,0,200,100),MATCH(H$110,INDIRECT(""&amp;$B$109&amp;"!$A$4"):INDIRECT(""&amp;$B$109&amp;"!$o$4"),0),FALSE)),"",VLOOKUP($B143,OFFSET(INDIRECT(""&amp;$B$109&amp;"!$A$4"),0,0,200,100),MATCH(H$110,INDIRECT(""&amp;$B$109&amp;"!$A$4"):INDIRECT(""&amp;$B$109&amp;"!$o$4"),0),FALSE))</f>
        <v>0</v>
      </c>
      <c r="I143" s="74">
        <f ca="1">IF(ISERROR(VLOOKUP($B143,OFFSET(INDIRECT(""&amp;$B$109&amp;"!$A$4"),0,0,200,100),MATCH(I$110,INDIRECT(""&amp;$B$109&amp;"!$A$4"):INDIRECT(""&amp;$B$109&amp;"!$o$4"),0),FALSE)),"",VLOOKUP($B143,OFFSET(INDIRECT(""&amp;$B$109&amp;"!$A$4"),0,0,200,100),MATCH(I$110,INDIRECT(""&amp;$B$109&amp;"!$A$4"):INDIRECT(""&amp;$B$109&amp;"!$o$4"),0),FALSE))</f>
        <v>0</v>
      </c>
      <c r="J143" s="74">
        <f ca="1">IF(ISERROR(VLOOKUP($B143,OFFSET(INDIRECT(""&amp;$B$109&amp;"!$A$4"),0,0,200,100),MATCH(J$110,INDIRECT(""&amp;$B$109&amp;"!$A$4"):INDIRECT(""&amp;$B$109&amp;"!$o$4"),0),FALSE)),"",VLOOKUP($B143,OFFSET(INDIRECT(""&amp;$B$109&amp;"!$A$4"),0,0,200,100),MATCH(J$110,INDIRECT(""&amp;$B$109&amp;"!$A$4"):INDIRECT(""&amp;$B$109&amp;"!$o$4"),0),FALSE))</f>
        <v>0</v>
      </c>
      <c r="K143" s="129" t="s">
        <v>375</v>
      </c>
      <c r="L143" s="190">
        <f ca="1">IF(ISERROR(VLOOKUP($K143,OFFSET(INDIRECT(""&amp;$S$109&amp;"!$A$4"),0,0,200,100),MATCH(L$110,INDIRECT(""&amp;$S$109&amp;"!$A$4"):INDIRECT(""&amp;$S$109&amp;"!$o$4"),0),FALSE)),"",VLOOKUP($K143,OFFSET(INDIRECT(""&amp;$S$109&amp;"!$A$4"),0,0,200,100),MATCH(L$110,INDIRECT(""&amp;$S$109&amp;"!$A$4"):INDIRECT(""&amp;$S$109&amp;"!$o$4"),0),FALSE))</f>
        <v>0</v>
      </c>
      <c r="M143" s="190">
        <f ca="1">IF(ISERROR(VLOOKUP($K143,OFFSET(INDIRECT(""&amp;$S$109&amp;"!$A$4"),0,0,200,100),MATCH(M$110,INDIRECT(""&amp;$S$109&amp;"!$A$4"):INDIRECT(""&amp;$S$109&amp;"!$o$4"),0),FALSE)),"",VLOOKUP($K143,OFFSET(INDIRECT(""&amp;$S$109&amp;"!$A$4"),0,0,200,100),MATCH(M$110,INDIRECT(""&amp;$S$109&amp;"!$A$4"):INDIRECT(""&amp;$S$109&amp;"!$o$4"),0),FALSE))</f>
        <v>0</v>
      </c>
      <c r="N143" s="190">
        <f ca="1">IF(ISERROR(VLOOKUP($K143,OFFSET(INDIRECT(""&amp;$S$109&amp;"!$A$4"),0,0,200,100),MATCH(N$110,INDIRECT(""&amp;$S$109&amp;"!$A$4"):INDIRECT(""&amp;$S$109&amp;"!$o$4"),0),FALSE)),"",VLOOKUP($K143,OFFSET(INDIRECT(""&amp;$S$109&amp;"!$A$4"),0,0,200,100),MATCH(N$110,INDIRECT(""&amp;$S$109&amp;"!$A$4"):INDIRECT(""&amp;$S$109&amp;"!$o$4"),0),FALSE))</f>
        <v>0</v>
      </c>
      <c r="O143" s="190">
        <f ca="1">IF(ISERROR(VLOOKUP($K143,OFFSET(INDIRECT(""&amp;$S$109&amp;"!$A$4"),0,0,200,100),MATCH(O$110,INDIRECT(""&amp;$S$109&amp;"!$A$4"):INDIRECT(""&amp;$S$109&amp;"!$o$4"),0),FALSE)),"",VLOOKUP($K143,OFFSET(INDIRECT(""&amp;$S$109&amp;"!$A$4"),0,0,200,100),MATCH(O$110,INDIRECT(""&amp;$S$109&amp;"!$A$4"):INDIRECT(""&amp;$S$109&amp;"!$o$4"),0),FALSE))</f>
        <v>0</v>
      </c>
      <c r="P143" s="190">
        <f ca="1">IF(ISERROR(VLOOKUP($K143,OFFSET(INDIRECT(""&amp;$S$109&amp;"!$A$4"),0,0,200,100),MATCH(P$110,INDIRECT(""&amp;$S$109&amp;"!$A$4"):INDIRECT(""&amp;$S$109&amp;"!$o$4"),0),FALSE)),"",VLOOKUP($K143,OFFSET(INDIRECT(""&amp;$S$109&amp;"!$A$4"),0,0,200,100),MATCH(P$110,INDIRECT(""&amp;$S$109&amp;"!$A$4"):INDIRECT(""&amp;$S$109&amp;"!$o$4"),0),FALSE))</f>
        <v>0</v>
      </c>
      <c r="Q143" s="190">
        <f ca="1">IF(ISERROR(VLOOKUP($K143,OFFSET(INDIRECT(""&amp;$S$109&amp;"!$A$4"),0,0,200,100),MATCH(Q$110,INDIRECT(""&amp;$S$109&amp;"!$A$4"):INDIRECT(""&amp;$S$109&amp;"!$o$4"),0),FALSE)),"",VLOOKUP($K143,OFFSET(INDIRECT(""&amp;$S$109&amp;"!$A$4"),0,0,200,100),MATCH(Q$110,INDIRECT(""&amp;$S$109&amp;"!$A$4"):INDIRECT(""&amp;$S$109&amp;"!$o$4"),0),FALSE))</f>
        <v>0</v>
      </c>
      <c r="R143" s="190">
        <f ca="1">IF(ISERROR(VLOOKUP($K143,OFFSET(INDIRECT(""&amp;$S$109&amp;"!$A$4"),0,0,200,100),MATCH(R$110,INDIRECT(""&amp;$S$109&amp;"!$A$4"):INDIRECT(""&amp;$S$109&amp;"!$o$4"),0),FALSE)),"",VLOOKUP($K143,OFFSET(INDIRECT(""&amp;$S$109&amp;"!$A$4"),0,0,200,100),MATCH(R$110,INDIRECT(""&amp;$S$109&amp;"!$A$4"):INDIRECT(""&amp;$S$109&amp;"!$o$4"),0),FALSE))</f>
        <v>0</v>
      </c>
      <c r="S143" s="190">
        <f ca="1">IF(ISERROR(VLOOKUP($K143,OFFSET(INDIRECT(""&amp;$S$109&amp;"!$A$4"),0,0,200,100),MATCH(S$110,INDIRECT(""&amp;$S$109&amp;"!$A$4"):INDIRECT(""&amp;$S$109&amp;"!$o$4"),0),FALSE)),"",VLOOKUP($K143,OFFSET(INDIRECT(""&amp;$S$109&amp;"!$A$4"),0,0,200,100),MATCH(S$110,INDIRECT(""&amp;$S$109&amp;"!$A$4"):INDIRECT(""&amp;$S$109&amp;"!$o$4"),0),FALSE))</f>
        <v>0</v>
      </c>
      <c r="T143" s="190">
        <f ca="1">IF(ISERROR(VLOOKUP($K143,OFFSET(INDIRECT(""&amp;$S$109&amp;"!$A$4"),0,0,200,100),MATCH(T$110,INDIRECT(""&amp;$S$109&amp;"!$A$4"):INDIRECT(""&amp;$S$109&amp;"!$o$4"),0),FALSE)),"",VLOOKUP($K143,OFFSET(INDIRECT(""&amp;$S$109&amp;"!$A$4"),0,0,200,100),MATCH(T$110,INDIRECT(""&amp;$S$109&amp;"!$A$4"):INDIRECT(""&amp;$S$109&amp;"!$o$4"),0),FALSE))</f>
        <v>0</v>
      </c>
      <c r="U143" s="190">
        <f ca="1">IF(ISERROR(VLOOKUP($K143,OFFSET(INDIRECT(""&amp;$S$109&amp;"!$A$4"),0,0,200,100),MATCH(U$110,INDIRECT(""&amp;$S$109&amp;"!$A$4"):INDIRECT(""&amp;$S$109&amp;"!$o$4"),0),FALSE)),"",VLOOKUP($K143,OFFSET(INDIRECT(""&amp;$S$109&amp;"!$A$4"),0,0,200,100),MATCH(U$110,INDIRECT(""&amp;$S$109&amp;"!$A$4"):INDIRECT(""&amp;$S$109&amp;"!$o$4"),0),FALSE))</f>
        <v>0</v>
      </c>
      <c r="V143" s="190">
        <f ca="1">IF(ISERROR(VLOOKUP($K143,OFFSET(INDIRECT(""&amp;$S$109&amp;"!$A$4"),0,0,200,100),MATCH(V$110,INDIRECT(""&amp;$S$109&amp;"!$A$4"):INDIRECT(""&amp;$S$109&amp;"!$o$4"),0),FALSE)),"",VLOOKUP($K143,OFFSET(INDIRECT(""&amp;$S$109&amp;"!$A$4"),0,0,200,100),MATCH(V$110,INDIRECT(""&amp;$S$109&amp;"!$A$4"):INDIRECT(""&amp;$S$109&amp;"!$o$4"),0),FALSE))</f>
        <v>0</v>
      </c>
      <c r="W143" s="190">
        <f ca="1">IF(ISERROR(VLOOKUP($K143,OFFSET(INDIRECT(""&amp;$S$109&amp;"!$A$4"),0,0,200,100),MATCH(W$110,INDIRECT(""&amp;$S$109&amp;"!$A$4"):INDIRECT(""&amp;$S$109&amp;"!$o$4"),0),FALSE)),"",VLOOKUP($K143,OFFSET(INDIRECT(""&amp;$S$109&amp;"!$A$4"),0,0,200,100),MATCH(W$110,INDIRECT(""&amp;$S$109&amp;"!$A$4"):INDIRECT(""&amp;$S$109&amp;"!$o$4"),0),FALSE))</f>
        <v>0</v>
      </c>
      <c r="X143" s="190">
        <f ca="1">IF(ISERROR(VLOOKUP($K143,OFFSET(INDIRECT(""&amp;$S$109&amp;"!$A$4"),0,0,200,100),MATCH(X$110,INDIRECT(""&amp;$S$109&amp;"!$A$4"):INDIRECT(""&amp;$S$109&amp;"!$o$4"),0),FALSE)),"",VLOOKUP($K143,OFFSET(INDIRECT(""&amp;$S$109&amp;"!$A$4"),0,0,200,100),MATCH(X$110,INDIRECT(""&amp;$S$109&amp;"!$A$4"):INDIRECT(""&amp;$S$109&amp;"!$o$4"),0),FALSE))</f>
        <v>0</v>
      </c>
      <c r="Y143" s="190">
        <f ca="1">IF(ISERROR(VLOOKUP($K143,OFFSET(INDIRECT(""&amp;$S$109&amp;"!$A$4"),0,0,200,100),MATCH(Y$110,INDIRECT(""&amp;$S$109&amp;"!$A$4"):INDIRECT(""&amp;$S$109&amp;"!$o$4"),0),FALSE)),"",VLOOKUP($K143,OFFSET(INDIRECT(""&amp;$S$109&amp;"!$A$4"),0,0,200,100),MATCH(Y$110,INDIRECT(""&amp;$S$109&amp;"!$A$4"):INDIRECT(""&amp;$S$109&amp;"!$o$4"),0),FALSE))</f>
        <v>0</v>
      </c>
      <c r="Z143" s="160">
        <f ca="1">IF(ISERROR(VLOOKUP($K143,OFFSET(INDIRECT(""&amp;$S$109&amp;"!$A$4"),0,0,200,100),MATCH(Z$110,INDIRECT(""&amp;$S$109&amp;"!$A$4"):INDIRECT(""&amp;$S$109&amp;"!$P$4"),0),FALSE)),"",VLOOKUP($K143,OFFSET(INDIRECT(""&amp;$S$109&amp;"!$A$4"),0,0,200,100),MATCH(Z$110,INDIRECT(""&amp;$S$109&amp;"!$A$4"):INDIRECT(""&amp;$S$109&amp;"!$P$4"),0),FALSE))</f>
        <v>0</v>
      </c>
      <c r="AA143" s="190"/>
      <c r="AC143" s="126"/>
      <c r="AD143" s="126"/>
      <c r="AE143" s="126"/>
      <c r="AF143" s="126"/>
      <c r="AG143" s="126"/>
      <c r="AH143" s="126"/>
      <c r="AI143" s="148"/>
      <c r="AJ143" s="148"/>
      <c r="AK143" s="148"/>
      <c r="AL143" s="148"/>
      <c r="AM143" s="148"/>
      <c r="AN143" s="148"/>
      <c r="AO143" s="126"/>
      <c r="AP143" s="126"/>
      <c r="AQ143" s="126"/>
      <c r="AR143" s="126"/>
      <c r="AS143" s="126"/>
      <c r="AT143" s="72"/>
      <c r="AU143" s="72"/>
      <c r="AV143" s="73"/>
      <c r="AW143" s="73"/>
      <c r="AX143" s="73"/>
      <c r="AY143" s="73"/>
      <c r="AZ143" s="73"/>
      <c r="BA143" s="73"/>
      <c r="BB143" s="73"/>
      <c r="BC143" s="73"/>
      <c r="BD143" s="73"/>
      <c r="BE143" s="73"/>
      <c r="BF143" s="73"/>
    </row>
    <row r="144" spans="1:58" s="128" customFormat="1" ht="15.95" customHeight="1">
      <c r="A144" s="111" t="s">
        <v>334</v>
      </c>
      <c r="B144" s="111" t="s">
        <v>376</v>
      </c>
      <c r="C144" s="74">
        <f ca="1">IF(ISERROR(VLOOKUP($B144,OFFSET(INDIRECT(""&amp;$B$109&amp;"!$A$4"),0,0,200,100),MATCH(C$110,INDIRECT(""&amp;$B$109&amp;"!$A$4"):INDIRECT(""&amp;$B$109&amp;"!$o$4"),0),FALSE)),"",VLOOKUP($B144,OFFSET(INDIRECT(""&amp;$B$109&amp;"!$A$4"),0,0,200,100),MATCH(C$110,INDIRECT(""&amp;$B$109&amp;"!$A$4"):INDIRECT(""&amp;$B$109&amp;"!$o$4"),0),FALSE))</f>
        <v>-16787.606</v>
      </c>
      <c r="D144" s="74">
        <f ca="1">IF(ISERROR(VLOOKUP($B144,OFFSET(INDIRECT(""&amp;$B$109&amp;"!$A$4"),0,0,200,100),MATCH(D$110,INDIRECT(""&amp;$B$109&amp;"!$A$4"):INDIRECT(""&amp;$B$109&amp;"!$o$4"),0),FALSE)),"",VLOOKUP($B144,OFFSET(INDIRECT(""&amp;$B$109&amp;"!$A$4"),0,0,200,100),MATCH(D$110,INDIRECT(""&amp;$B$109&amp;"!$A$4"):INDIRECT(""&amp;$B$109&amp;"!$o$4"),0),FALSE))</f>
        <v>-20154.136999999999</v>
      </c>
      <c r="E144" s="74">
        <f ca="1">IF(ISERROR(VLOOKUP($B144,OFFSET(INDIRECT(""&amp;$B$109&amp;"!$A$4"),0,0,200,100),MATCH(E$110,INDIRECT(""&amp;$B$109&amp;"!$A$4"):INDIRECT(""&amp;$B$109&amp;"!$o$4"),0),FALSE)),"",VLOOKUP($B144,OFFSET(INDIRECT(""&amp;$B$109&amp;"!$A$4"),0,0,200,100),MATCH(E$110,INDIRECT(""&amp;$B$109&amp;"!$A$4"):INDIRECT(""&amp;$B$109&amp;"!$o$4"),0),FALSE))</f>
        <v>-20081.874</v>
      </c>
      <c r="F144" s="74">
        <f ca="1">IF(ISERROR(VLOOKUP($B144,OFFSET(INDIRECT(""&amp;$B$109&amp;"!$A$4"),0,0,200,100),MATCH(F$110,INDIRECT(""&amp;$B$109&amp;"!$A$4"):INDIRECT(""&amp;$B$109&amp;"!$o$4"),0),FALSE)),"",VLOOKUP($B144,OFFSET(INDIRECT(""&amp;$B$109&amp;"!$A$4"),0,0,200,100),MATCH(F$110,INDIRECT(""&amp;$B$109&amp;"!$A$4"):INDIRECT(""&amp;$B$109&amp;"!$o$4"),0),FALSE))</f>
        <v>-35134.284599999999</v>
      </c>
      <c r="G144" s="74">
        <f ca="1">IF(ISERROR(VLOOKUP($B144,OFFSET(INDIRECT(""&amp;$B$109&amp;"!$A$4"),0,0,200,100),MATCH(G$110,INDIRECT(""&amp;$B$109&amp;"!$A$4"):INDIRECT(""&amp;$B$109&amp;"!$o$4"),0),FALSE)),"",VLOOKUP($B144,OFFSET(INDIRECT(""&amp;$B$109&amp;"!$A$4"),0,0,200,100),MATCH(G$110,INDIRECT(""&amp;$B$109&amp;"!$A$4"):INDIRECT(""&amp;$B$109&amp;"!$o$4"),0),FALSE))</f>
        <v>-30131.239399999999</v>
      </c>
      <c r="H144" s="74">
        <f ca="1">IF(ISERROR(VLOOKUP($B144,OFFSET(INDIRECT(""&amp;$B$109&amp;"!$A$4"),0,0,200,100),MATCH(H$110,INDIRECT(""&amp;$B$109&amp;"!$A$4"):INDIRECT(""&amp;$B$109&amp;"!$o$4"),0),FALSE)),"",VLOOKUP($B144,OFFSET(INDIRECT(""&amp;$B$109&amp;"!$A$4"),0,0,200,100),MATCH(H$110,INDIRECT(""&amp;$B$109&amp;"!$A$4"):INDIRECT(""&amp;$B$109&amp;"!$o$4"),0),FALSE))</f>
        <v>-15061.213</v>
      </c>
      <c r="I144" s="74">
        <f ca="1">IF(ISERROR(VLOOKUP($B144,OFFSET(INDIRECT(""&amp;$B$109&amp;"!$A$4"),0,0,200,100),MATCH(I$110,INDIRECT(""&amp;$B$109&amp;"!$A$4"):INDIRECT(""&amp;$B$109&amp;"!$o$4"),0),FALSE)),"",VLOOKUP($B144,OFFSET(INDIRECT(""&amp;$B$109&amp;"!$A$4"),0,0,200,100),MATCH(I$110,INDIRECT(""&amp;$B$109&amp;"!$A$4"):INDIRECT(""&amp;$B$109&amp;"!$o$4"),0),FALSE))</f>
        <v>-10539.6865</v>
      </c>
      <c r="J144" s="74">
        <f ca="1">IF(ISERROR(VLOOKUP($B144,OFFSET(INDIRECT(""&amp;$B$109&amp;"!$A$4"),0,0,200,100),MATCH(J$110,INDIRECT(""&amp;$B$109&amp;"!$A$4"):INDIRECT(""&amp;$B$109&amp;"!$o$4"),0),FALSE)),"",VLOOKUP($B144,OFFSET(INDIRECT(""&amp;$B$109&amp;"!$A$4"),0,0,200,100),MATCH(J$110,INDIRECT(""&amp;$B$109&amp;"!$A$4"):INDIRECT(""&amp;$B$109&amp;"!$o$4"),0),FALSE))</f>
        <v>-10539.6865</v>
      </c>
      <c r="K144" s="129" t="s">
        <v>376</v>
      </c>
      <c r="L144" s="190">
        <f ca="1">IF(ISERROR(VLOOKUP($K144,OFFSET(INDIRECT(""&amp;$S$109&amp;"!$A$4"),0,0,200,100),MATCH(L$110,INDIRECT(""&amp;$S$109&amp;"!$A$4"):INDIRECT(""&amp;$S$109&amp;"!$o$4"),0),FALSE)),"",VLOOKUP($K144,OFFSET(INDIRECT(""&amp;$S$109&amp;"!$A$4"),0,0,200,100),MATCH(L$110,INDIRECT(""&amp;$S$109&amp;"!$A$4"):INDIRECT(""&amp;$S$109&amp;"!$o$4"),0),FALSE))</f>
        <v>0</v>
      </c>
      <c r="M144" s="190">
        <f ca="1">IF(ISERROR(VLOOKUP($K144,OFFSET(INDIRECT(""&amp;$S$109&amp;"!$A$4"),0,0,200,100),MATCH(M$110,INDIRECT(""&amp;$S$109&amp;"!$A$4"):INDIRECT(""&amp;$S$109&amp;"!$o$4"),0),FALSE)),"",VLOOKUP($K144,OFFSET(INDIRECT(""&amp;$S$109&amp;"!$A$4"),0,0,200,100),MATCH(M$110,INDIRECT(""&amp;$S$109&amp;"!$A$4"):INDIRECT(""&amp;$S$109&amp;"!$o$4"),0),FALSE))</f>
        <v>0</v>
      </c>
      <c r="N144" s="190">
        <f ca="1">IF(ISERROR(VLOOKUP($K144,OFFSET(INDIRECT(""&amp;$S$109&amp;"!$A$4"),0,0,200,100),MATCH(N$110,INDIRECT(""&amp;$S$109&amp;"!$A$4"):INDIRECT(""&amp;$S$109&amp;"!$o$4"),0),FALSE)),"",VLOOKUP($K144,OFFSET(INDIRECT(""&amp;$S$109&amp;"!$A$4"),0,0,200,100),MATCH(N$110,INDIRECT(""&amp;$S$109&amp;"!$A$4"):INDIRECT(""&amp;$S$109&amp;"!$o$4"),0),FALSE))</f>
        <v>-20081.874</v>
      </c>
      <c r="O144" s="190">
        <f ca="1">IF(ISERROR(VLOOKUP($K144,OFFSET(INDIRECT(""&amp;$S$109&amp;"!$A$4"),0,0,200,100),MATCH(O$110,INDIRECT(""&amp;$S$109&amp;"!$A$4"):INDIRECT(""&amp;$S$109&amp;"!$o$4"),0),FALSE)),"",VLOOKUP($K144,OFFSET(INDIRECT(""&amp;$S$109&amp;"!$A$4"),0,0,200,100),MATCH(O$110,INDIRECT(""&amp;$S$109&amp;"!$A$4"):INDIRECT(""&amp;$S$109&amp;"!$o$4"),0),FALSE))</f>
        <v>-15052.410599999999</v>
      </c>
      <c r="P144" s="190">
        <f ca="1">IF(ISERROR(VLOOKUP($K144,OFFSET(INDIRECT(""&amp;$S$109&amp;"!$A$4"),0,0,200,100),MATCH(P$110,INDIRECT(""&amp;$S$109&amp;"!$A$4"):INDIRECT(""&amp;$S$109&amp;"!$o$4"),0),FALSE)),"",VLOOKUP($K144,OFFSET(INDIRECT(""&amp;$S$109&amp;"!$A$4"),0,0,200,100),MATCH(P$110,INDIRECT(""&amp;$S$109&amp;"!$A$4"):INDIRECT(""&amp;$S$109&amp;"!$o$4"),0),FALSE))</f>
        <v>0</v>
      </c>
      <c r="Q144" s="190">
        <f ca="1">IF(ISERROR(VLOOKUP($K144,OFFSET(INDIRECT(""&amp;$S$109&amp;"!$A$4"),0,0,200,100),MATCH(Q$110,INDIRECT(""&amp;$S$109&amp;"!$A$4"):INDIRECT(""&amp;$S$109&amp;"!$o$4"),0),FALSE)),"",VLOOKUP($K144,OFFSET(INDIRECT(""&amp;$S$109&amp;"!$A$4"),0,0,200,100),MATCH(Q$110,INDIRECT(""&amp;$S$109&amp;"!$A$4"):INDIRECT(""&amp;$S$109&amp;"!$o$4"),0),FALSE))</f>
        <v>0</v>
      </c>
      <c r="R144" s="190">
        <f ca="1">IF(ISERROR(VLOOKUP($K144,OFFSET(INDIRECT(""&amp;$S$109&amp;"!$A$4"),0,0,200,100),MATCH(R$110,INDIRECT(""&amp;$S$109&amp;"!$A$4"):INDIRECT(""&amp;$S$109&amp;"!$o$4"),0),FALSE)),"",VLOOKUP($K144,OFFSET(INDIRECT(""&amp;$S$109&amp;"!$A$4"),0,0,200,100),MATCH(R$110,INDIRECT(""&amp;$S$109&amp;"!$A$4"):INDIRECT(""&amp;$S$109&amp;"!$o$4"),0),FALSE))</f>
        <v>0</v>
      </c>
      <c r="S144" s="190">
        <f ca="1">IF(ISERROR(VLOOKUP($K144,OFFSET(INDIRECT(""&amp;$S$109&amp;"!$A$4"),0,0,200,100),MATCH(S$110,INDIRECT(""&amp;$S$109&amp;"!$A$4"):INDIRECT(""&amp;$S$109&amp;"!$o$4"),0),FALSE)),"",VLOOKUP($K144,OFFSET(INDIRECT(""&amp;$S$109&amp;"!$A$4"),0,0,200,100),MATCH(S$110,INDIRECT(""&amp;$S$109&amp;"!$A$4"):INDIRECT(""&amp;$S$109&amp;"!$o$4"),0),FALSE))</f>
        <v>-15062.208000000001</v>
      </c>
      <c r="T144" s="190">
        <f ca="1">IF(ISERROR(VLOOKUP($K144,OFFSET(INDIRECT(""&amp;$S$109&amp;"!$A$4"),0,0,200,100),MATCH(T$110,INDIRECT(""&amp;$S$109&amp;"!$A$4"):INDIRECT(""&amp;$S$109&amp;"!$o$4"),0),FALSE)),"",VLOOKUP($K144,OFFSET(INDIRECT(""&amp;$S$109&amp;"!$A$4"),0,0,200,100),MATCH(T$110,INDIRECT(""&amp;$S$109&amp;"!$A$4"):INDIRECT(""&amp;$S$109&amp;"!$o$4"),0),FALSE))</f>
        <v>0</v>
      </c>
      <c r="U144" s="190">
        <f ca="1">IF(ISERROR(VLOOKUP($K144,OFFSET(INDIRECT(""&amp;$S$109&amp;"!$A$4"),0,0,200,100),MATCH(U$110,INDIRECT(""&amp;$S$109&amp;"!$A$4"):INDIRECT(""&amp;$S$109&amp;"!$o$4"),0),FALSE)),"",VLOOKUP($K144,OFFSET(INDIRECT(""&amp;$S$109&amp;"!$A$4"),0,0,200,100),MATCH(U$110,INDIRECT(""&amp;$S$109&amp;"!$A$4"):INDIRECT(""&amp;$S$109&amp;"!$o$4"),0),FALSE))</f>
        <v>0</v>
      </c>
      <c r="V144" s="190">
        <f ca="1">IF(ISERROR(VLOOKUP($K144,OFFSET(INDIRECT(""&amp;$S$109&amp;"!$A$4"),0,0,200,100),MATCH(V$110,INDIRECT(""&amp;$S$109&amp;"!$A$4"):INDIRECT(""&amp;$S$109&amp;"!$o$4"),0),FALSE)),"",VLOOKUP($K144,OFFSET(INDIRECT(""&amp;$S$109&amp;"!$A$4"),0,0,200,100),MATCH(V$110,INDIRECT(""&amp;$S$109&amp;"!$A$4"):INDIRECT(""&amp;$S$109&amp;"!$o$4"),0),FALSE))</f>
        <v>0</v>
      </c>
      <c r="W144" s="190">
        <f ca="1">IF(ISERROR(VLOOKUP($K144,OFFSET(INDIRECT(""&amp;$S$109&amp;"!$A$4"),0,0,200,100),MATCH(W$110,INDIRECT(""&amp;$S$109&amp;"!$A$4"):INDIRECT(""&amp;$S$109&amp;"!$o$4"),0),FALSE)),"",VLOOKUP($K144,OFFSET(INDIRECT(""&amp;$S$109&amp;"!$A$4"),0,0,200,100),MATCH(W$110,INDIRECT(""&amp;$S$109&amp;"!$A$4"):INDIRECT(""&amp;$S$109&amp;"!$o$4"),0),FALSE))</f>
        <v>0</v>
      </c>
      <c r="X144" s="190">
        <f ca="1">IF(ISERROR(VLOOKUP($K144,OFFSET(INDIRECT(""&amp;$S$109&amp;"!$A$4"),0,0,200,100),MATCH(X$110,INDIRECT(""&amp;$S$109&amp;"!$A$4"):INDIRECT(""&amp;$S$109&amp;"!$o$4"),0),FALSE)),"",VLOOKUP($K144,OFFSET(INDIRECT(""&amp;$S$109&amp;"!$A$4"),0,0,200,100),MATCH(X$110,INDIRECT(""&amp;$S$109&amp;"!$A$4"):INDIRECT(""&amp;$S$109&amp;"!$o$4"),0),FALSE))</f>
        <v>0</v>
      </c>
      <c r="Y144" s="190">
        <f ca="1">IF(ISERROR(VLOOKUP($K144,OFFSET(INDIRECT(""&amp;$S$109&amp;"!$A$4"),0,0,200,100),MATCH(Y$110,INDIRECT(""&amp;$S$109&amp;"!$A$4"):INDIRECT(""&amp;$S$109&amp;"!$o$4"),0),FALSE)),"",VLOOKUP($K144,OFFSET(INDIRECT(""&amp;$S$109&amp;"!$A$4"),0,0,200,100),MATCH(Y$110,INDIRECT(""&amp;$S$109&amp;"!$A$4"):INDIRECT(""&amp;$S$109&amp;"!$o$4"),0),FALSE))</f>
        <v>0</v>
      </c>
      <c r="Z144" s="160">
        <f ca="1">IF(ISERROR(VLOOKUP($K144,OFFSET(INDIRECT(""&amp;$S$109&amp;"!$A$4"),0,0,200,100),MATCH(Z$110,INDIRECT(""&amp;$S$109&amp;"!$A$4"):INDIRECT(""&amp;$S$109&amp;"!$P$4"),0),FALSE)),"",VLOOKUP($K144,OFFSET(INDIRECT(""&amp;$S$109&amp;"!$A$4"),0,0,200,100),MATCH(Z$110,INDIRECT(""&amp;$S$109&amp;"!$A$4"):INDIRECT(""&amp;$S$109&amp;"!$P$4"),0),FALSE))</f>
        <v>0</v>
      </c>
      <c r="AA144" s="190"/>
      <c r="AC144" s="126"/>
      <c r="AD144" s="126"/>
      <c r="AE144" s="126"/>
      <c r="AF144" s="126"/>
      <c r="AG144" s="126"/>
      <c r="AH144" s="126"/>
      <c r="AI144" s="148"/>
      <c r="AJ144" s="148"/>
      <c r="AK144" s="148"/>
      <c r="AL144" s="148"/>
      <c r="AM144" s="148"/>
      <c r="AN144" s="148"/>
      <c r="AO144" s="126"/>
      <c r="AP144" s="126"/>
      <c r="AQ144" s="126"/>
      <c r="AR144" s="126"/>
      <c r="AS144" s="126"/>
      <c r="AT144" s="72"/>
      <c r="AU144" s="72"/>
      <c r="AV144" s="73"/>
      <c r="AW144" s="73"/>
      <c r="AX144" s="73"/>
      <c r="AY144" s="73"/>
      <c r="AZ144" s="73"/>
      <c r="BA144" s="73"/>
      <c r="BB144" s="73"/>
      <c r="BC144" s="73"/>
      <c r="BD144" s="73"/>
      <c r="BE144" s="73"/>
      <c r="BF144" s="73"/>
    </row>
    <row r="145" spans="1:58" s="128" customFormat="1" ht="15.95" customHeight="1">
      <c r="A145" s="116" t="s">
        <v>335</v>
      </c>
      <c r="B145" s="116" t="s">
        <v>378</v>
      </c>
      <c r="C145" s="160">
        <f ca="1">IF(ISERROR(VLOOKUP($B145,OFFSET(INDIRECT(""&amp;$B$109&amp;"!$A$4"),0,0,200,100),MATCH(C$110,INDIRECT(""&amp;$B$109&amp;"!$A$4"):INDIRECT(""&amp;$B$109&amp;"!$o$4"),0),FALSE)),"",VLOOKUP($B145,OFFSET(INDIRECT(""&amp;$B$109&amp;"!$A$4"),0,0,200,100),MATCH(C$110,INDIRECT(""&amp;$B$109&amp;"!$A$4"):INDIRECT(""&amp;$B$109&amp;"!$o$4"),0),FALSE))</f>
        <v>1212.394</v>
      </c>
      <c r="D145" s="160">
        <f ca="1">IF(ISERROR(VLOOKUP($B145,OFFSET(INDIRECT(""&amp;$B$109&amp;"!$A$4"),0,0,200,100),MATCH(D$110,INDIRECT(""&amp;$B$109&amp;"!$A$4"):INDIRECT(""&amp;$B$109&amp;"!$o$4"),0),FALSE)),"",VLOOKUP($B145,OFFSET(INDIRECT(""&amp;$B$109&amp;"!$A$4"),0,0,200,100),MATCH(D$110,INDIRECT(""&amp;$B$109&amp;"!$A$4"):INDIRECT(""&amp;$B$109&amp;"!$o$4"),0),FALSE))</f>
        <v>27240.113998000001</v>
      </c>
      <c r="E145" s="160">
        <f ca="1">IF(ISERROR(VLOOKUP($B145,OFFSET(INDIRECT(""&amp;$B$109&amp;"!$A$4"),0,0,200,100),MATCH(E$110,INDIRECT(""&amp;$B$109&amp;"!$A$4"):INDIRECT(""&amp;$B$109&amp;"!$o$4"),0),FALSE)),"",VLOOKUP($B145,OFFSET(INDIRECT(""&amp;$B$109&amp;"!$A$4"),0,0,200,100),MATCH(E$110,INDIRECT(""&amp;$B$109&amp;"!$A$4"):INDIRECT(""&amp;$B$109&amp;"!$o$4"),0),FALSE))</f>
        <v>-31229.146497999998</v>
      </c>
      <c r="F145" s="160">
        <f ca="1">IF(ISERROR(VLOOKUP($B145,OFFSET(INDIRECT(""&amp;$B$109&amp;"!$A$4"),0,0,200,100),MATCH(F$110,INDIRECT(""&amp;$B$109&amp;"!$A$4"):INDIRECT(""&amp;$B$109&amp;"!$o$4"),0),FALSE)),"",VLOOKUP($B145,OFFSET(INDIRECT(""&amp;$B$109&amp;"!$A$4"),0,0,200,100),MATCH(F$110,INDIRECT(""&amp;$B$109&amp;"!$A$4"):INDIRECT(""&amp;$B$109&amp;"!$o$4"),0),FALSE))</f>
        <v>-5134.2846</v>
      </c>
      <c r="G145" s="160">
        <f ca="1">IF(ISERROR(VLOOKUP($B145,OFFSET(INDIRECT(""&amp;$B$109&amp;"!$A$4"),0,0,200,100),MATCH(G$110,INDIRECT(""&amp;$B$109&amp;"!$A$4"):INDIRECT(""&amp;$B$109&amp;"!$o$4"),0),FALSE)),"",VLOOKUP($B145,OFFSET(INDIRECT(""&amp;$B$109&amp;"!$A$4"),0,0,200,100),MATCH(G$110,INDIRECT(""&amp;$B$109&amp;"!$A$4"):INDIRECT(""&amp;$B$109&amp;"!$o$4"),0),FALSE))</f>
        <v>-25893.289849000001</v>
      </c>
      <c r="H145" s="160">
        <f ca="1">IF(ISERROR(VLOOKUP($B145,OFFSET(INDIRECT(""&amp;$B$109&amp;"!$A$4"),0,0,200,100),MATCH(H$110,INDIRECT(""&amp;$B$109&amp;"!$A$4"):INDIRECT(""&amp;$B$109&amp;"!$o$4"),0),FALSE)),"",VLOOKUP($B145,OFFSET(INDIRECT(""&amp;$B$109&amp;"!$A$4"),0,0,200,100),MATCH(H$110,INDIRECT(""&amp;$B$109&amp;"!$A$4"):INDIRECT(""&amp;$B$109&amp;"!$o$4"),0),FALSE))</f>
        <v>-18372.229023</v>
      </c>
      <c r="I145" s="160">
        <f ca="1">IF(ISERROR(VLOOKUP($B145,OFFSET(INDIRECT(""&amp;$B$109&amp;"!$A$4"),0,0,200,100),MATCH(I$110,INDIRECT(""&amp;$B$109&amp;"!$A$4"):INDIRECT(""&amp;$B$109&amp;"!$o$4"),0),FALSE)),"",VLOOKUP($B145,OFFSET(INDIRECT(""&amp;$B$109&amp;"!$A$4"),0,0,200,100),MATCH(I$110,INDIRECT(""&amp;$B$109&amp;"!$A$4"):INDIRECT(""&amp;$B$109&amp;"!$o$4"),0),FALSE))</f>
        <v>-23946.184613000001</v>
      </c>
      <c r="J145" s="160">
        <f ca="1">IF(ISERROR(VLOOKUP($B145,OFFSET(INDIRECT(""&amp;$B$109&amp;"!$A$4"),0,0,200,100),MATCH(J$110,INDIRECT(""&amp;$B$109&amp;"!$A$4"):INDIRECT(""&amp;$B$109&amp;"!$o$4"),0),FALSE)),"",VLOOKUP($B145,OFFSET(INDIRECT(""&amp;$B$109&amp;"!$A$4"),0,0,200,100),MATCH(J$110,INDIRECT(""&amp;$B$109&amp;"!$A$4"):INDIRECT(""&amp;$B$109&amp;"!$o$4"),0),FALSE))</f>
        <v>-23946.184613000001</v>
      </c>
      <c r="K145" s="129" t="s">
        <v>378</v>
      </c>
      <c r="L145" s="160">
        <f ca="1">IF(ISERROR(VLOOKUP($K145,OFFSET(INDIRECT(""&amp;$S$109&amp;"!$A$4"),0,0,200,100),MATCH(L$110,INDIRECT(""&amp;$S$109&amp;"!$A$4"):INDIRECT(""&amp;$S$109&amp;"!$o$4"),0),FALSE)),"",VLOOKUP($K145,OFFSET(INDIRECT(""&amp;$S$109&amp;"!$A$4"),0,0,200,100),MATCH(L$110,INDIRECT(""&amp;$S$109&amp;"!$A$4"):INDIRECT(""&amp;$S$109&amp;"!$o$4"),0),FALSE))</f>
        <v>0</v>
      </c>
      <c r="M145" s="160">
        <f ca="1">IF(ISERROR(VLOOKUP($K145,OFFSET(INDIRECT(""&amp;$S$109&amp;"!$A$4"),0,0,200,100),MATCH(M$110,INDIRECT(""&amp;$S$109&amp;"!$A$4"):INDIRECT(""&amp;$S$109&amp;"!$o$4"),0),FALSE)),"",VLOOKUP($K145,OFFSET(INDIRECT(""&amp;$S$109&amp;"!$A$4"),0,0,200,100),MATCH(M$110,INDIRECT(""&amp;$S$109&amp;"!$A$4"):INDIRECT(""&amp;$S$109&amp;"!$o$4"),0),FALSE))</f>
        <v>4300</v>
      </c>
      <c r="N145" s="160">
        <f ca="1">IF(ISERROR(VLOOKUP($K145,OFFSET(INDIRECT(""&amp;$S$109&amp;"!$A$4"),0,0,200,100),MATCH(N$110,INDIRECT(""&amp;$S$109&amp;"!$A$4"):INDIRECT(""&amp;$S$109&amp;"!$o$4"),0),FALSE)),"",VLOOKUP($K145,OFFSET(INDIRECT(""&amp;$S$109&amp;"!$A$4"),0,0,200,100),MATCH(N$110,INDIRECT(""&amp;$S$109&amp;"!$A$4"):INDIRECT(""&amp;$S$109&amp;"!$o$4"),0),FALSE))</f>
        <v>6418.1260000000002</v>
      </c>
      <c r="O145" s="160">
        <f ca="1">IF(ISERROR(VLOOKUP($K145,OFFSET(INDIRECT(""&amp;$S$109&amp;"!$A$4"),0,0,200,100),MATCH(O$110,INDIRECT(""&amp;$S$109&amp;"!$A$4"):INDIRECT(""&amp;$S$109&amp;"!$o$4"),0),FALSE)),"",VLOOKUP($K145,OFFSET(INDIRECT(""&amp;$S$109&amp;"!$A$4"),0,0,200,100),MATCH(O$110,INDIRECT(""&amp;$S$109&amp;"!$A$4"):INDIRECT(""&amp;$S$109&amp;"!$o$4"),0),FALSE))</f>
        <v>-5052.4106000000002</v>
      </c>
      <c r="P145" s="160">
        <f ca="1">IF(ISERROR(VLOOKUP($K145,OFFSET(INDIRECT(""&amp;$S$109&amp;"!$A$4"),0,0,200,100),MATCH(P$110,INDIRECT(""&amp;$S$109&amp;"!$A$4"):INDIRECT(""&amp;$S$109&amp;"!$o$4"),0),FALSE)),"",VLOOKUP($K145,OFFSET(INDIRECT(""&amp;$S$109&amp;"!$A$4"),0,0,200,100),MATCH(P$110,INDIRECT(""&amp;$S$109&amp;"!$A$4"):INDIRECT(""&amp;$S$109&amp;"!$o$4"),0),FALSE))</f>
        <v>10000</v>
      </c>
      <c r="Q145" s="160">
        <f ca="1">IF(ISERROR(VLOOKUP($K145,OFFSET(INDIRECT(""&amp;$S$109&amp;"!$A$4"),0,0,200,100),MATCH(Q$110,INDIRECT(""&amp;$S$109&amp;"!$A$4"):INDIRECT(""&amp;$S$109&amp;"!$o$4"),0),FALSE)),"",VLOOKUP($K145,OFFSET(INDIRECT(""&amp;$S$109&amp;"!$A$4"),0,0,200,100),MATCH(Q$110,INDIRECT(""&amp;$S$109&amp;"!$A$4"):INDIRECT(""&amp;$S$109&amp;"!$o$4"),0),FALSE))</f>
        <v>0</v>
      </c>
      <c r="R145" s="160">
        <f ca="1">IF(ISERROR(VLOOKUP($K145,OFFSET(INDIRECT(""&amp;$S$109&amp;"!$A$4"),0,0,200,100),MATCH(R$110,INDIRECT(""&amp;$S$109&amp;"!$A$4"):INDIRECT(""&amp;$S$109&amp;"!$o$4"),0),FALSE)),"",VLOOKUP($K145,OFFSET(INDIRECT(""&amp;$S$109&amp;"!$A$4"),0,0,200,100),MATCH(R$110,INDIRECT(""&amp;$S$109&amp;"!$A$4"):INDIRECT(""&amp;$S$109&amp;"!$o$4"),0),FALSE))</f>
        <v>0</v>
      </c>
      <c r="S145" s="160">
        <f ca="1">IF(ISERROR(VLOOKUP($K145,OFFSET(INDIRECT(""&amp;$S$109&amp;"!$A$4"),0,0,200,100),MATCH(S$110,INDIRECT(""&amp;$S$109&amp;"!$A$4"):INDIRECT(""&amp;$S$109&amp;"!$o$4"),0),FALSE)),"",VLOOKUP($K145,OFFSET(INDIRECT(""&amp;$S$109&amp;"!$A$4"),0,0,200,100),MATCH(S$110,INDIRECT(""&amp;$S$109&amp;"!$A$4"):INDIRECT(""&amp;$S$109&amp;"!$o$4"),0),FALSE))</f>
        <v>-43806.293845</v>
      </c>
      <c r="T145" s="160">
        <f ca="1">IF(ISERROR(VLOOKUP($K145,OFFSET(INDIRECT(""&amp;$S$109&amp;"!$A$4"),0,0,200,100),MATCH(T$110,INDIRECT(""&amp;$S$109&amp;"!$A$4"):INDIRECT(""&amp;$S$109&amp;"!$o$4"),0),FALSE)),"",VLOOKUP($K145,OFFSET(INDIRECT(""&amp;$S$109&amp;"!$A$4"),0,0,200,100),MATCH(T$110,INDIRECT(""&amp;$S$109&amp;"!$A$4"):INDIRECT(""&amp;$S$109&amp;"!$o$4"),0),FALSE))</f>
        <v>-27951.143895000001</v>
      </c>
      <c r="U145" s="160">
        <f ca="1">IF(ISERROR(VLOOKUP($K145,OFFSET(INDIRECT(""&amp;$S$109&amp;"!$A$4"),0,0,200,100),MATCH(U$110,INDIRECT(""&amp;$S$109&amp;"!$A$4"):INDIRECT(""&amp;$S$109&amp;"!$o$4"),0),FALSE)),"",VLOOKUP($K145,OFFSET(INDIRECT(""&amp;$S$109&amp;"!$A$4"),0,0,200,100),MATCH(U$110,INDIRECT(""&amp;$S$109&amp;"!$A$4"):INDIRECT(""&amp;$S$109&amp;"!$o$4"),0),FALSE))</f>
        <v>-4572.517374</v>
      </c>
      <c r="V145" s="160">
        <f ca="1">IF(ISERROR(VLOOKUP($K145,OFFSET(INDIRECT(""&amp;$S$109&amp;"!$A$4"),0,0,200,100),MATCH(V$110,INDIRECT(""&amp;$S$109&amp;"!$A$4"):INDIRECT(""&amp;$S$109&amp;"!$o$4"),0),FALSE)),"",VLOOKUP($K145,OFFSET(INDIRECT(""&amp;$S$109&amp;"!$A$4"),0,0,200,100),MATCH(V$110,INDIRECT(""&amp;$S$109&amp;"!$A$4"):INDIRECT(""&amp;$S$109&amp;"!$o$4"),0),FALSE))</f>
        <v>-30307.159075</v>
      </c>
      <c r="W145" s="160">
        <f ca="1">IF(ISERROR(VLOOKUP($K145,OFFSET(INDIRECT(""&amp;$S$109&amp;"!$A$4"),0,0,200,100),MATCH(W$110,INDIRECT(""&amp;$S$109&amp;"!$A$4"):INDIRECT(""&amp;$S$109&amp;"!$o$4"),0),FALSE)),"",VLOOKUP($K145,OFFSET(INDIRECT(""&amp;$S$109&amp;"!$A$4"),0,0,200,100),MATCH(W$110,INDIRECT(""&amp;$S$109&amp;"!$A$4"):INDIRECT(""&amp;$S$109&amp;"!$o$4"),0),FALSE))</f>
        <v>-17573.876232999999</v>
      </c>
      <c r="X145" s="160">
        <f ca="1">IF(ISERROR(VLOOKUP($K145,OFFSET(INDIRECT(""&amp;$S$109&amp;"!$A$4"),0,0,200,100),MATCH(X$110,INDIRECT(""&amp;$S$109&amp;"!$A$4"):INDIRECT(""&amp;$S$109&amp;"!$o$4"),0),FALSE)),"",VLOOKUP($K145,OFFSET(INDIRECT(""&amp;$S$109&amp;"!$A$4"),0,0,200,100),MATCH(X$110,INDIRECT(""&amp;$S$109&amp;"!$A$4"):INDIRECT(""&amp;$S$109&amp;"!$o$4"),0),FALSE))</f>
        <v>-10640.837869999999</v>
      </c>
      <c r="Y145" s="160">
        <f ca="1">IF(ISERROR(VLOOKUP($K145,OFFSET(INDIRECT(""&amp;$S$109&amp;"!$A$4"),0,0,200,100),MATCH(Y$110,INDIRECT(""&amp;$S$109&amp;"!$A$4"):INDIRECT(""&amp;$S$109&amp;"!$o$4"),0),FALSE)),"",VLOOKUP($K145,OFFSET(INDIRECT(""&amp;$S$109&amp;"!$A$4"),0,0,200,100),MATCH(Y$110,INDIRECT(""&amp;$S$109&amp;"!$A$4"):INDIRECT(""&amp;$S$109&amp;"!$o$4"),0),FALSE))</f>
        <v>-24031.963835999999</v>
      </c>
      <c r="Z145" s="160">
        <f ca="1">IF(ISERROR(VLOOKUP($K145,OFFSET(INDIRECT(""&amp;$S$109&amp;"!$A$4"),0,0,200,100),MATCH(Z$110,INDIRECT(""&amp;$S$109&amp;"!$A$4"):INDIRECT(""&amp;$S$109&amp;"!$P$4"),0),FALSE)),"",VLOOKUP($K145,OFFSET(INDIRECT(""&amp;$S$109&amp;"!$A$4"),0,0,200,100),MATCH(Z$110,INDIRECT(""&amp;$S$109&amp;"!$A$4"):INDIRECT(""&amp;$S$109&amp;"!$P$4"),0),FALSE))</f>
        <v>-30473.787279</v>
      </c>
      <c r="AA145" s="160"/>
      <c r="AC145" s="126"/>
      <c r="AD145" s="126"/>
      <c r="AE145" s="126"/>
      <c r="AF145" s="126"/>
      <c r="AG145" s="126"/>
      <c r="AH145" s="126"/>
      <c r="AI145" s="148"/>
      <c r="AJ145" s="148"/>
      <c r="AK145" s="148"/>
      <c r="AL145" s="148"/>
      <c r="AM145" s="148"/>
      <c r="AN145" s="148"/>
      <c r="AO145" s="126"/>
      <c r="AP145" s="126"/>
      <c r="AQ145" s="126"/>
      <c r="AR145" s="126"/>
      <c r="AS145" s="126"/>
      <c r="AT145" s="72"/>
      <c r="AU145" s="72"/>
      <c r="AV145" s="73"/>
      <c r="AW145" s="73"/>
      <c r="AX145" s="73"/>
      <c r="AY145" s="73"/>
      <c r="AZ145" s="73"/>
      <c r="BA145" s="73"/>
      <c r="BB145" s="73"/>
      <c r="BC145" s="73"/>
      <c r="BD145" s="73"/>
      <c r="BE145" s="73"/>
      <c r="BF145" s="73"/>
    </row>
    <row r="146" spans="1:58" s="128" customFormat="1" ht="15.95" customHeight="1">
      <c r="A146" s="116" t="s">
        <v>336</v>
      </c>
      <c r="B146" s="116" t="s">
        <v>84</v>
      </c>
      <c r="C146" s="160">
        <f ca="1">IF(ISERROR(VLOOKUP($B146,OFFSET(INDIRECT(""&amp;$B$109&amp;"!$A$4"),0,0,200,100),MATCH(C$110,INDIRECT(""&amp;$B$109&amp;"!$A$4"):INDIRECT(""&amp;$B$109&amp;"!$o$4"),0),FALSE)),"",VLOOKUP($B146,OFFSET(INDIRECT(""&amp;$B$109&amp;"!$A$4"),0,0,200,100),MATCH(C$110,INDIRECT(""&amp;$B$109&amp;"!$A$4"):INDIRECT(""&amp;$B$109&amp;"!$o$4"),0),FALSE))</f>
        <v>-47870.987071000003</v>
      </c>
      <c r="D146" s="160">
        <f ca="1">IF(ISERROR(VLOOKUP($B146,OFFSET(INDIRECT(""&amp;$B$109&amp;"!$A$4"),0,0,200,100),MATCH(D$110,INDIRECT(""&amp;$B$109&amp;"!$A$4"):INDIRECT(""&amp;$B$109&amp;"!$o$4"),0),FALSE)),"",VLOOKUP($B146,OFFSET(INDIRECT(""&amp;$B$109&amp;"!$A$4"),0,0,200,100),MATCH(D$110,INDIRECT(""&amp;$B$109&amp;"!$A$4"):INDIRECT(""&amp;$B$109&amp;"!$o$4"),0),FALSE))</f>
        <v>2454.7698489999998</v>
      </c>
      <c r="E146" s="160">
        <f ca="1">IF(ISERROR(VLOOKUP($B146,OFFSET(INDIRECT(""&amp;$B$109&amp;"!$A$4"),0,0,200,100),MATCH(E$110,INDIRECT(""&amp;$B$109&amp;"!$A$4"):INDIRECT(""&amp;$B$109&amp;"!$o$4"),0),FALSE)),"",VLOOKUP($B146,OFFSET(INDIRECT(""&amp;$B$109&amp;"!$A$4"),0,0,200,100),MATCH(E$110,INDIRECT(""&amp;$B$109&amp;"!$A$4"):INDIRECT(""&amp;$B$109&amp;"!$o$4"),0),FALSE))</f>
        <v>18447.896831999999</v>
      </c>
      <c r="F146" s="160">
        <f ca="1">IF(ISERROR(VLOOKUP($B146,OFFSET(INDIRECT(""&amp;$B$109&amp;"!$A$4"),0,0,200,100),MATCH(F$110,INDIRECT(""&amp;$B$109&amp;"!$A$4"):INDIRECT(""&amp;$B$109&amp;"!$o$4"),0),FALSE)),"",VLOOKUP($B146,OFFSET(INDIRECT(""&amp;$B$109&amp;"!$A$4"),0,0,200,100),MATCH(F$110,INDIRECT(""&amp;$B$109&amp;"!$A$4"):INDIRECT(""&amp;$B$109&amp;"!$o$4"),0),FALSE))</f>
        <v>-17495.961815999999</v>
      </c>
      <c r="G146" s="160">
        <f ca="1">IF(ISERROR(VLOOKUP($B146,OFFSET(INDIRECT(""&amp;$B$109&amp;"!$A$4"),0,0,200,100),MATCH(G$110,INDIRECT(""&amp;$B$109&amp;"!$A$4"):INDIRECT(""&amp;$B$109&amp;"!$o$4"),0),FALSE)),"",VLOOKUP($B146,OFFSET(INDIRECT(""&amp;$B$109&amp;"!$A$4"),0,0,200,100),MATCH(G$110,INDIRECT(""&amp;$B$109&amp;"!$A$4"):INDIRECT(""&amp;$B$109&amp;"!$o$4"),0),FALSE))</f>
        <v>9810.9613449999997</v>
      </c>
      <c r="H146" s="160">
        <f ca="1">IF(ISERROR(VLOOKUP($B146,OFFSET(INDIRECT(""&amp;$B$109&amp;"!$A$4"),0,0,200,100),MATCH(H$110,INDIRECT(""&amp;$B$109&amp;"!$A$4"):INDIRECT(""&amp;$B$109&amp;"!$o$4"),0),FALSE)),"",VLOOKUP($B146,OFFSET(INDIRECT(""&amp;$B$109&amp;"!$A$4"),0,0,200,100),MATCH(H$110,INDIRECT(""&amp;$B$109&amp;"!$A$4"):INDIRECT(""&amp;$B$109&amp;"!$o$4"),0),FALSE))</f>
        <v>1217.857939</v>
      </c>
      <c r="I146" s="160">
        <f ca="1">IF(ISERROR(VLOOKUP($B146,OFFSET(INDIRECT(""&amp;$B$109&amp;"!$A$4"),0,0,200,100),MATCH(I$110,INDIRECT(""&amp;$B$109&amp;"!$A$4"):INDIRECT(""&amp;$B$109&amp;"!$o$4"),0),FALSE)),"",VLOOKUP($B146,OFFSET(INDIRECT(""&amp;$B$109&amp;"!$A$4"),0,0,200,100),MATCH(I$110,INDIRECT(""&amp;$B$109&amp;"!$A$4"):INDIRECT(""&amp;$B$109&amp;"!$o$4"),0),FALSE))</f>
        <v>-4788.9018450000003</v>
      </c>
      <c r="J146" s="160">
        <f ca="1">IF(ISERROR(VLOOKUP($B146,OFFSET(INDIRECT(""&amp;$B$109&amp;"!$A$4"),0,0,200,100),MATCH(J$110,INDIRECT(""&amp;$B$109&amp;"!$A$4"):INDIRECT(""&amp;$B$109&amp;"!$o$4"),0),FALSE)),"",VLOOKUP($B146,OFFSET(INDIRECT(""&amp;$B$109&amp;"!$A$4"),0,0,200,100),MATCH(J$110,INDIRECT(""&amp;$B$109&amp;"!$A$4"):INDIRECT(""&amp;$B$109&amp;"!$o$4"),0),FALSE))</f>
        <v>-4788.9018450000003</v>
      </c>
      <c r="K146" s="129" t="s">
        <v>84</v>
      </c>
      <c r="L146" s="160"/>
      <c r="M146" s="160"/>
      <c r="N146" s="160"/>
      <c r="O146" s="160"/>
      <c r="P146" s="160"/>
      <c r="Q146" s="160"/>
      <c r="R146" s="160"/>
      <c r="S146" s="160"/>
      <c r="T146" s="160"/>
      <c r="U146" s="160"/>
      <c r="V146" s="160"/>
      <c r="W146" s="160"/>
      <c r="X146" s="160"/>
      <c r="Y146" s="160"/>
      <c r="Z146" s="160">
        <f ca="1">IF(ISERROR(VLOOKUP($K146,OFFSET(INDIRECT(""&amp;$S$109&amp;"!$A$4"),0,0,200,100),MATCH(Z$110,INDIRECT(""&amp;$S$109&amp;"!$A$4"):INDIRECT(""&amp;$S$109&amp;"!$P$4"),0),FALSE)),"",VLOOKUP($K146,OFFSET(INDIRECT(""&amp;$S$109&amp;"!$A$4"),0,0,200,100),MATCH(Z$110,INDIRECT(""&amp;$S$109&amp;"!$A$4"):INDIRECT(""&amp;$S$109&amp;"!$P$4"),0),FALSE))</f>
        <v>-2401.5497869999999</v>
      </c>
      <c r="AA146" s="160"/>
      <c r="AC146" s="126"/>
      <c r="AD146" s="126"/>
      <c r="AE146" s="126"/>
      <c r="AF146" s="126"/>
      <c r="AG146" s="126"/>
      <c r="AH146" s="126"/>
      <c r="AI146" s="148"/>
      <c r="AJ146" s="148"/>
      <c r="AK146" s="148"/>
      <c r="AL146" s="148"/>
      <c r="AM146" s="148"/>
      <c r="AN146" s="148"/>
      <c r="AO146" s="126"/>
      <c r="AP146" s="126"/>
      <c r="AQ146" s="126"/>
      <c r="AR146" s="126"/>
      <c r="AS146" s="126"/>
      <c r="AT146" s="72"/>
      <c r="AU146" s="72"/>
      <c r="AV146" s="73"/>
      <c r="AW146" s="73"/>
      <c r="AX146" s="73"/>
      <c r="AY146" s="73"/>
      <c r="AZ146" s="73"/>
      <c r="BA146" s="73"/>
      <c r="BB146" s="73"/>
      <c r="BC146" s="73"/>
      <c r="BD146" s="73"/>
      <c r="BE146" s="73"/>
      <c r="BF146" s="73"/>
    </row>
    <row r="147" spans="1:58" s="128" customFormat="1" ht="15.95" customHeight="1">
      <c r="A147" s="116" t="s">
        <v>764</v>
      </c>
      <c r="B147" s="116" t="s">
        <v>85</v>
      </c>
      <c r="C147" s="74">
        <f ca="1">IF(ISERROR(VLOOKUP($B147,OFFSET(INDIRECT(""&amp;$B$109&amp;"!$A$4"),0,0,200,100),MATCH(C$110,INDIRECT(""&amp;$B$109&amp;"!$A$4"):INDIRECT(""&amp;$B$109&amp;"!$o$4"),0),FALSE)),"",VLOOKUP($B147,OFFSET(INDIRECT(""&amp;$B$109&amp;"!$A$4"),0,0,200,100),MATCH(C$110,INDIRECT(""&amp;$B$109&amp;"!$A$4"):INDIRECT(""&amp;$B$109&amp;"!$o$4"),0),FALSE))</f>
        <v>52294.54522</v>
      </c>
      <c r="D147" s="74">
        <f ca="1">IF(ISERROR(VLOOKUP($B147,OFFSET(INDIRECT(""&amp;$B$109&amp;"!$A$4"),0,0,200,100),MATCH(D$110,INDIRECT(""&amp;$B$109&amp;"!$A$4"):INDIRECT(""&amp;$B$109&amp;"!$o$4"),0),FALSE)),"",VLOOKUP($B147,OFFSET(INDIRECT(""&amp;$B$109&amp;"!$A$4"),0,0,200,100),MATCH(D$110,INDIRECT(""&amp;$B$109&amp;"!$A$4"):INDIRECT(""&amp;$B$109&amp;"!$o$4"),0),FALSE))</f>
        <v>4423.5581490000004</v>
      </c>
      <c r="E147" s="74">
        <f ca="1">IF(ISERROR(VLOOKUP($B147,OFFSET(INDIRECT(""&amp;$B$109&amp;"!$A$4"),0,0,200,100),MATCH(E$110,INDIRECT(""&amp;$B$109&amp;"!$A$4"):INDIRECT(""&amp;$B$109&amp;"!$o$4"),0),FALSE)),"",VLOOKUP($B147,OFFSET(INDIRECT(""&amp;$B$109&amp;"!$A$4"),0,0,200,100),MATCH(E$110,INDIRECT(""&amp;$B$109&amp;"!$A$4"):INDIRECT(""&amp;$B$109&amp;"!$o$4"),0),FALSE))</f>
        <v>6878.3279979999998</v>
      </c>
      <c r="F147" s="74">
        <f ca="1">IF(ISERROR(VLOOKUP($B147,OFFSET(INDIRECT(""&amp;$B$109&amp;"!$A$4"),0,0,200,100),MATCH(F$110,INDIRECT(""&amp;$B$109&amp;"!$A$4"):INDIRECT(""&amp;$B$109&amp;"!$o$4"),0),FALSE)),"",VLOOKUP($B147,OFFSET(INDIRECT(""&amp;$B$109&amp;"!$A$4"),0,0,200,100),MATCH(F$110,INDIRECT(""&amp;$B$109&amp;"!$A$4"):INDIRECT(""&amp;$B$109&amp;"!$o$4"),0),FALSE))</f>
        <v>25326.224829999999</v>
      </c>
      <c r="G147" s="74">
        <f ca="1">IF(ISERROR(VLOOKUP($B147,OFFSET(INDIRECT(""&amp;$B$109&amp;"!$A$4"),0,0,200,100),MATCH(G$110,INDIRECT(""&amp;$B$109&amp;"!$A$4"):INDIRECT(""&amp;$B$109&amp;"!$o$4"),0),FALSE)),"",VLOOKUP($B147,OFFSET(INDIRECT(""&amp;$B$109&amp;"!$A$4"),0,0,200,100),MATCH(G$110,INDIRECT(""&amp;$B$109&amp;"!$A$4"):INDIRECT(""&amp;$B$109&amp;"!$o$4"),0),FALSE))</f>
        <v>7830.2630140000001</v>
      </c>
      <c r="H147" s="74">
        <f ca="1">IF(ISERROR(VLOOKUP($B147,OFFSET(INDIRECT(""&amp;$B$109&amp;"!$A$4"),0,0,200,100),MATCH(H$110,INDIRECT(""&amp;$B$109&amp;"!$A$4"):INDIRECT(""&amp;$B$109&amp;"!$o$4"),0),FALSE)),"",VLOOKUP($B147,OFFSET(INDIRECT(""&amp;$B$109&amp;"!$A$4"),0,0,200,100),MATCH(H$110,INDIRECT(""&amp;$B$109&amp;"!$A$4"):INDIRECT(""&amp;$B$109&amp;"!$o$4"),0),FALSE))</f>
        <v>17641.224359</v>
      </c>
      <c r="I147" s="74">
        <f ca="1">IF(ISERROR(VLOOKUP($B147,OFFSET(INDIRECT(""&amp;$B$109&amp;"!$A$4"),0,0,200,100),MATCH(I$110,INDIRECT(""&amp;$B$109&amp;"!$A$4"):INDIRECT(""&amp;$B$109&amp;"!$o$4"),0),FALSE)),"",VLOOKUP($B147,OFFSET(INDIRECT(""&amp;$B$109&amp;"!$A$4"),0,0,200,100),MATCH(I$110,INDIRECT(""&amp;$B$109&amp;"!$A$4"):INDIRECT(""&amp;$B$109&amp;"!$o$4"),0),FALSE))</f>
        <v>18859.082298000001</v>
      </c>
      <c r="J147" s="74">
        <f ca="1">IF(ISERROR(VLOOKUP($B147,OFFSET(INDIRECT(""&amp;$B$109&amp;"!$A$4"),0,0,200,100),MATCH(J$110,INDIRECT(""&amp;$B$109&amp;"!$A$4"):INDIRECT(""&amp;$B$109&amp;"!$o$4"),0),FALSE)),"",VLOOKUP($B147,OFFSET(INDIRECT(""&amp;$B$109&amp;"!$A$4"),0,0,200,100),MATCH(J$110,INDIRECT(""&amp;$B$109&amp;"!$A$4"):INDIRECT(""&amp;$B$109&amp;"!$o$4"),0),FALSE))</f>
        <v>18859.082298000001</v>
      </c>
      <c r="K147" s="129" t="s">
        <v>85</v>
      </c>
      <c r="L147" s="160">
        <f ca="1">IF(ISERROR(VLOOKUP($K147,OFFSET(INDIRECT(""&amp;$S$109&amp;"!$A$4"),0,0,200,100),MATCH(L$110,INDIRECT(""&amp;$S$109&amp;"!$A$4"):INDIRECT(""&amp;$S$109&amp;"!$o$4"),0),FALSE)),"",VLOOKUP($K147,OFFSET(INDIRECT(""&amp;$S$109&amp;"!$A$4"),0,0,200,100),MATCH(L$110,INDIRECT(""&amp;$S$109&amp;"!$A$4"):INDIRECT(""&amp;$S$109&amp;"!$o$4"),0),FALSE))</f>
        <v>25326.224829999999</v>
      </c>
      <c r="M147" s="160">
        <f ca="1">IF(ISERROR(VLOOKUP($K147,OFFSET(INDIRECT(""&amp;$S$109&amp;"!$A$4"),0,0,200,100),MATCH(M$110,INDIRECT(""&amp;$S$109&amp;"!$A$4"):INDIRECT(""&amp;$S$109&amp;"!$o$4"),0),FALSE)),"",VLOOKUP($K147,OFFSET(INDIRECT(""&amp;$S$109&amp;"!$A$4"),0,0,200,100),MATCH(M$110,INDIRECT(""&amp;$S$109&amp;"!$A$4"):INDIRECT(""&amp;$S$109&amp;"!$o$4"),0),FALSE))</f>
        <v>25326.224829999999</v>
      </c>
      <c r="N147" s="160">
        <f ca="1">IF(ISERROR(VLOOKUP($K147,OFFSET(INDIRECT(""&amp;$S$109&amp;"!$A$4"),0,0,200,100),MATCH(N$110,INDIRECT(""&amp;$S$109&amp;"!$A$4"):INDIRECT(""&amp;$S$109&amp;"!$o$4"),0),FALSE)),"",VLOOKUP($K147,OFFSET(INDIRECT(""&amp;$S$109&amp;"!$A$4"),0,0,200,100),MATCH(N$110,INDIRECT(""&amp;$S$109&amp;"!$A$4"):INDIRECT(""&amp;$S$109&amp;"!$o$4"),0),FALSE))</f>
        <v>25326.224829999999</v>
      </c>
      <c r="O147" s="160">
        <f ca="1">IF(ISERROR(VLOOKUP($K147,OFFSET(INDIRECT(""&amp;$S$109&amp;"!$A$4"),0,0,200,100),MATCH(O$110,INDIRECT(""&amp;$S$109&amp;"!$A$4"):INDIRECT(""&amp;$S$109&amp;"!$o$4"),0),FALSE)),"",VLOOKUP($K147,OFFSET(INDIRECT(""&amp;$S$109&amp;"!$A$4"),0,0,200,100),MATCH(O$110,INDIRECT(""&amp;$S$109&amp;"!$A$4"):INDIRECT(""&amp;$S$109&amp;"!$o$4"),0),FALSE))</f>
        <v>16934.014331999999</v>
      </c>
      <c r="P147" s="160">
        <f ca="1">IF(ISERROR(VLOOKUP($K147,OFFSET(INDIRECT(""&amp;$S$109&amp;"!$A$4"),0,0,200,100),MATCH(P$110,INDIRECT(""&amp;$S$109&amp;"!$A$4"):INDIRECT(""&amp;$S$109&amp;"!$o$4"),0),FALSE)),"",VLOOKUP($K147,OFFSET(INDIRECT(""&amp;$S$109&amp;"!$A$4"),0,0,200,100),MATCH(P$110,INDIRECT(""&amp;$S$109&amp;"!$A$4"):INDIRECT(""&amp;$S$109&amp;"!$o$4"),0),FALSE))</f>
        <v>7830.2630140000001</v>
      </c>
      <c r="Q147" s="160">
        <f ca="1">IF(ISERROR(VLOOKUP($K147,OFFSET(INDIRECT(""&amp;$S$109&amp;"!$A$4"),0,0,200,100),MATCH(Q$110,INDIRECT(""&amp;$S$109&amp;"!$A$4"):INDIRECT(""&amp;$S$109&amp;"!$o$4"),0),FALSE)),"",VLOOKUP($K147,OFFSET(INDIRECT(""&amp;$S$109&amp;"!$A$4"),0,0,200,100),MATCH(Q$110,INDIRECT(""&amp;$S$109&amp;"!$A$4"):INDIRECT(""&amp;$S$109&amp;"!$o$4"),0),FALSE))</f>
        <v>0</v>
      </c>
      <c r="R147" s="160">
        <f ca="1">IF(ISERROR(VLOOKUP($K147,OFFSET(INDIRECT(""&amp;$S$109&amp;"!$A$4"),0,0,200,100),MATCH(R$110,INDIRECT(""&amp;$S$109&amp;"!$A$4"):INDIRECT(""&amp;$S$109&amp;"!$o$4"),0),FALSE)),"",VLOOKUP($K147,OFFSET(INDIRECT(""&amp;$S$109&amp;"!$A$4"),0,0,200,100),MATCH(R$110,INDIRECT(""&amp;$S$109&amp;"!$A$4"):INDIRECT(""&amp;$S$109&amp;"!$o$4"),0),FALSE))</f>
        <v>0</v>
      </c>
      <c r="S147" s="160">
        <f ca="1">IF(ISERROR(VLOOKUP($K147,OFFSET(INDIRECT(""&amp;$S$109&amp;"!$A$4"),0,0,200,100),MATCH(S$110,INDIRECT(""&amp;$S$109&amp;"!$A$4"):INDIRECT(""&amp;$S$109&amp;"!$o$4"),0),FALSE)),"",VLOOKUP($K147,OFFSET(INDIRECT(""&amp;$S$109&amp;"!$A$4"),0,0,200,100),MATCH(S$110,INDIRECT(""&amp;$S$109&amp;"!$A$4"):INDIRECT(""&amp;$S$109&amp;"!$o$4"),0),FALSE))</f>
        <v>3491.4767870000001</v>
      </c>
      <c r="T147" s="160">
        <f ca="1">IF(ISERROR(VLOOKUP($K147,OFFSET(INDIRECT(""&amp;$S$109&amp;"!$A$4"),0,0,200,100),MATCH(T$110,INDIRECT(""&amp;$S$109&amp;"!$A$4"):INDIRECT(""&amp;$S$109&amp;"!$o$4"),0),FALSE)),"",VLOOKUP($K147,OFFSET(INDIRECT(""&amp;$S$109&amp;"!$A$4"),0,0,200,100),MATCH(T$110,INDIRECT(""&amp;$S$109&amp;"!$A$4"):INDIRECT(""&amp;$S$109&amp;"!$o$4"),0),FALSE))</f>
        <v>17641.224359</v>
      </c>
      <c r="U147" s="160">
        <f ca="1">IF(ISERROR(VLOOKUP($K147,OFFSET(INDIRECT(""&amp;$S$109&amp;"!$A$4"),0,0,200,100),MATCH(U$110,INDIRECT(""&amp;$S$109&amp;"!$A$4"):INDIRECT(""&amp;$S$109&amp;"!$o$4"),0),FALSE)),"",VLOOKUP($K147,OFFSET(INDIRECT(""&amp;$S$109&amp;"!$A$4"),0,0,200,100),MATCH(U$110,INDIRECT(""&amp;$S$109&amp;"!$A$4"):INDIRECT(""&amp;$S$109&amp;"!$o$4"),0),FALSE))</f>
        <v>8617.7745570000006</v>
      </c>
      <c r="V147" s="160">
        <f ca="1">IF(ISERROR(VLOOKUP($K147,OFFSET(INDIRECT(""&amp;$S$109&amp;"!$A$4"),0,0,200,100),MATCH(V$110,INDIRECT(""&amp;$S$109&amp;"!$A$4"):INDIRECT(""&amp;$S$109&amp;"!$o$4"),0),FALSE)),"",VLOOKUP($K147,OFFSET(INDIRECT(""&amp;$S$109&amp;"!$A$4"),0,0,200,100),MATCH(V$110,INDIRECT(""&amp;$S$109&amp;"!$A$4"):INDIRECT(""&amp;$S$109&amp;"!$o$4"),0),FALSE))</f>
        <v>11920.487399</v>
      </c>
      <c r="W147" s="160">
        <f ca="1">IF(ISERROR(VLOOKUP($K147,OFFSET(INDIRECT(""&amp;$S$109&amp;"!$A$4"),0,0,200,100),MATCH(W$110,INDIRECT(""&amp;$S$109&amp;"!$A$4"):INDIRECT(""&amp;$S$109&amp;"!$o$4"),0),FALSE)),"",VLOOKUP($K147,OFFSET(INDIRECT(""&amp;$S$109&amp;"!$A$4"),0,0,200,100),MATCH(W$110,INDIRECT(""&amp;$S$109&amp;"!$A$4"):INDIRECT(""&amp;$S$109&amp;"!$o$4"),0),FALSE))</f>
        <v>11744.425682999999</v>
      </c>
      <c r="X147" s="160">
        <f ca="1">IF(ISERROR(VLOOKUP($K147,OFFSET(INDIRECT(""&amp;$S$109&amp;"!$A$4"),0,0,200,100),MATCH(X$110,INDIRECT(""&amp;$S$109&amp;"!$A$4"):INDIRECT(""&amp;$S$109&amp;"!$o$4"),0),FALSE)),"",VLOOKUP($K147,OFFSET(INDIRECT(""&amp;$S$109&amp;"!$A$4"),0,0,200,100),MATCH(X$110,INDIRECT(""&amp;$S$109&amp;"!$A$4"):INDIRECT(""&amp;$S$109&amp;"!$o$4"),0),FALSE))</f>
        <v>18859.082298000001</v>
      </c>
      <c r="Y147" s="160">
        <f ca="1">IF(ISERROR(VLOOKUP($K147,OFFSET(INDIRECT(""&amp;$S$109&amp;"!$A$4"),0,0,200,100),MATCH(Y$110,INDIRECT(""&amp;$S$109&amp;"!$A$4"):INDIRECT(""&amp;$S$109&amp;"!$o$4"),0),FALSE)),"",VLOOKUP($K147,OFFSET(INDIRECT(""&amp;$S$109&amp;"!$A$4"),0,0,200,100),MATCH(Y$110,INDIRECT(""&amp;$S$109&amp;"!$A$4"):INDIRECT(""&amp;$S$109&amp;"!$o$4"),0),FALSE))</f>
        <v>24263.878058999999</v>
      </c>
      <c r="Z147" s="160">
        <f ca="1">IF(ISERROR(VLOOKUP($K147,OFFSET(INDIRECT(""&amp;$S$109&amp;"!$A$4"),0,0,200,100),MATCH(Z$110,INDIRECT(""&amp;$S$109&amp;"!$A$4"):INDIRECT(""&amp;$S$109&amp;"!$P$4"),0),FALSE)),"",VLOOKUP($K147,OFFSET(INDIRECT(""&amp;$S$109&amp;"!$A$4"),0,0,200,100),MATCH(Z$110,INDIRECT(""&amp;$S$109&amp;"!$A$4"):INDIRECT(""&amp;$S$109&amp;"!$P$4"),0),FALSE))</f>
        <v>9209.0169249999999</v>
      </c>
      <c r="AA147" s="160"/>
      <c r="AC147" s="126"/>
      <c r="AD147" s="126"/>
      <c r="AE147" s="126"/>
      <c r="AF147" s="126"/>
      <c r="AG147" s="126"/>
      <c r="AH147" s="126"/>
      <c r="AI147" s="148"/>
      <c r="AJ147" s="148"/>
      <c r="AK147" s="148"/>
      <c r="AL147" s="148"/>
      <c r="AM147" s="148"/>
      <c r="AN147" s="148"/>
      <c r="AO147" s="126"/>
      <c r="AP147" s="126"/>
      <c r="AQ147" s="126"/>
      <c r="AR147" s="126"/>
      <c r="AS147" s="126"/>
      <c r="AT147" s="72"/>
      <c r="AU147" s="72"/>
      <c r="AV147" s="73"/>
      <c r="AW147" s="73"/>
      <c r="AX147" s="73"/>
      <c r="AY147" s="73"/>
      <c r="AZ147" s="73"/>
      <c r="BA147" s="73"/>
      <c r="BB147" s="73"/>
      <c r="BC147" s="73"/>
      <c r="BD147" s="73"/>
      <c r="BE147" s="73"/>
      <c r="BF147" s="73"/>
    </row>
    <row r="148" spans="1:58" s="128" customFormat="1" ht="15.95" customHeight="1">
      <c r="A148" s="116" t="s">
        <v>775</v>
      </c>
      <c r="B148" s="116" t="s">
        <v>379</v>
      </c>
      <c r="C148" s="74">
        <f ca="1">IF(ISERROR(VLOOKUP($B148,OFFSET(INDIRECT(""&amp;$B$109&amp;"!$A$4"),0,0,200,100),MATCH(C$110,INDIRECT(""&amp;$B$109&amp;"!$A$4"):INDIRECT(""&amp;$B$109&amp;"!$o$4"),0),FALSE)),"",VLOOKUP($B148,OFFSET(INDIRECT(""&amp;$B$109&amp;"!$A$4"),0,0,200,100),MATCH(C$110,INDIRECT(""&amp;$B$109&amp;"!$A$4"):INDIRECT(""&amp;$B$109&amp;"!$o$4"),0),FALSE))</f>
        <v>0</v>
      </c>
      <c r="D148" s="74">
        <f ca="1">IF(ISERROR(VLOOKUP($B148,OFFSET(INDIRECT(""&amp;$B$109&amp;"!$A$4"),0,0,200,100),MATCH(D$110,INDIRECT(""&amp;$B$109&amp;"!$A$4"):INDIRECT(""&amp;$B$109&amp;"!$o$4"),0),FALSE)),"",VLOOKUP($B148,OFFSET(INDIRECT(""&amp;$B$109&amp;"!$A$4"),0,0,200,100),MATCH(D$110,INDIRECT(""&amp;$B$109&amp;"!$A$4"):INDIRECT(""&amp;$B$109&amp;"!$o$4"),0),FALSE))</f>
        <v>0</v>
      </c>
      <c r="E148" s="74">
        <f ca="1">IF(ISERROR(VLOOKUP($B148,OFFSET(INDIRECT(""&amp;$B$109&amp;"!$A$4"),0,0,200,100),MATCH(E$110,INDIRECT(""&amp;$B$109&amp;"!$A$4"):INDIRECT(""&amp;$B$109&amp;"!$o$4"),0),FALSE)),"",VLOOKUP($B148,OFFSET(INDIRECT(""&amp;$B$109&amp;"!$A$4"),0,0,200,100),MATCH(E$110,INDIRECT(""&amp;$B$109&amp;"!$A$4"):INDIRECT(""&amp;$B$109&amp;"!$o$4"),0),FALSE))</f>
        <v>0</v>
      </c>
      <c r="F148" s="74">
        <f ca="1">IF(ISERROR(VLOOKUP($B148,OFFSET(INDIRECT(""&amp;$B$109&amp;"!$A$4"),0,0,200,100),MATCH(F$110,INDIRECT(""&amp;$B$109&amp;"!$A$4"):INDIRECT(""&amp;$B$109&amp;"!$o$4"),0),FALSE)),"",VLOOKUP($B148,OFFSET(INDIRECT(""&amp;$B$109&amp;"!$A$4"),0,0,200,100),MATCH(F$110,INDIRECT(""&amp;$B$109&amp;"!$A$4"):INDIRECT(""&amp;$B$109&amp;"!$o$4"),0),FALSE))</f>
        <v>0</v>
      </c>
      <c r="G148" s="74">
        <f ca="1">IF(ISERROR(VLOOKUP($B148,OFFSET(INDIRECT(""&amp;$B$109&amp;"!$A$4"),0,0,200,100),MATCH(G$110,INDIRECT(""&amp;$B$109&amp;"!$A$4"):INDIRECT(""&amp;$B$109&amp;"!$o$4"),0),FALSE)),"",VLOOKUP($B148,OFFSET(INDIRECT(""&amp;$B$109&amp;"!$A$4"),0,0,200,100),MATCH(G$110,INDIRECT(""&amp;$B$109&amp;"!$A$4"):INDIRECT(""&amp;$B$109&amp;"!$o$4"),0),FALSE))</f>
        <v>0</v>
      </c>
      <c r="H148" s="74">
        <f ca="1">IF(ISERROR(VLOOKUP($B148,OFFSET(INDIRECT(""&amp;$B$109&amp;"!$A$4"),0,0,200,100),MATCH(H$110,INDIRECT(""&amp;$B$109&amp;"!$A$4"):INDIRECT(""&amp;$B$109&amp;"!$o$4"),0),FALSE)),"",VLOOKUP($B148,OFFSET(INDIRECT(""&amp;$B$109&amp;"!$A$4"),0,0,200,100),MATCH(H$110,INDIRECT(""&amp;$B$109&amp;"!$A$4"):INDIRECT(""&amp;$B$109&amp;"!$o$4"),0),FALSE))</f>
        <v>0</v>
      </c>
      <c r="I148" s="74">
        <f ca="1">IF(ISERROR(VLOOKUP($B148,OFFSET(INDIRECT(""&amp;$B$109&amp;"!$A$4"),0,0,200,100),MATCH(I$110,INDIRECT(""&amp;$B$109&amp;"!$A$4"):INDIRECT(""&amp;$B$109&amp;"!$o$4"),0),FALSE)),"",VLOOKUP($B148,OFFSET(INDIRECT(""&amp;$B$109&amp;"!$A$4"),0,0,200,100),MATCH(I$110,INDIRECT(""&amp;$B$109&amp;"!$A$4"):INDIRECT(""&amp;$B$109&amp;"!$o$4"),0),FALSE))</f>
        <v>0</v>
      </c>
      <c r="J148" s="74">
        <f ca="1">IF(ISERROR(VLOOKUP($B148,OFFSET(INDIRECT(""&amp;$B$109&amp;"!$A$4"),0,0,200,100),MATCH(J$110,INDIRECT(""&amp;$B$109&amp;"!$A$4"):INDIRECT(""&amp;$B$109&amp;"!$o$4"),0),FALSE)),"",VLOOKUP($B148,OFFSET(INDIRECT(""&amp;$B$109&amp;"!$A$4"),0,0,200,100),MATCH(J$110,INDIRECT(""&amp;$B$109&amp;"!$A$4"):INDIRECT(""&amp;$B$109&amp;"!$o$4"),0),FALSE))</f>
        <v>0</v>
      </c>
      <c r="K148" s="129"/>
      <c r="L148" s="160"/>
      <c r="M148" s="160"/>
      <c r="N148" s="160"/>
      <c r="O148" s="160"/>
      <c r="P148" s="160"/>
      <c r="Q148" s="160"/>
      <c r="R148" s="160"/>
      <c r="S148" s="160"/>
      <c r="T148" s="160"/>
      <c r="U148" s="160"/>
      <c r="V148" s="160"/>
      <c r="W148" s="160"/>
      <c r="X148" s="160"/>
      <c r="Y148" s="160"/>
      <c r="Z148" s="160" t="str">
        <f ca="1">IF(ISERROR(VLOOKUP($K148,OFFSET(INDIRECT(""&amp;$S$109&amp;"!$A$4"),0,0,200,100),MATCH(Z$110,INDIRECT(""&amp;$S$109&amp;"!$A$4"):INDIRECT(""&amp;$S$109&amp;"!$P$4"),0),FALSE)),"",VLOOKUP($K148,OFFSET(INDIRECT(""&amp;$S$109&amp;"!$A$4"),0,0,200,100),MATCH(Z$110,INDIRECT(""&amp;$S$109&amp;"!$A$4"):INDIRECT(""&amp;$S$109&amp;"!$P$4"),0),FALSE))</f>
        <v/>
      </c>
      <c r="AA148" s="160"/>
      <c r="AC148" s="126"/>
      <c r="AD148" s="126"/>
      <c r="AE148" s="126"/>
      <c r="AF148" s="126"/>
      <c r="AG148" s="126"/>
      <c r="AH148" s="126"/>
      <c r="AI148" s="148"/>
      <c r="AJ148" s="148"/>
      <c r="AK148" s="148"/>
      <c r="AL148" s="148"/>
      <c r="AM148" s="148"/>
      <c r="AN148" s="148"/>
      <c r="AO148" s="126"/>
      <c r="AP148" s="126"/>
      <c r="AQ148" s="126"/>
      <c r="AR148" s="126"/>
      <c r="AS148" s="126"/>
      <c r="AT148" s="72"/>
      <c r="AU148" s="72"/>
      <c r="AV148" s="73"/>
      <c r="AW148" s="73"/>
      <c r="AX148" s="73"/>
      <c r="AY148" s="73"/>
      <c r="AZ148" s="73"/>
      <c r="BA148" s="73"/>
      <c r="BB148" s="73"/>
      <c r="BC148" s="73"/>
      <c r="BD148" s="73"/>
      <c r="BE148" s="73"/>
      <c r="BF148" s="73"/>
    </row>
    <row r="149" spans="1:58" s="128" customFormat="1" ht="15.95" customHeight="1">
      <c r="A149" s="136" t="s">
        <v>765</v>
      </c>
      <c r="B149" s="136" t="s">
        <v>86</v>
      </c>
      <c r="C149" s="191">
        <f ca="1">IF(ISERROR(VLOOKUP($B149,OFFSET(INDIRECT(""&amp;$B$109&amp;"!$A$4"),0,0,200,100),MATCH(C$110,INDIRECT(""&amp;$B$109&amp;"!$A$4"):INDIRECT(""&amp;$B$109&amp;"!$o$4"),0),FALSE)),"",VLOOKUP($B149,OFFSET(INDIRECT(""&amp;$B$109&amp;"!$A$4"),0,0,200,100),MATCH(C$110,INDIRECT(""&amp;$B$109&amp;"!$A$4"):INDIRECT(""&amp;$B$109&amp;"!$o$4"),0),FALSE))</f>
        <v>4423.5581490000004</v>
      </c>
      <c r="D149" s="191">
        <f ca="1">IF(ISERROR(VLOOKUP($B149,OFFSET(INDIRECT(""&amp;$B$109&amp;"!$A$4"),0,0,200,100),MATCH(D$110,INDIRECT(""&amp;$B$109&amp;"!$A$4"):INDIRECT(""&amp;$B$109&amp;"!$o$4"),0),FALSE)),"",VLOOKUP($B149,OFFSET(INDIRECT(""&amp;$B$109&amp;"!$A$4"),0,0,200,100),MATCH(D$110,INDIRECT(""&amp;$B$109&amp;"!$A$4"):INDIRECT(""&amp;$B$109&amp;"!$o$4"),0),FALSE))</f>
        <v>6878.3279979999998</v>
      </c>
      <c r="E149" s="191">
        <f ca="1">IF(ISERROR(VLOOKUP($B149,OFFSET(INDIRECT(""&amp;$B$109&amp;"!$A$4"),0,0,200,100),MATCH(E$110,INDIRECT(""&amp;$B$109&amp;"!$A$4"):INDIRECT(""&amp;$B$109&amp;"!$o$4"),0),FALSE)),"",VLOOKUP($B149,OFFSET(INDIRECT(""&amp;$B$109&amp;"!$A$4"),0,0,200,100),MATCH(E$110,INDIRECT(""&amp;$B$109&amp;"!$A$4"):INDIRECT(""&amp;$B$109&amp;"!$o$4"),0),FALSE))</f>
        <v>25326.224829999999</v>
      </c>
      <c r="F149" s="191">
        <f ca="1">IF(ISERROR(VLOOKUP($B149,OFFSET(INDIRECT(""&amp;$B$109&amp;"!$A$4"),0,0,200,100),MATCH(F$110,INDIRECT(""&amp;$B$109&amp;"!$A$4"):INDIRECT(""&amp;$B$109&amp;"!$o$4"),0),FALSE)),"",VLOOKUP($B149,OFFSET(INDIRECT(""&amp;$B$109&amp;"!$A$4"),0,0,200,100),MATCH(F$110,INDIRECT(""&amp;$B$109&amp;"!$A$4"):INDIRECT(""&amp;$B$109&amp;"!$o$4"),0),FALSE))</f>
        <v>7830.2630140000001</v>
      </c>
      <c r="G149" s="191">
        <f ca="1">IF(ISERROR(VLOOKUP($B149,OFFSET(INDIRECT(""&amp;$B$109&amp;"!$A$4"),0,0,200,100),MATCH(G$110,INDIRECT(""&amp;$B$109&amp;"!$A$4"):INDIRECT(""&amp;$B$109&amp;"!$o$4"),0),FALSE)),"",VLOOKUP($B149,OFFSET(INDIRECT(""&amp;$B$109&amp;"!$A$4"),0,0,200,100),MATCH(G$110,INDIRECT(""&amp;$B$109&amp;"!$A$4"):INDIRECT(""&amp;$B$109&amp;"!$o$4"),0),FALSE))</f>
        <v>17641.224359</v>
      </c>
      <c r="H149" s="191">
        <f ca="1">IF(ISERROR(VLOOKUP($B149,OFFSET(INDIRECT(""&amp;$B$109&amp;"!$A$4"),0,0,200,100),MATCH(H$110,INDIRECT(""&amp;$B$109&amp;"!$A$4"):INDIRECT(""&amp;$B$109&amp;"!$o$4"),0),FALSE)),"",VLOOKUP($B149,OFFSET(INDIRECT(""&amp;$B$109&amp;"!$A$4"),0,0,200,100),MATCH(H$110,INDIRECT(""&amp;$B$109&amp;"!$A$4"):INDIRECT(""&amp;$B$109&amp;"!$o$4"),0),FALSE))</f>
        <v>18859.082298000001</v>
      </c>
      <c r="I149" s="191">
        <f ca="1">IF(ISERROR(VLOOKUP($B149,OFFSET(INDIRECT(""&amp;$B$109&amp;"!$A$4"),0,0,200,100),MATCH(I$110,INDIRECT(""&amp;$B$109&amp;"!$A$4"):INDIRECT(""&amp;$B$109&amp;"!$o$4"),0),FALSE)),"",VLOOKUP($B149,OFFSET(INDIRECT(""&amp;$B$109&amp;"!$A$4"),0,0,200,100),MATCH(I$110,INDIRECT(""&amp;$B$109&amp;"!$A$4"):INDIRECT(""&amp;$B$109&amp;"!$o$4"),0),FALSE))</f>
        <v>14070.180453000001</v>
      </c>
      <c r="J149" s="191">
        <f ca="1">IF(ISERROR(VLOOKUP($B149,OFFSET(INDIRECT(""&amp;$B$109&amp;"!$A$4"),0,0,200,100),MATCH(J$110,INDIRECT(""&amp;$B$109&amp;"!$A$4"):INDIRECT(""&amp;$B$109&amp;"!$o$4"),0),FALSE)),"",VLOOKUP($B149,OFFSET(INDIRECT(""&amp;$B$109&amp;"!$A$4"),0,0,200,100),MATCH(J$110,INDIRECT(""&amp;$B$109&amp;"!$A$4"):INDIRECT(""&amp;$B$109&amp;"!$o$4"),0),FALSE))</f>
        <v>14070.180453000001</v>
      </c>
      <c r="K149" s="129" t="s">
        <v>86</v>
      </c>
      <c r="L149" s="192">
        <f ca="1">IF(ISERROR(VLOOKUP($K149,OFFSET(INDIRECT(""&amp;$S$109&amp;"!$A$4"),0,0,200,100),MATCH(L$110,INDIRECT(""&amp;$S$109&amp;"!$A$4"):INDIRECT(""&amp;$S$109&amp;"!$o$4"),0),FALSE)),"",VLOOKUP($K149,OFFSET(INDIRECT(""&amp;$S$109&amp;"!$A$4"),0,0,200,100),MATCH(L$110,INDIRECT(""&amp;$S$109&amp;"!$A$4"):INDIRECT(""&amp;$S$109&amp;"!$o$4"),0),FALSE))</f>
        <v>25393.911988</v>
      </c>
      <c r="M149" s="192">
        <f ca="1">IF(ISERROR(VLOOKUP($K149,OFFSET(INDIRECT(""&amp;$S$109&amp;"!$A$4"),0,0,200,100),MATCH(M$110,INDIRECT(""&amp;$S$109&amp;"!$A$4"):INDIRECT(""&amp;$S$109&amp;"!$o$4"),0),FALSE)),"",VLOOKUP($K149,OFFSET(INDIRECT(""&amp;$S$109&amp;"!$A$4"),0,0,200,100),MATCH(M$110,INDIRECT(""&amp;$S$109&amp;"!$A$4"):INDIRECT(""&amp;$S$109&amp;"!$o$4"),0),FALSE))</f>
        <v>18628.560022000001</v>
      </c>
      <c r="N149" s="192">
        <f ca="1">IF(ISERROR(VLOOKUP($K149,OFFSET(INDIRECT(""&amp;$S$109&amp;"!$A$4"),0,0,200,100),MATCH(N$110,INDIRECT(""&amp;$S$109&amp;"!$A$4"):INDIRECT(""&amp;$S$109&amp;"!$o$4"),0),FALSE)),"",VLOOKUP($K149,OFFSET(INDIRECT(""&amp;$S$109&amp;"!$A$4"),0,0,200,100),MATCH(N$110,INDIRECT(""&amp;$S$109&amp;"!$A$4"):INDIRECT(""&amp;$S$109&amp;"!$o$4"),0),FALSE))</f>
        <v>16934.014331999999</v>
      </c>
      <c r="O149" s="192">
        <f ca="1">IF(ISERROR(VLOOKUP($K149,OFFSET(INDIRECT(""&amp;$S$109&amp;"!$A$4"),0,0,200,100),MATCH(O$110,INDIRECT(""&amp;$S$109&amp;"!$A$4"):INDIRECT(""&amp;$S$109&amp;"!$o$4"),0),FALSE)),"",VLOOKUP($K149,OFFSET(INDIRECT(""&amp;$S$109&amp;"!$A$4"),0,0,200,100),MATCH(O$110,INDIRECT(""&amp;$S$109&amp;"!$A$4"):INDIRECT(""&amp;$S$109&amp;"!$o$4"),0),FALSE))</f>
        <v>7830.2630140000001</v>
      </c>
      <c r="P149" s="192">
        <f ca="1">IF(ISERROR(VLOOKUP($K149,OFFSET(INDIRECT(""&amp;$S$109&amp;"!$A$4"),0,0,200,100),MATCH(P$110,INDIRECT(""&amp;$S$109&amp;"!$A$4"):INDIRECT(""&amp;$S$109&amp;"!$o$4"),0),FALSE)),"",VLOOKUP($K149,OFFSET(INDIRECT(""&amp;$S$109&amp;"!$A$4"),0,0,200,100),MATCH(P$110,INDIRECT(""&amp;$S$109&amp;"!$A$4"):INDIRECT(""&amp;$S$109&amp;"!$o$4"),0),FALSE))</f>
        <v>13764.108785</v>
      </c>
      <c r="Q149" s="192">
        <f ca="1">IF(ISERROR(VLOOKUP($K149,OFFSET(INDIRECT(""&amp;$S$109&amp;"!$A$4"),0,0,200,100),MATCH(Q$110,INDIRECT(""&amp;$S$109&amp;"!$A$4"):INDIRECT(""&amp;$S$109&amp;"!$o$4"),0),FALSE)),"",VLOOKUP($K149,OFFSET(INDIRECT(""&amp;$S$109&amp;"!$A$4"),0,0,200,100),MATCH(Q$110,INDIRECT(""&amp;$S$109&amp;"!$A$4"):INDIRECT(""&amp;$S$109&amp;"!$o$4"),0),FALSE))</f>
        <v>0</v>
      </c>
      <c r="R149" s="192">
        <f ca="1">IF(ISERROR(VLOOKUP($K149,OFFSET(INDIRECT(""&amp;$S$109&amp;"!$A$4"),0,0,200,100),MATCH(R$110,INDIRECT(""&amp;$S$109&amp;"!$A$4"):INDIRECT(""&amp;$S$109&amp;"!$o$4"),0),FALSE)),"",VLOOKUP($K149,OFFSET(INDIRECT(""&amp;$S$109&amp;"!$A$4"),0,0,200,100),MATCH(R$110,INDIRECT(""&amp;$S$109&amp;"!$A$4"):INDIRECT(""&amp;$S$109&amp;"!$o$4"),0),FALSE))</f>
        <v>0</v>
      </c>
      <c r="S149" s="192">
        <f ca="1">IF(ISERROR(VLOOKUP($K149,OFFSET(INDIRECT(""&amp;$S$109&amp;"!$A$4"),0,0,200,100),MATCH(S$110,INDIRECT(""&amp;$S$109&amp;"!$A$4"):INDIRECT(""&amp;$S$109&amp;"!$o$4"),0),FALSE)),"",VLOOKUP($K149,OFFSET(INDIRECT(""&amp;$S$109&amp;"!$A$4"),0,0,200,100),MATCH(S$110,INDIRECT(""&amp;$S$109&amp;"!$A$4"):INDIRECT(""&amp;$S$109&amp;"!$o$4"),0),FALSE))</f>
        <v>17641.224359</v>
      </c>
      <c r="T149" s="192">
        <f ca="1">IF(ISERROR(VLOOKUP($K149,OFFSET(INDIRECT(""&amp;$S$109&amp;"!$A$4"),0,0,200,100),MATCH(T$110,INDIRECT(""&amp;$S$109&amp;"!$A$4"):INDIRECT(""&amp;$S$109&amp;"!$o$4"),0),FALSE)),"",VLOOKUP($K149,OFFSET(INDIRECT(""&amp;$S$109&amp;"!$A$4"),0,0,200,100),MATCH(T$110,INDIRECT(""&amp;$S$109&amp;"!$A$4"):INDIRECT(""&amp;$S$109&amp;"!$o$4"),0),FALSE))</f>
        <v>8617.7745570000006</v>
      </c>
      <c r="U149" s="192">
        <f ca="1">IF(ISERROR(VLOOKUP($K149,OFFSET(INDIRECT(""&amp;$S$109&amp;"!$A$4"),0,0,200,100),MATCH(U$110,INDIRECT(""&amp;$S$109&amp;"!$A$4"):INDIRECT(""&amp;$S$109&amp;"!$o$4"),0),FALSE)),"",VLOOKUP($K149,OFFSET(INDIRECT(""&amp;$S$109&amp;"!$A$4"),0,0,200,100),MATCH(U$110,INDIRECT(""&amp;$S$109&amp;"!$A$4"):INDIRECT(""&amp;$S$109&amp;"!$o$4"),0),FALSE))</f>
        <v>11920.487399</v>
      </c>
      <c r="V149" s="192">
        <f ca="1">IF(ISERROR(VLOOKUP($K149,OFFSET(INDIRECT(""&amp;$S$109&amp;"!$A$4"),0,0,200,100),MATCH(V$110,INDIRECT(""&amp;$S$109&amp;"!$A$4"):INDIRECT(""&amp;$S$109&amp;"!$o$4"),0),FALSE)),"",VLOOKUP($K149,OFFSET(INDIRECT(""&amp;$S$109&amp;"!$A$4"),0,0,200,100),MATCH(V$110,INDIRECT(""&amp;$S$109&amp;"!$A$4"):INDIRECT(""&amp;$S$109&amp;"!$o$4"),0),FALSE))</f>
        <v>11744.425682999999</v>
      </c>
      <c r="W149" s="192">
        <f ca="1">IF(ISERROR(VLOOKUP($K149,OFFSET(INDIRECT(""&amp;$S$109&amp;"!$A$4"),0,0,200,100),MATCH(W$110,INDIRECT(""&amp;$S$109&amp;"!$A$4"):INDIRECT(""&amp;$S$109&amp;"!$o$4"),0),FALSE)),"",VLOOKUP($K149,OFFSET(INDIRECT(""&amp;$S$109&amp;"!$A$4"),0,0,200,100),MATCH(W$110,INDIRECT(""&amp;$S$109&amp;"!$A$4"):INDIRECT(""&amp;$S$109&amp;"!$o$4"),0),FALSE))</f>
        <v>18860.546086999999</v>
      </c>
      <c r="X149" s="192">
        <f ca="1">IF(ISERROR(VLOOKUP($K149,OFFSET(INDIRECT(""&amp;$S$109&amp;"!$A$4"),0,0,200,100),MATCH(X$110,INDIRECT(""&amp;$S$109&amp;"!$A$4"):INDIRECT(""&amp;$S$109&amp;"!$o$4"),0),FALSE)),"",VLOOKUP($K149,OFFSET(INDIRECT(""&amp;$S$109&amp;"!$A$4"),0,0,200,100),MATCH(X$110,INDIRECT(""&amp;$S$109&amp;"!$A$4"):INDIRECT(""&amp;$S$109&amp;"!$o$4"),0),FALSE))</f>
        <v>24263.878058999999</v>
      </c>
      <c r="Y149" s="192">
        <f ca="1">IF(ISERROR(VLOOKUP($K149,OFFSET(INDIRECT(""&amp;$S$109&amp;"!$A$4"),0,0,200,100),MATCH(Y$110,INDIRECT(""&amp;$S$109&amp;"!$A$4"):INDIRECT(""&amp;$S$109&amp;"!$o$4"),0),FALSE)),"",VLOOKUP($K149,OFFSET(INDIRECT(""&amp;$S$109&amp;"!$A$4"),0,0,200,100),MATCH(Y$110,INDIRECT(""&amp;$S$109&amp;"!$A$4"):INDIRECT(""&amp;$S$109&amp;"!$o$4"),0),FALSE))</f>
        <v>9209.0169249999999</v>
      </c>
      <c r="Z149" s="192">
        <f ca="1">IF(ISERROR(VLOOKUP($K149,OFFSET(INDIRECT(""&amp;$S$109&amp;"!$A$4"),0,0,200,100),MATCH(Z$110,INDIRECT(""&amp;$S$109&amp;"!$A$4"):INDIRECT(""&amp;$S$109&amp;"!$P$4"),0),FALSE)),"",VLOOKUP($K149,OFFSET(INDIRECT(""&amp;$S$109&amp;"!$A$4"),0,0,200,100),MATCH(Z$110,INDIRECT(""&amp;$S$109&amp;"!$A$4"):INDIRECT(""&amp;$S$109&amp;"!$P$4"),0),FALSE))</f>
        <v>6807.467138</v>
      </c>
      <c r="AA149" s="192"/>
      <c r="AC149" s="126"/>
      <c r="AD149" s="126"/>
      <c r="AE149" s="126"/>
      <c r="AF149" s="126"/>
      <c r="AG149" s="126"/>
      <c r="AH149" s="126"/>
      <c r="AI149" s="148"/>
      <c r="AJ149" s="148"/>
      <c r="AK149" s="148"/>
      <c r="AL149" s="148"/>
      <c r="AM149" s="148"/>
      <c r="AN149" s="148"/>
      <c r="AO149" s="126"/>
      <c r="AP149" s="126"/>
      <c r="AQ149" s="126"/>
      <c r="AR149" s="126"/>
      <c r="AS149" s="126"/>
      <c r="AT149" s="72"/>
      <c r="AU149" s="72"/>
      <c r="AV149" s="73"/>
      <c r="AW149" s="73"/>
      <c r="AX149" s="73"/>
      <c r="AY149" s="73"/>
      <c r="AZ149" s="73"/>
      <c r="BA149" s="73"/>
      <c r="BB149" s="73"/>
      <c r="BC149" s="73"/>
      <c r="BD149" s="73"/>
      <c r="BE149" s="73"/>
      <c r="BF149" s="73"/>
    </row>
    <row r="150" spans="1:58" s="128" customFormat="1" ht="16.5" customHeight="1">
      <c r="A150" s="161" t="s">
        <v>210</v>
      </c>
      <c r="B150" s="161"/>
      <c r="C150" s="162" t="b">
        <f ca="1">IF(C149="","",IF(ROUND(C149-C33,2)=0,TRUE,FALSE))</f>
        <v>1</v>
      </c>
      <c r="D150" s="162" t="b">
        <f ca="1">IF(D149="","",IF(ROUND(D149-D33,2)=0,TRUE,FALSE))</f>
        <v>1</v>
      </c>
      <c r="E150" s="162" t="b">
        <f ca="1">IF(E149="","",IF(ROUND(E149-E33,2)=0,TRUE,FALSE))</f>
        <v>1</v>
      </c>
      <c r="F150" s="162" t="b">
        <f ca="1">IF(F149="","",IF(ROUND(F149-F33,2)=0,TRUE,FALSE))</f>
        <v>1</v>
      </c>
      <c r="G150" s="162" t="b">
        <f ca="1">IF(G149="","",IF(ROUND(G149-G33,1)=0,TRUE,FALSE))</f>
        <v>1</v>
      </c>
      <c r="H150" s="162" t="b">
        <f ca="1">IF(H149="","",IF(ROUND(H149-H33,1)=0,TRUE,FALSE))</f>
        <v>1</v>
      </c>
      <c r="I150" s="162" t="b">
        <f ca="1">IF(I149="","",IF(ROUND(I149-I33,1)=0,TRUE,FALSE))</f>
        <v>1</v>
      </c>
      <c r="J150" s="162" t="b">
        <f ca="1">IF(J149="","",IF(ROUND(J149-J33,1)=0,TRUE,FALSE))</f>
        <v>1</v>
      </c>
      <c r="K150" s="127"/>
      <c r="L150" s="162"/>
      <c r="M150" s="162"/>
      <c r="N150" s="162" t="b">
        <f t="shared" ref="N150:W150" ca="1" si="92">IF(N149="","",IF(ROUND(N149-N33,1)=0,TRUE,FALSE))</f>
        <v>1</v>
      </c>
      <c r="O150" s="162" t="b">
        <f t="shared" ca="1" si="92"/>
        <v>1</v>
      </c>
      <c r="P150" s="162" t="b">
        <f t="shared" ca="1" si="92"/>
        <v>1</v>
      </c>
      <c r="Q150" s="162" t="b">
        <f t="shared" ca="1" si="92"/>
        <v>0</v>
      </c>
      <c r="R150" s="162" t="b">
        <f t="shared" ca="1" si="92"/>
        <v>0</v>
      </c>
      <c r="S150" s="162" t="b">
        <f t="shared" ca="1" si="92"/>
        <v>1</v>
      </c>
      <c r="T150" s="162" t="b">
        <f t="shared" ca="1" si="92"/>
        <v>1</v>
      </c>
      <c r="U150" s="162" t="b">
        <f t="shared" ca="1" si="92"/>
        <v>1</v>
      </c>
      <c r="V150" s="162" t="b">
        <f t="shared" ca="1" si="92"/>
        <v>1</v>
      </c>
      <c r="W150" s="162" t="b">
        <f t="shared" ca="1" si="92"/>
        <v>1</v>
      </c>
      <c r="X150" s="162" t="b">
        <f t="shared" ref="X150:Y150" ca="1" si="93">IF(X149="","",IF(ROUND(X149-X33,1)=0,TRUE,FALSE))</f>
        <v>1</v>
      </c>
      <c r="Y150" s="162" t="b">
        <f t="shared" ca="1" si="93"/>
        <v>1</v>
      </c>
      <c r="Z150" s="162" t="b">
        <f t="shared" ref="Z150" ca="1" si="94">IF(Z149="","",IF(ROUND(Z149-Z33,1)=0,TRUE,FALSE))</f>
        <v>1</v>
      </c>
      <c r="AA150" s="162"/>
      <c r="AC150" s="126"/>
      <c r="AD150" s="126"/>
      <c r="AE150" s="126"/>
      <c r="AF150" s="126"/>
      <c r="AG150" s="126"/>
      <c r="AH150" s="126"/>
      <c r="AI150" s="148"/>
      <c r="AJ150" s="148"/>
      <c r="AK150" s="148"/>
      <c r="AL150" s="148"/>
      <c r="AM150" s="148"/>
      <c r="AN150" s="148"/>
      <c r="AO150" s="126"/>
      <c r="AP150" s="126"/>
      <c r="AQ150" s="126"/>
      <c r="AR150" s="126"/>
      <c r="AS150" s="126"/>
      <c r="AT150" s="72"/>
      <c r="AU150" s="72"/>
      <c r="AV150" s="73"/>
      <c r="AW150" s="73"/>
      <c r="AX150" s="73"/>
      <c r="AY150" s="73"/>
      <c r="AZ150" s="73"/>
      <c r="BA150" s="73"/>
      <c r="BB150" s="73"/>
      <c r="BC150" s="73"/>
      <c r="BD150" s="73"/>
      <c r="BE150" s="73"/>
      <c r="BF150" s="73"/>
    </row>
  </sheetData>
  <pageMargins left="0.7" right="0.7" top="0.75" bottom="0.75" header="0.3" footer="0.3"/>
  <pageSetup orientation="portrait" r:id="rId1"/>
  <ignoredErrors>
    <ignoredError sqref="K31:K106 AB31:AB106 N5:T25 N107:W107 J31:J106 N31:S106 N27:T28" unlockedFormula="1"/>
  </ignoredErrors>
</worksheet>
</file>

<file path=xl/worksheets/sheet17.xml><?xml version="1.0" encoding="utf-8"?>
<worksheet xmlns="http://schemas.openxmlformats.org/spreadsheetml/2006/main" xmlns:r="http://schemas.openxmlformats.org/officeDocument/2006/relationships">
  <dimension ref="A1:K69"/>
  <sheetViews>
    <sheetView showGridLines="0" workbookViewId="0">
      <selection activeCell="G7" sqref="G7"/>
    </sheetView>
  </sheetViews>
  <sheetFormatPr defaultRowHeight="12.75"/>
  <cols>
    <col min="1" max="1" width="39.85546875" style="1" bestFit="1" customWidth="1"/>
    <col min="2" max="2" width="10" style="1" customWidth="1"/>
    <col min="3" max="7" width="9.140625" style="1"/>
    <col min="8" max="9" width="11.140625" style="1" bestFit="1" customWidth="1"/>
    <col min="10" max="10" width="12" style="1" bestFit="1" customWidth="1"/>
    <col min="11" max="11" width="9.85546875" style="1" bestFit="1" customWidth="1"/>
    <col min="12" max="16384" width="9.140625" style="1"/>
  </cols>
  <sheetData>
    <row r="1" spans="1:11">
      <c r="A1" s="36">
        <f>Info!B6</f>
        <v>0</v>
      </c>
      <c r="B1" s="36"/>
    </row>
    <row r="2" spans="1:11">
      <c r="A2" s="37" t="s">
        <v>43</v>
      </c>
      <c r="B2" s="37"/>
    </row>
    <row r="3" spans="1:11">
      <c r="G3" s="648" t="s">
        <v>486</v>
      </c>
      <c r="H3" s="648"/>
      <c r="I3" s="648"/>
      <c r="J3" s="648"/>
      <c r="K3" s="648"/>
    </row>
    <row r="4" spans="1:11">
      <c r="A4" s="400"/>
      <c r="B4" s="401">
        <f>'Financial statement'!F4</f>
        <v>2010</v>
      </c>
      <c r="C4" s="401">
        <f>'Financial statement'!G4</f>
        <v>2011</v>
      </c>
      <c r="D4" s="401">
        <f>'Financial statement'!H4</f>
        <v>2012</v>
      </c>
      <c r="E4" s="401">
        <f>'Financial statement'!I4</f>
        <v>2013</v>
      </c>
      <c r="F4" s="427">
        <f>'Financial statement'!J4</f>
        <v>2014</v>
      </c>
      <c r="G4" s="413" t="s">
        <v>389</v>
      </c>
      <c r="H4" s="413" t="s">
        <v>487</v>
      </c>
      <c r="I4" s="413" t="s">
        <v>488</v>
      </c>
      <c r="J4" s="413" t="s">
        <v>769</v>
      </c>
      <c r="K4" s="414" t="s">
        <v>774</v>
      </c>
    </row>
    <row r="5" spans="1:11" ht="15" customHeight="1">
      <c r="A5" s="237" t="s">
        <v>449</v>
      </c>
      <c r="B5" s="237"/>
      <c r="C5" s="59"/>
      <c r="D5" s="59"/>
      <c r="E5" s="59"/>
      <c r="F5" s="57"/>
      <c r="G5" s="59"/>
      <c r="H5" s="59"/>
      <c r="I5" s="59"/>
      <c r="J5" s="59"/>
      <c r="K5" s="59"/>
    </row>
    <row r="6" spans="1:11" ht="15" customHeight="1">
      <c r="A6" s="59" t="s">
        <v>450</v>
      </c>
      <c r="B6" s="325">
        <f ca="1">'PL&amp;BS Projection'!B6/'PL&amp;BS Projection'!B31</f>
        <v>-3.6041677436932988</v>
      </c>
      <c r="C6" s="325">
        <f ca="1">'PL&amp;BS Projection'!C6/'PL&amp;BS Projection'!C31</f>
        <v>-3.9880071857818313</v>
      </c>
      <c r="D6" s="325">
        <f ca="1">'PL&amp;BS Projection'!D6/'PL&amp;BS Projection'!D31</f>
        <v>-12.337203291775912</v>
      </c>
      <c r="E6" s="325">
        <f ca="1">'PL&amp;BS Projection'!E6/'PL&amp;BS Projection'!E31</f>
        <v>-32.983103803811218</v>
      </c>
      <c r="F6" s="46">
        <f ca="1">'PL&amp;BS Projection'!F6/'PL&amp;BS Projection'!F31</f>
        <v>-36.190953265195134</v>
      </c>
      <c r="G6" s="325">
        <f>'PL&amp;BS Projection'!G6/'PL&amp;BS Projection'!G31</f>
        <v>-8.9024390243902456</v>
      </c>
      <c r="H6" s="325">
        <f>'PL&amp;BS Projection'!H6/'PL&amp;BS Projection'!H31</f>
        <v>-8.9024390243902438</v>
      </c>
      <c r="I6" s="325">
        <f>'PL&amp;BS Projection'!I6/'PL&amp;BS Projection'!I31</f>
        <v>-8.9024390243902438</v>
      </c>
      <c r="J6" s="325">
        <f>'PL&amp;BS Projection'!J6/'PL&amp;BS Projection'!J31</f>
        <v>-8.9024390243902438</v>
      </c>
      <c r="K6" s="325">
        <f>'PL&amp;BS Projection'!K6/'PL&amp;BS Projection'!K31</f>
        <v>-8.9024390243902438</v>
      </c>
    </row>
    <row r="7" spans="1:11" ht="15" customHeight="1">
      <c r="A7" s="59" t="s">
        <v>451</v>
      </c>
      <c r="B7" s="194">
        <f t="shared" ref="B7" ca="1" si="0">365/B6</f>
        <v>-101.27164603775449</v>
      </c>
      <c r="C7" s="194">
        <f t="shared" ref="C7:K7" ca="1" si="1">365/C6</f>
        <v>-91.524408807814964</v>
      </c>
      <c r="D7" s="194">
        <f t="shared" ca="1" si="1"/>
        <v>-29.585311303357724</v>
      </c>
      <c r="E7" s="194">
        <f t="shared" ca="1" si="1"/>
        <v>-11.066272057689853</v>
      </c>
      <c r="F7" s="537">
        <f t="shared" ca="1" si="1"/>
        <v>-10.085393366828521</v>
      </c>
      <c r="G7" s="194">
        <f t="shared" si="1"/>
        <v>-40.999999999999993</v>
      </c>
      <c r="H7" s="194">
        <f t="shared" si="1"/>
        <v>-41</v>
      </c>
      <c r="I7" s="194">
        <f t="shared" si="1"/>
        <v>-41</v>
      </c>
      <c r="J7" s="194">
        <f t="shared" si="1"/>
        <v>-41</v>
      </c>
      <c r="K7" s="194">
        <f t="shared" si="1"/>
        <v>-41</v>
      </c>
    </row>
    <row r="8" spans="1:11" ht="15" customHeight="1">
      <c r="A8" s="59" t="s">
        <v>452</v>
      </c>
      <c r="B8" s="325">
        <f ca="1">'PL&amp;BS Projection'!B5/'PL&amp;BS Projection'!B30</f>
        <v>7.9449077032574316</v>
      </c>
      <c r="C8" s="325">
        <f ca="1">'PL&amp;BS Projection'!C5/'PL&amp;BS Projection'!C30</f>
        <v>5.9377284605309102</v>
      </c>
      <c r="D8" s="325">
        <f ca="1">'PL&amp;BS Projection'!D5/'PL&amp;BS Projection'!D30</f>
        <v>5.1918110282191297</v>
      </c>
      <c r="E8" s="325">
        <f ca="1">'PL&amp;BS Projection'!E5/'PL&amp;BS Projection'!E30</f>
        <v>3.1096374876965966</v>
      </c>
      <c r="F8" s="292">
        <f ca="1">'PL&amp;BS Projection'!F5/'PL&amp;BS Projection'!F30</f>
        <v>3.5920919729893446</v>
      </c>
      <c r="G8" s="270">
        <f>'PL&amp;BS Projection'!G5/'PL&amp;BS Projection'!G30</f>
        <v>3.9261522772293214</v>
      </c>
      <c r="H8" s="270">
        <f>'PL&amp;BS Projection'!H5/'PL&amp;BS Projection'!H30</f>
        <v>3.8621874745219817</v>
      </c>
      <c r="I8" s="270">
        <f>'PL&amp;BS Projection'!I5/'PL&amp;BS Projection'!I30</f>
        <v>4.0582544934713018</v>
      </c>
      <c r="J8" s="270">
        <f>'PL&amp;BS Projection'!J5/'PL&amp;BS Projection'!J30</f>
        <v>4.2116294719536693</v>
      </c>
      <c r="K8" s="270">
        <f>'PL&amp;BS Projection'!K5/'PL&amp;BS Projection'!K30</f>
        <v>4.3268518682293342</v>
      </c>
    </row>
    <row r="9" spans="1:11" ht="15" customHeight="1">
      <c r="A9" s="59" t="s">
        <v>453</v>
      </c>
      <c r="B9" s="194">
        <f t="shared" ref="B9" ca="1" si="2">365/B8</f>
        <v>45.941376996783625</v>
      </c>
      <c r="C9" s="194">
        <f t="shared" ref="C9:K9" ca="1" si="3">365/C8</f>
        <v>61.471318943972769</v>
      </c>
      <c r="D9" s="194">
        <f t="shared" ca="1" si="3"/>
        <v>70.303021049131019</v>
      </c>
      <c r="E9" s="194">
        <f t="shared" ca="1" si="3"/>
        <v>117.37702592155416</v>
      </c>
      <c r="F9" s="244">
        <f t="shared" ca="1" si="3"/>
        <v>101.61209755891814</v>
      </c>
      <c r="G9" s="194">
        <f t="shared" si="3"/>
        <v>92.966338090579569</v>
      </c>
      <c r="H9" s="194">
        <f t="shared" si="3"/>
        <v>94.506028619228431</v>
      </c>
      <c r="I9" s="194">
        <f t="shared" si="3"/>
        <v>89.940145593922722</v>
      </c>
      <c r="J9" s="194">
        <f t="shared" si="3"/>
        <v>86.664793859628318</v>
      </c>
      <c r="K9" s="194">
        <f t="shared" si="3"/>
        <v>84.356943827930948</v>
      </c>
    </row>
    <row r="10" spans="1:11" ht="15" customHeight="1">
      <c r="A10" s="59" t="s">
        <v>454</v>
      </c>
      <c r="B10" s="325">
        <f ca="1">'PL&amp;BS Projection'!B6/'PL&amp;BS Projection'!B56</f>
        <v>-12.849574243476502</v>
      </c>
      <c r="C10" s="325">
        <f ca="1">'PL&amp;BS Projection'!C6/'PL&amp;BS Projection'!C56</f>
        <v>-21.118731195133197</v>
      </c>
      <c r="D10" s="325">
        <f ca="1">'PL&amp;BS Projection'!D6/'PL&amp;BS Projection'!D56</f>
        <v>-29.945378838558195</v>
      </c>
      <c r="E10" s="325">
        <f ca="1">'PL&amp;BS Projection'!E6/'PL&amp;BS Projection'!E56</f>
        <v>-35.737069110840146</v>
      </c>
      <c r="F10" s="46">
        <f ca="1">'PL&amp;BS Projection'!F6/'PL&amp;BS Projection'!F56</f>
        <v>-39.212761955896212</v>
      </c>
      <c r="G10" s="325">
        <f>'PL&amp;BS Projection'!G6/'PL&amp;BS Projection'!G56</f>
        <v>-20.277777777777779</v>
      </c>
      <c r="H10" s="325">
        <f>'PL&amp;BS Projection'!H6/'PL&amp;BS Projection'!H56</f>
        <v>-20.277777777777775</v>
      </c>
      <c r="I10" s="325">
        <f>'PL&amp;BS Projection'!I6/'PL&amp;BS Projection'!I56</f>
        <v>-20.277777777777779</v>
      </c>
      <c r="J10" s="325">
        <f>'PL&amp;BS Projection'!J6/'PL&amp;BS Projection'!J56</f>
        <v>-20.277777777777779</v>
      </c>
      <c r="K10" s="325">
        <f>'PL&amp;BS Projection'!K6/'PL&amp;BS Projection'!K56</f>
        <v>-20.277777777777779</v>
      </c>
    </row>
    <row r="11" spans="1:11" ht="15" customHeight="1">
      <c r="A11" s="59" t="s">
        <v>455</v>
      </c>
      <c r="B11" s="194">
        <f t="shared" ref="B11" ca="1" si="4">365/B10</f>
        <v>-28.405610418205409</v>
      </c>
      <c r="C11" s="194">
        <f t="shared" ref="C11:K11" ca="1" si="5">365/C10</f>
        <v>-17.283235277132277</v>
      </c>
      <c r="D11" s="194">
        <f t="shared" ca="1" si="5"/>
        <v>-12.188858987818834</v>
      </c>
      <c r="E11" s="194">
        <f t="shared" ca="1" si="5"/>
        <v>-10.213484459733838</v>
      </c>
      <c r="F11" s="244">
        <f t="shared" ca="1" si="5"/>
        <v>-9.3081941131952561</v>
      </c>
      <c r="G11" s="194">
        <f t="shared" si="5"/>
        <v>-18</v>
      </c>
      <c r="H11" s="194">
        <f t="shared" si="5"/>
        <v>-18.000000000000004</v>
      </c>
      <c r="I11" s="194">
        <f t="shared" si="5"/>
        <v>-18</v>
      </c>
      <c r="J11" s="194">
        <f t="shared" si="5"/>
        <v>-18</v>
      </c>
      <c r="K11" s="194">
        <f t="shared" si="5"/>
        <v>-18</v>
      </c>
    </row>
    <row r="12" spans="1:11" ht="15" customHeight="1">
      <c r="A12" s="59" t="s">
        <v>499</v>
      </c>
      <c r="B12" s="194">
        <f t="shared" ref="B12" ca="1" si="6">B7+B9</f>
        <v>-55.330269040970869</v>
      </c>
      <c r="C12" s="194">
        <f t="shared" ref="C12:K12" ca="1" si="7">C7+C9</f>
        <v>-30.053089863842196</v>
      </c>
      <c r="D12" s="194">
        <f t="shared" ca="1" si="7"/>
        <v>40.717709745773291</v>
      </c>
      <c r="E12" s="194">
        <f t="shared" ca="1" si="7"/>
        <v>106.31075386386431</v>
      </c>
      <c r="F12" s="244">
        <f t="shared" ca="1" si="7"/>
        <v>91.526704192089611</v>
      </c>
      <c r="G12" s="194">
        <f t="shared" si="7"/>
        <v>51.966338090579576</v>
      </c>
      <c r="H12" s="194">
        <f t="shared" si="7"/>
        <v>53.506028619228431</v>
      </c>
      <c r="I12" s="194">
        <f t="shared" si="7"/>
        <v>48.940145593922722</v>
      </c>
      <c r="J12" s="194">
        <f t="shared" si="7"/>
        <v>45.664793859628318</v>
      </c>
      <c r="K12" s="194">
        <f t="shared" si="7"/>
        <v>43.356943827930948</v>
      </c>
    </row>
    <row r="13" spans="1:11" ht="15" customHeight="1">
      <c r="A13" s="59" t="s">
        <v>500</v>
      </c>
      <c r="B13" s="194">
        <f t="shared" ref="B13" ca="1" si="8">B12-B11</f>
        <v>-26.92465862276546</v>
      </c>
      <c r="C13" s="194">
        <f t="shared" ref="C13:K13" ca="1" si="9">C12-C11</f>
        <v>-12.769854586709918</v>
      </c>
      <c r="D13" s="194">
        <f t="shared" ca="1" si="9"/>
        <v>52.906568733592124</v>
      </c>
      <c r="E13" s="194">
        <f t="shared" ca="1" si="9"/>
        <v>116.52423832359814</v>
      </c>
      <c r="F13" s="244">
        <f t="shared" ca="1" si="9"/>
        <v>100.83489830528487</v>
      </c>
      <c r="G13" s="194">
        <f t="shared" si="9"/>
        <v>69.966338090579569</v>
      </c>
      <c r="H13" s="194">
        <f t="shared" si="9"/>
        <v>71.506028619228431</v>
      </c>
      <c r="I13" s="194">
        <f t="shared" si="9"/>
        <v>66.940145593922722</v>
      </c>
      <c r="J13" s="194">
        <f t="shared" si="9"/>
        <v>63.664793859628318</v>
      </c>
      <c r="K13" s="194">
        <f t="shared" si="9"/>
        <v>61.356943827930948</v>
      </c>
    </row>
    <row r="14" spans="1:11" ht="15" customHeight="1">
      <c r="A14" s="59" t="s">
        <v>456</v>
      </c>
      <c r="B14" s="325">
        <f ca="1">'PL&amp;BS Projection'!B5/('PL&amp;BS Projection'!B27-'PL&amp;BS Projection'!B53)</f>
        <v>3.884281459619038</v>
      </c>
      <c r="C14" s="325">
        <f ca="1">'PL&amp;BS Projection'!C5/('PL&amp;BS Projection'!C27-'PL&amp;BS Projection'!C53)</f>
        <v>3.525457492365383</v>
      </c>
      <c r="D14" s="325">
        <f ca="1">'PL&amp;BS Projection'!D5/('PL&amp;BS Projection'!D27-'PL&amp;BS Projection'!D53)</f>
        <v>3.7287208424424869</v>
      </c>
      <c r="E14" s="325">
        <f ca="1">'PL&amp;BS Projection'!E5/('PL&amp;BS Projection'!E27-'PL&amp;BS Projection'!E53)</f>
        <v>2.5054127386732943</v>
      </c>
      <c r="F14" s="46">
        <f ca="1">'PL&amp;BS Projection'!F5/('PL&amp;BS Projection'!F27-'PL&amp;BS Projection'!F53)</f>
        <v>2.8941228754866613</v>
      </c>
      <c r="G14" s="325">
        <f ca="1">'PL&amp;BS Projection'!G5/('PL&amp;BS Projection'!G27-'PL&amp;BS Projection'!G53)</f>
        <v>2.0586463430689026</v>
      </c>
      <c r="H14" s="325">
        <f ca="1">'PL&amp;BS Projection'!H5/('PL&amp;BS Projection'!H27-'PL&amp;BS Projection'!H53)</f>
        <v>2.7896567737640541</v>
      </c>
      <c r="I14" s="325">
        <f ca="1">'PL&amp;BS Projection'!I5/('PL&amp;BS Projection'!I27-'PL&amp;BS Projection'!I53)</f>
        <v>4.6841817969459356</v>
      </c>
      <c r="J14" s="325">
        <f ca="1">'PL&amp;BS Projection'!J5/('PL&amp;BS Projection'!J27-'PL&amp;BS Projection'!J53)</f>
        <v>7.7114269541722011</v>
      </c>
      <c r="K14" s="325">
        <f ca="1">'PL&amp;BS Projection'!K5/('PL&amp;BS Projection'!K27-'PL&amp;BS Projection'!K53)</f>
        <v>10.088520685990842</v>
      </c>
    </row>
    <row r="15" spans="1:11" ht="15" customHeight="1">
      <c r="A15" s="59" t="s">
        <v>457</v>
      </c>
      <c r="B15" s="325">
        <f ca="1">'PL&amp;BS Projection'!B5/'PL&amp;BS Projection'!B35</f>
        <v>1.3037868028738249</v>
      </c>
      <c r="C15" s="325">
        <f ca="1">'PL&amp;BS Projection'!C5/'PL&amp;BS Projection'!C35</f>
        <v>1.1801944388038605</v>
      </c>
      <c r="D15" s="325">
        <f ca="1">'PL&amp;BS Projection'!D5/AVERAGE('PL&amp;BS Projection'!C35:D35)</f>
        <v>1.1829774098982155</v>
      </c>
      <c r="E15" s="325">
        <f ca="1">'PL&amp;BS Projection'!E5/AVERAGE('PL&amp;BS Projection'!D35:E35)</f>
        <v>0.84506371957220872</v>
      </c>
      <c r="F15" s="46">
        <f ca="1">'PL&amp;BS Projection'!F5/AVERAGE('PL&amp;BS Projection'!E35:F35)</f>
        <v>0.9985439780240648</v>
      </c>
      <c r="G15" s="325">
        <f ca="1">'PL&amp;BS Projection'!G5/AVERAGE('PL&amp;BS Projection'!F35:G35)</f>
        <v>1.2002410932856193</v>
      </c>
      <c r="H15" s="325">
        <f ca="1">'PL&amp;BS Projection'!H5/AVERAGE('PL&amp;BS Projection'!G35:H35)</f>
        <v>0.99195044869839188</v>
      </c>
      <c r="I15" s="325">
        <f ca="1">'PL&amp;BS Projection'!I5/AVERAGE('PL&amp;BS Projection'!H35:I35)</f>
        <v>0.98688293387898851</v>
      </c>
      <c r="J15" s="325">
        <f ca="1">'PL&amp;BS Projection'!J5/AVERAGE('PL&amp;BS Projection'!I35:J35)</f>
        <v>0.97039736127982845</v>
      </c>
      <c r="K15" s="325">
        <f ca="1">'PL&amp;BS Projection'!K5/AVERAGE('PL&amp;BS Projection'!J35:K35)</f>
        <v>0.94605981972254571</v>
      </c>
    </row>
    <row r="16" spans="1:11" ht="15" customHeight="1">
      <c r="A16" s="59" t="s">
        <v>458</v>
      </c>
      <c r="B16" s="325">
        <f ca="1">'PL&amp;BS Projection'!B5/'PL&amp;BS Projection'!B26</f>
        <v>0.62669244475283192</v>
      </c>
      <c r="C16" s="325">
        <f ca="1">'PL&amp;BS Projection'!C5/'PL&amp;BS Projection'!C26</f>
        <v>0.57507932888869695</v>
      </c>
      <c r="D16" s="325">
        <f ca="1">'PL&amp;BS Projection'!D5/AVERAGE('PL&amp;BS Projection'!C26:D26)</f>
        <v>0.5776647874752151</v>
      </c>
      <c r="E16" s="325">
        <f ca="1">'PL&amp;BS Projection'!E5/AVERAGE('PL&amp;BS Projection'!D26:E26)</f>
        <v>0.41903207243993407</v>
      </c>
      <c r="F16" s="46">
        <f ca="1">'PL&amp;BS Projection'!F5/AVERAGE('PL&amp;BS Projection'!E26:F26)</f>
        <v>0.50206883110417144</v>
      </c>
      <c r="G16" s="325">
        <f ca="1">'PL&amp;BS Projection'!G5/AVERAGE('PL&amp;BS Projection'!F26:G26)</f>
        <v>0.57517067554897128</v>
      </c>
      <c r="H16" s="325">
        <f ca="1">'PL&amp;BS Projection'!H5/AVERAGE('PL&amp;BS Projection'!G26:H26)</f>
        <v>0.50146356008346227</v>
      </c>
      <c r="I16" s="325">
        <f ca="1">'PL&amp;BS Projection'!I5/AVERAGE('PL&amp;BS Projection'!H26:I26)</f>
        <v>0.57461226912193941</v>
      </c>
      <c r="J16" s="325">
        <f ca="1">'PL&amp;BS Projection'!J5/AVERAGE('PL&amp;BS Projection'!I26:J26)</f>
        <v>0.6177929201994391</v>
      </c>
      <c r="K16" s="325">
        <f ca="1">'PL&amp;BS Projection'!K5/AVERAGE('PL&amp;BS Projection'!J26:K26)</f>
        <v>0.63721525458320427</v>
      </c>
    </row>
    <row r="17" spans="1:11" ht="3.75" customHeight="1">
      <c r="A17" s="59"/>
      <c r="B17" s="59"/>
      <c r="C17" s="59"/>
      <c r="D17" s="59"/>
      <c r="E17" s="59"/>
      <c r="F17" s="57"/>
      <c r="G17" s="59"/>
      <c r="H17" s="59"/>
      <c r="I17" s="59"/>
      <c r="J17" s="59"/>
      <c r="K17" s="59"/>
    </row>
    <row r="18" spans="1:11" ht="15" customHeight="1">
      <c r="A18" s="237" t="s">
        <v>459</v>
      </c>
      <c r="B18" s="59"/>
      <c r="C18" s="59"/>
      <c r="D18" s="59"/>
      <c r="E18" s="59"/>
      <c r="F18" s="57"/>
      <c r="G18" s="59"/>
      <c r="H18" s="59"/>
      <c r="I18" s="59"/>
      <c r="J18" s="59"/>
      <c r="K18" s="59"/>
    </row>
    <row r="19" spans="1:11" ht="15" customHeight="1">
      <c r="A19" s="59" t="s">
        <v>460</v>
      </c>
      <c r="B19" s="325">
        <f ca="1">'PL&amp;BS Projection'!B27/'PL&amp;BS Projection'!B54</f>
        <v>2.1082859241782077</v>
      </c>
      <c r="C19" s="325">
        <f ca="1">'PL&amp;BS Projection'!C27/'PL&amp;BS Projection'!C54</f>
        <v>2.0328443254939201</v>
      </c>
      <c r="D19" s="325">
        <f ca="1">'PL&amp;BS Projection'!D27/'PL&amp;BS Projection'!D54</f>
        <v>2.071889259239756</v>
      </c>
      <c r="E19" s="325">
        <f ca="1">'PL&amp;BS Projection'!E27/'PL&amp;BS Projection'!E54</f>
        <v>2.6758862315900922</v>
      </c>
      <c r="F19" s="46">
        <f ca="1">'PL&amp;BS Projection'!F27/'PL&amp;BS Projection'!F54</f>
        <v>2.6758862315900922</v>
      </c>
      <c r="G19" s="325">
        <f ca="1">'PL&amp;BS Projection'!G27/'PL&amp;BS Projection'!G54</f>
        <v>3.1959185945582118</v>
      </c>
      <c r="H19" s="325">
        <f ca="1">'PL&amp;BS Projection'!H27/'PL&amp;BS Projection'!H54</f>
        <v>2.613437674066311</v>
      </c>
      <c r="I19" s="325">
        <f ca="1">'PL&amp;BS Projection'!I27/'PL&amp;BS Projection'!I54</f>
        <v>1.9672051973304783</v>
      </c>
      <c r="J19" s="325">
        <f ca="1">'PL&amp;BS Projection'!J27/'PL&amp;BS Projection'!J54</f>
        <v>1.5907225213206024</v>
      </c>
      <c r="K19" s="325">
        <f ca="1">'PL&amp;BS Projection'!K27/'PL&amp;BS Projection'!K54</f>
        <v>1.4529305783259918</v>
      </c>
    </row>
    <row r="20" spans="1:11" ht="15" customHeight="1">
      <c r="A20" s="59" t="s">
        <v>461</v>
      </c>
      <c r="B20" s="325">
        <f ca="1">('PL&amp;BS Projection'!B27-'PL&amp;BS Projection'!B31)/'PL&amp;BS Projection'!B54</f>
        <v>1.3897673920148068</v>
      </c>
      <c r="C20" s="325">
        <f ca="1">('PL&amp;BS Projection'!C27-'PL&amp;BS Projection'!C31)/'PL&amp;BS Projection'!C54</f>
        <v>1.477019693343224</v>
      </c>
      <c r="D20" s="325">
        <f ca="1">('PL&amp;BS Projection'!D27-'PL&amp;BS Projection'!D31)/'PL&amp;BS Projection'!D54</f>
        <v>1.8097443956229218</v>
      </c>
      <c r="E20" s="325">
        <f ca="1">('PL&amp;BS Projection'!E27-'PL&amp;BS Projection'!E31)/'PL&amp;BS Projection'!E54</f>
        <v>2.5657123360440548</v>
      </c>
      <c r="F20" s="46">
        <f ca="1">('PL&amp;BS Projection'!F27-'PL&amp;BS Projection'!F31)/'PL&amp;BS Projection'!F54</f>
        <v>2.5657123360440548</v>
      </c>
      <c r="G20" s="325">
        <f ca="1">('PL&amp;BS Projection'!G27-'PL&amp;BS Projection'!G31)/'PL&amp;BS Projection'!G54</f>
        <v>2.8254653596999924</v>
      </c>
      <c r="H20" s="325">
        <f ca="1">('PL&amp;BS Projection'!H27-'PL&amp;BS Projection'!H31)/'PL&amp;BS Projection'!H54</f>
        <v>2.2346800876684711</v>
      </c>
      <c r="I20" s="325">
        <f ca="1">('PL&amp;BS Projection'!I27-'PL&amp;BS Projection'!I31)/'PL&amp;BS Projection'!I54</f>
        <v>1.6009480053134246</v>
      </c>
      <c r="J20" s="325">
        <f ca="1">('PL&amp;BS Projection'!J27-'PL&amp;BS Projection'!J31)/'PL&amp;BS Projection'!J54</f>
        <v>1.2349071720560585</v>
      </c>
      <c r="K20" s="325">
        <f ca="1">('PL&amp;BS Projection'!K27-'PL&amp;BS Projection'!K31)/'PL&amp;BS Projection'!K54</f>
        <v>1.1030583190804091</v>
      </c>
    </row>
    <row r="21" spans="1:11" ht="15" customHeight="1">
      <c r="A21" s="59" t="s">
        <v>462</v>
      </c>
      <c r="B21" s="325">
        <f ca="1">'PL&amp;BS Projection'!B28/'PL&amp;BS Projection'!B54</f>
        <v>0.13842159965568229</v>
      </c>
      <c r="C21" s="325">
        <f ca="1">'PL&amp;BS Projection'!C28/'PL&amp;BS Projection'!C54</f>
        <v>0.28353961242533327</v>
      </c>
      <c r="D21" s="325">
        <f ca="1">'PL&amp;BS Projection'!D28/'PL&amp;BS Projection'!D54</f>
        <v>0.34896173397455338</v>
      </c>
      <c r="E21" s="325">
        <f ca="1">'PL&amp;BS Projection'!E28/'PL&amp;BS Projection'!E54</f>
        <v>0.39882749433178522</v>
      </c>
      <c r="F21" s="46">
        <f ca="1">'PL&amp;BS Projection'!F28/'PL&amp;BS Projection'!F54</f>
        <v>0.39882749433178522</v>
      </c>
      <c r="G21" s="325">
        <f ca="1">'PL&amp;BS Projection'!G28/'PL&amp;BS Projection'!G54</f>
        <v>0.89724955308846799</v>
      </c>
      <c r="H21" s="325">
        <f ca="1">'PL&amp;BS Projection'!H28/'PL&amp;BS Projection'!H54</f>
        <v>0.26109291464157258</v>
      </c>
      <c r="I21" s="325">
        <f ca="1">'PL&amp;BS Projection'!I28/'PL&amp;BS Projection'!I54</f>
        <v>-0.22513820091387912</v>
      </c>
      <c r="J21" s="325">
        <f ca="1">'PL&amp;BS Projection'!J28/'PL&amp;BS Projection'!J54</f>
        <v>-0.48539565151117248</v>
      </c>
      <c r="K21" s="325">
        <f ca="1">'PL&amp;BS Projection'!K28/'PL&amp;BS Projection'!K54</f>
        <v>-0.54074703139756153</v>
      </c>
    </row>
    <row r="22" spans="1:11" ht="15" customHeight="1">
      <c r="A22" s="59" t="s">
        <v>501</v>
      </c>
      <c r="B22" s="325"/>
      <c r="C22" s="325">
        <f ca="1">('CF projection'!B17-'CF projection'!B20)/'PL&amp;BS Projection'!C5</f>
        <v>0.34562081786176108</v>
      </c>
      <c r="D22" s="325">
        <f ca="1">('CF projection'!C17-'CF projection'!C20)/'PL&amp;BS Projection'!D5</f>
        <v>0.16594641568329563</v>
      </c>
      <c r="E22" s="325">
        <f ca="1">('CF projection'!D17-'CF projection'!D20)/'PL&amp;BS Projection'!E5</f>
        <v>9.8694383554433496E-2</v>
      </c>
      <c r="F22" s="46">
        <f ca="1">('CF projection'!E17-'CF projection'!E20)/'PL&amp;BS Projection'!F5</f>
        <v>8.5438724073250025E-2</v>
      </c>
      <c r="G22" s="325">
        <f ca="1">('CF projection'!F17-'CF projection'!F20)/'PL&amp;BS Projection'!G5</f>
        <v>0.23805495136201452</v>
      </c>
      <c r="H22" s="325">
        <f ca="1">('CF projection'!G17-'CF projection'!G20)/'PL&amp;BS Projection'!H5</f>
        <v>0.55318573919300496</v>
      </c>
      <c r="I22" s="325">
        <f ca="1">('CF projection'!H17-'CF projection'!H20)/'PL&amp;BS Projection'!I5</f>
        <v>0.47339593673252783</v>
      </c>
      <c r="J22" s="325">
        <f ca="1">('CF projection'!I17-'CF projection'!I20)/'PL&amp;BS Projection'!J5</f>
        <v>0.48216300522965461</v>
      </c>
      <c r="K22" s="325">
        <f ca="1">('CF projection'!J17-'CF projection'!J20)/'PL&amp;BS Projection'!K5</f>
        <v>0.45051901199175787</v>
      </c>
    </row>
    <row r="23" spans="1:11" ht="3" customHeight="1">
      <c r="A23" s="59"/>
      <c r="B23" s="59"/>
      <c r="C23" s="59"/>
      <c r="D23" s="59"/>
      <c r="E23" s="59"/>
      <c r="F23" s="57"/>
      <c r="G23" s="59"/>
      <c r="H23" s="59"/>
      <c r="I23" s="59"/>
      <c r="J23" s="59"/>
      <c r="K23" s="59"/>
    </row>
    <row r="24" spans="1:11" ht="15" customHeight="1">
      <c r="A24" s="237" t="s">
        <v>463</v>
      </c>
      <c r="B24" s="59"/>
      <c r="C24" s="59"/>
      <c r="D24" s="59"/>
      <c r="E24" s="59"/>
      <c r="F24" s="57"/>
      <c r="G24" s="59"/>
      <c r="H24" s="59"/>
      <c r="I24" s="59"/>
      <c r="J24" s="59"/>
      <c r="K24" s="59"/>
    </row>
    <row r="25" spans="1:11" ht="15" customHeight="1">
      <c r="A25" s="59" t="s">
        <v>464</v>
      </c>
      <c r="B25" s="325">
        <f ca="1">'PL&amp;BS Projection'!B53/'PL&amp;BS Projection'!B26</f>
        <v>0.15494355599313528</v>
      </c>
      <c r="C25" s="325">
        <f ca="1">'PL&amp;BS Projection'!C53/'PL&amp;BS Projection'!C26</f>
        <v>0.1682842671290195</v>
      </c>
      <c r="D25" s="325">
        <f ca="1">'PL&amp;BS Projection'!D53/'PL&amp;BS Projection'!D26</f>
        <v>0.14758201066080928</v>
      </c>
      <c r="E25" s="325">
        <f ca="1">'PL&amp;BS Projection'!E53/'PL&amp;BS Projection'!E26</f>
        <v>0.10351463660616833</v>
      </c>
      <c r="F25" s="46">
        <f ca="1">'PL&amp;BS Projection'!F53/'PL&amp;BS Projection'!F26</f>
        <v>0.10351463660616833</v>
      </c>
      <c r="G25" s="325">
        <f ca="1">'PL&amp;BS Projection'!G53/'PL&amp;BS Projection'!G26</f>
        <v>0.12103326497922104</v>
      </c>
      <c r="H25" s="325">
        <f ca="1">'PL&amp;BS Projection'!H53/'PL&amp;BS Projection'!H26</f>
        <v>0.10900976420388762</v>
      </c>
      <c r="I25" s="325">
        <f ca="1">'PL&amp;BS Projection'!I53/'PL&amp;BS Projection'!I26</f>
        <v>0.12112886537960088</v>
      </c>
      <c r="J25" s="325">
        <f ca="1">'PL&amp;BS Projection'!J53/'PL&amp;BS Projection'!J26</f>
        <v>0.1280448095548965</v>
      </c>
      <c r="K25" s="325">
        <f ca="1">'PL&amp;BS Projection'!K53/'PL&amp;BS Projection'!K26</f>
        <v>0.13170452477750116</v>
      </c>
    </row>
    <row r="26" spans="1:11" ht="15" customHeight="1">
      <c r="A26" s="59" t="s">
        <v>465</v>
      </c>
      <c r="B26" s="325">
        <f ca="1">'PL&amp;BS Projection'!B53/'PL&amp;BS Projection'!B73</f>
        <v>0.18335290747972405</v>
      </c>
      <c r="C26" s="325">
        <f ca="1">'PL&amp;BS Projection'!C53/'PL&amp;BS Projection'!C73</f>
        <v>0.20233387499852012</v>
      </c>
      <c r="D26" s="325">
        <f ca="1">'PL&amp;BS Projection'!D53/'PL&amp;BS Projection'!D73</f>
        <v>0.17313338351202257</v>
      </c>
      <c r="E26" s="325">
        <f ca="1">'PL&amp;BS Projection'!E53/'PL&amp;BS Projection'!E73</f>
        <v>0.11546717975884421</v>
      </c>
      <c r="F26" s="46">
        <f ca="1">'PL&amp;BS Projection'!F53/'PL&amp;BS Projection'!F73</f>
        <v>0.11546717975884421</v>
      </c>
      <c r="G26" s="325">
        <f ca="1">'PL&amp;BS Projection'!G53/'PL&amp;BS Projection'!G73</f>
        <v>0.13769948299165113</v>
      </c>
      <c r="H26" s="325">
        <f ca="1">'PL&amp;BS Projection'!H53/'PL&amp;BS Projection'!H73</f>
        <v>0.12234675513192862</v>
      </c>
      <c r="I26" s="325">
        <f ca="1">'PL&amp;BS Projection'!I53/'PL&amp;BS Projection'!I73</f>
        <v>0.13782323779687061</v>
      </c>
      <c r="J26" s="325">
        <f ca="1">'PL&amp;BS Projection'!J53/'PL&amp;BS Projection'!J73</f>
        <v>0.1468479240194695</v>
      </c>
      <c r="K26" s="325">
        <f ca="1">'PL&amp;BS Projection'!K53/'PL&amp;BS Projection'!K73</f>
        <v>0.15168168962720319</v>
      </c>
    </row>
    <row r="27" spans="1:11" ht="15" customHeight="1">
      <c r="A27" s="59" t="s">
        <v>502</v>
      </c>
      <c r="B27" s="325">
        <f ca="1">'PL&amp;BS Projection'!B53/'PL&amp;BS Projection'!B10</f>
        <v>0.50080923701730917</v>
      </c>
      <c r="C27" s="325">
        <f ca="1">'PL&amp;BS Projection'!C53/'PL&amp;BS Projection'!C10</f>
        <v>0.58924130227244087</v>
      </c>
      <c r="D27" s="325">
        <f ca="1">'PL&amp;BS Projection'!D53/'PL&amp;BS Projection'!D10</f>
        <v>0.87300605825751998</v>
      </c>
      <c r="E27" s="325">
        <f ca="1">'PL&amp;BS Projection'!E53/'PL&amp;BS Projection'!E10</f>
        <v>1.2390723672119071</v>
      </c>
      <c r="F27" s="46">
        <f ca="1">'PL&amp;BS Projection'!F53/'PL&amp;BS Projection'!F10</f>
        <v>0.85371459562234164</v>
      </c>
      <c r="G27" s="325">
        <f ca="1">'PL&amp;BS Projection'!G53/'PL&amp;BS Projection'!G10</f>
        <v>1.0739475244247234</v>
      </c>
      <c r="H27" s="325">
        <f ca="1">'PL&amp;BS Projection'!H53/'PL&amp;BS Projection'!H10</f>
        <v>1.1921763229275335</v>
      </c>
      <c r="I27" s="325">
        <f ca="1">'PL&amp;BS Projection'!I53/'PL&amp;BS Projection'!I10</f>
        <v>1.02270086111015</v>
      </c>
      <c r="J27" s="325">
        <f ca="1">'PL&amp;BS Projection'!J53/'PL&amp;BS Projection'!J10</f>
        <v>0.9141491156926792</v>
      </c>
      <c r="K27" s="325">
        <f ca="1">'PL&amp;BS Projection'!K53/'PL&amp;BS Projection'!K10</f>
        <v>0.86206974219710553</v>
      </c>
    </row>
    <row r="28" spans="1:11" ht="15" customHeight="1">
      <c r="A28" s="59" t="s">
        <v>467</v>
      </c>
      <c r="B28" s="325">
        <f ca="1">IF('PL&amp;BS Projection'!B17=0,"",'PL&amp;BS Projection'!B12/'PL&amp;BS Projection'!B17)</f>
        <v>-88.168305788809306</v>
      </c>
      <c r="C28" s="325">
        <f ca="1">IF('PL&amp;BS Projection'!C17=0,"",'PL&amp;BS Projection'!C12/'PL&amp;BS Projection'!C17)</f>
        <v>-12.488743589123656</v>
      </c>
      <c r="D28" s="325">
        <f ca="1">IF('PL&amp;BS Projection'!D17=0,"",'PL&amp;BS Projection'!D12/'PL&amp;BS Projection'!D17)</f>
        <v>-11.405572327003863</v>
      </c>
      <c r="E28" s="325">
        <f ca="1">IF('PL&amp;BS Projection'!E17=0,"",'PL&amp;BS Projection'!E12/'PL&amp;BS Projection'!E17)</f>
        <v>-6.2338385022108964</v>
      </c>
      <c r="F28" s="46">
        <f ca="1">IF('PL&amp;BS Projection'!F17=0,"",'PL&amp;BS Projection'!F12/'PL&amp;BS Projection'!F17)</f>
        <v>-37.884806084162143</v>
      </c>
      <c r="G28" s="325">
        <f ca="1">IF('PL&amp;BS Projection'!G17=0,"",'PL&amp;BS Projection'!G12/'PL&amp;BS Projection'!G17)</f>
        <v>-19.41541320482937</v>
      </c>
      <c r="H28" s="325">
        <f ca="1">IF('PL&amp;BS Projection'!H17=0,"",'PL&amp;BS Projection'!H12/'PL&amp;BS Projection'!H17)</f>
        <v>-16.00665012484718</v>
      </c>
      <c r="I28" s="325">
        <f ca="1">IF('PL&amp;BS Projection'!I17=0,"",'PL&amp;BS Projection'!I12/'PL&amp;BS Projection'!I17)</f>
        <v>-20.859044482616433</v>
      </c>
      <c r="J28" s="325">
        <f ca="1">IF('PL&amp;BS Projection'!J17=0,"",'PL&amp;BS Projection'!J12/'PL&amp;BS Projection'!J17)</f>
        <v>-24.72831396478551</v>
      </c>
      <c r="K28" s="325">
        <f ca="1">IF('PL&amp;BS Projection'!K17=0,"",'PL&amp;BS Projection'!K12/'PL&amp;BS Projection'!K17)</f>
        <v>-27.038242985815767</v>
      </c>
    </row>
    <row r="29" spans="1:11" ht="15" customHeight="1">
      <c r="A29" s="59" t="s">
        <v>503</v>
      </c>
      <c r="B29" s="325"/>
      <c r="C29" s="325">
        <f ca="1">('CF projection'!B17-'CF projection'!B20)/'PL&amp;BS Projection'!C53</f>
        <v>1.1810931073759858</v>
      </c>
      <c r="D29" s="325">
        <f ca="1">('CF projection'!C17-'CF projection'!C20)/'PL&amp;BS Projection'!D53</f>
        <v>0.66325062190368045</v>
      </c>
      <c r="E29" s="325">
        <f ca="1">('CF projection'!D17-'CF projection'!D20)/'PL&amp;BS Projection'!E53</f>
        <v>0.414396666335129</v>
      </c>
      <c r="F29" s="46">
        <f ca="1">('CF projection'!E17-'CF projection'!E20)/'PL&amp;BS Projection'!F53</f>
        <v>0.414396666335129</v>
      </c>
      <c r="G29" s="325">
        <f ca="1">('CF projection'!F17-'CF projection'!F20)/'PL&amp;BS Projection'!G53</f>
        <v>1.0761559228929962</v>
      </c>
      <c r="H29" s="325">
        <f ca="1">('CF projection'!G17-'CF projection'!G20)/'PL&amp;BS Projection'!H53</f>
        <v>2.4898543475560264</v>
      </c>
      <c r="I29" s="325">
        <f ca="1">('CF projection'!H17-'CF projection'!H20)/'PL&amp;BS Projection'!I53</f>
        <v>2.1447510522781847</v>
      </c>
      <c r="J29" s="325">
        <f ca="1">('CF projection'!I17-'CF projection'!I20)/'PL&amp;BS Projection'!J53</f>
        <v>2.1964036822890316</v>
      </c>
      <c r="K29" s="325">
        <f ca="1">('CF projection'!J17-'CF projection'!J20)/'PL&amp;BS Projection'!K53</f>
        <v>2.058601352081983</v>
      </c>
    </row>
    <row r="30" spans="1:11" ht="15" customHeight="1">
      <c r="A30" s="59" t="s">
        <v>466</v>
      </c>
      <c r="B30" s="325">
        <f ca="1">'PL&amp;BS Projection'!B26/'PL&amp;BS Projection'!B73</f>
        <v>1.183352907479724</v>
      </c>
      <c r="C30" s="325">
        <f ca="1">'PL&amp;BS Projection'!C26/'PL&amp;BS Projection'!C73</f>
        <v>1.2023338749985202</v>
      </c>
      <c r="D30" s="325">
        <f ca="1">'PL&amp;BS Projection'!D26/'PL&amp;BS Projection'!D73</f>
        <v>1.1731333835120226</v>
      </c>
      <c r="E30" s="325">
        <f ca="1">'PL&amp;BS Projection'!E26/'PL&amp;BS Projection'!E73</f>
        <v>1.1154671797588445</v>
      </c>
      <c r="F30" s="46">
        <f ca="1">'PL&amp;BS Projection'!F26/'PL&amp;BS Projection'!F73</f>
        <v>1.1154671797588445</v>
      </c>
      <c r="G30" s="325">
        <f ca="1">'PL&amp;BS Projection'!G26/'PL&amp;BS Projection'!G73</f>
        <v>1.1376994829916498</v>
      </c>
      <c r="H30" s="325">
        <f ca="1">'PL&amp;BS Projection'!H26/'PL&amp;BS Projection'!H73</f>
        <v>1.1223467551319166</v>
      </c>
      <c r="I30" s="325">
        <f ca="1">'PL&amp;BS Projection'!I26/'PL&amp;BS Projection'!I73</f>
        <v>1.1378232377968034</v>
      </c>
      <c r="J30" s="325">
        <f ca="1">'PL&amp;BS Projection'!J26/'PL&amp;BS Projection'!J73</f>
        <v>1.1468479240192206</v>
      </c>
      <c r="K30" s="325">
        <f ca="1">'PL&amp;BS Projection'!K26/'PL&amp;BS Projection'!K73</f>
        <v>1.151681689626465</v>
      </c>
    </row>
    <row r="31" spans="1:11" ht="15" customHeight="1">
      <c r="A31" s="59" t="s">
        <v>507</v>
      </c>
      <c r="B31" s="325">
        <f ca="1">'PL&amp;BS Projection'!B5/'PL&amp;BS Projection'!B26</f>
        <v>0.62669244475283192</v>
      </c>
      <c r="C31" s="325">
        <f ca="1">'PL&amp;BS Projection'!C5/'PL&amp;BS Projection'!C26</f>
        <v>0.57507932888869695</v>
      </c>
      <c r="D31" s="325">
        <f ca="1">'PL&amp;BS Projection'!D5/'PL&amp;BS Projection'!D26</f>
        <v>0.58985221192957937</v>
      </c>
      <c r="E31" s="325">
        <f ca="1">'PL&amp;BS Projection'!E5/'PL&amp;BS Projection'!E26</f>
        <v>0.43463588080298127</v>
      </c>
      <c r="F31" s="46">
        <f ca="1">'PL&amp;BS Projection'!F5/'PL&amp;BS Projection'!F26</f>
        <v>0.50206883110417144</v>
      </c>
      <c r="G31" s="325">
        <f ca="1">'PL&amp;BS Projection'!G5/'PL&amp;BS Projection'!G26</f>
        <v>0.54714537223126947</v>
      </c>
      <c r="H31" s="325">
        <f ca="1">'PL&amp;BS Projection'!H5/'PL&amp;BS Projection'!H26</f>
        <v>0.49064611774890637</v>
      </c>
      <c r="I31" s="325">
        <f ca="1">'PL&amp;BS Projection'!I5/'PL&amp;BS Projection'!I26</f>
        <v>0.54878219546473539</v>
      </c>
      <c r="J31" s="325">
        <f ca="1">'PL&amp;BS Projection'!J5/'PL&amp;BS Projection'!J26</f>
        <v>0.58328425896221248</v>
      </c>
      <c r="K31" s="325">
        <f ca="1">'PL&amp;BS Projection'!K5/'PL&amp;BS Projection'!K26</f>
        <v>0.60181059081972577</v>
      </c>
    </row>
    <row r="32" spans="1:11" ht="15" customHeight="1">
      <c r="A32" s="59"/>
      <c r="B32" s="59"/>
      <c r="C32" s="59"/>
      <c r="D32" s="59"/>
      <c r="E32" s="59"/>
      <c r="F32" s="57"/>
      <c r="G32" s="59"/>
      <c r="H32" s="59"/>
      <c r="I32" s="59"/>
      <c r="J32" s="59"/>
      <c r="K32" s="59"/>
    </row>
    <row r="33" spans="1:11" ht="15" customHeight="1">
      <c r="A33" s="237" t="s">
        <v>468</v>
      </c>
      <c r="B33" s="59"/>
      <c r="C33" s="59"/>
      <c r="D33" s="59"/>
      <c r="E33" s="59"/>
      <c r="F33" s="57"/>
      <c r="G33" s="59"/>
      <c r="H33" s="59"/>
      <c r="I33" s="59"/>
      <c r="J33" s="59"/>
      <c r="K33" s="59"/>
    </row>
    <row r="34" spans="1:11" ht="15" customHeight="1">
      <c r="A34" s="59" t="s">
        <v>469</v>
      </c>
      <c r="B34" s="402">
        <f ca="1">'PL&amp;BS Projection'!B7/'PL&amp;BS Projection'!B5</f>
        <v>0.38007879955104018</v>
      </c>
      <c r="C34" s="402">
        <f ca="1">'PL&amp;BS Projection'!C7/'PL&amp;BS Projection'!C5</f>
        <v>0.37161989002405771</v>
      </c>
      <c r="D34" s="402">
        <f ca="1">'PL&amp;BS Projection'!D7/'PL&amp;BS Projection'!D5</f>
        <v>0.19081414154823323</v>
      </c>
      <c r="E34" s="402">
        <f ca="1">'PL&amp;BS Projection'!E7/'PL&amp;BS Projection'!E5</f>
        <v>0.13454117070362312</v>
      </c>
      <c r="F34" s="216">
        <f ca="1">'PL&amp;BS Projection'!F7/'PL&amp;BS Projection'!F5</f>
        <v>0.17791404387924417</v>
      </c>
      <c r="G34" s="402">
        <f>'PL&amp;BS Projection'!G7/'PL&amp;BS Projection'!G5</f>
        <v>0.27046788006366079</v>
      </c>
      <c r="H34" s="402">
        <f>'PL&amp;BS Projection'!H7/'PL&amp;BS Projection'!H5</f>
        <v>0.25085241898743987</v>
      </c>
      <c r="I34" s="402">
        <f>'PL&amp;BS Projection'!I7/'PL&amp;BS Projection'!I5</f>
        <v>0.28031441241613464</v>
      </c>
      <c r="J34" s="402">
        <f>'PL&amp;BS Projection'!J7/'PL&amp;BS Projection'!J5</f>
        <v>0.30463086684031598</v>
      </c>
      <c r="K34" s="402">
        <f>'PL&amp;BS Projection'!K7/'PL&amp;BS Projection'!K5</f>
        <v>0.31835322162386376</v>
      </c>
    </row>
    <row r="35" spans="1:11" ht="15" customHeight="1">
      <c r="A35" s="59" t="s">
        <v>755</v>
      </c>
      <c r="B35" s="402">
        <f ca="1">'PL&amp;BS Projection'!B12/'PL&amp;BS Projection'!B5</f>
        <v>0.47889790361297718</v>
      </c>
      <c r="C35" s="402">
        <f ca="1">'PL&amp;BS Projection'!C12/'PL&amp;BS Projection'!C5</f>
        <v>0.46038359747045132</v>
      </c>
      <c r="D35" s="402">
        <f ca="1">'PL&amp;BS Projection'!D12/'PL&amp;BS Projection'!D5</f>
        <v>0.21224938220272813</v>
      </c>
      <c r="E35" s="402">
        <f ca="1">'PL&amp;BS Projection'!E12/'PL&amp;BS Projection'!E5</f>
        <v>0.1113313067068973</v>
      </c>
      <c r="F35" s="216">
        <f ca="1">'PL&amp;BS Projection'!F12/'PL&amp;BS Projection'!F5</f>
        <v>0.17148759867727542</v>
      </c>
      <c r="G35" s="402">
        <f ca="1">'PL&amp;BS Projection'!G12/'PL&amp;BS Projection'!G5</f>
        <v>0.15905704925120939</v>
      </c>
      <c r="H35" s="402">
        <f ca="1">'PL&amp;BS Projection'!H12/'PL&amp;BS Projection'!H5</f>
        <v>0.1311314114407523</v>
      </c>
      <c r="I35" s="402">
        <f ca="1">'PL&amp;BS Projection'!I12/'PL&amp;BS Projection'!I5</f>
        <v>0.17088372163922985</v>
      </c>
      <c r="J35" s="402">
        <f ca="1">'PL&amp;BS Projection'!J12/'PL&amp;BS Projection'!J5</f>
        <v>0.20258196983507493</v>
      </c>
      <c r="K35" s="402">
        <f ca="1">'PL&amp;BS Projection'!K12/'PL&amp;BS Projection'!K5</f>
        <v>0.22150562034864829</v>
      </c>
    </row>
    <row r="36" spans="1:11" ht="15" customHeight="1">
      <c r="A36" s="59" t="s">
        <v>756</v>
      </c>
      <c r="B36" s="402">
        <f ca="1">'PL&amp;BS Projection'!B10/'PL&amp;BS Projection'!B5</f>
        <v>0.49368135958391152</v>
      </c>
      <c r="C36" s="402">
        <f ca="1">'PL&amp;BS Projection'!C10/'PL&amp;BS Projection'!C5</f>
        <v>0.49661813865010168</v>
      </c>
      <c r="D36" s="402">
        <f ca="1">'PL&amp;BS Projection'!D10/'PL&amp;BS Projection'!D5</f>
        <v>0.28659786645700686</v>
      </c>
      <c r="E36" s="402">
        <f ca="1">'PL&amp;BS Projection'!E10/'PL&amp;BS Projection'!E5</f>
        <v>0.19221156463787464</v>
      </c>
      <c r="F36" s="216">
        <f ca="1">'PL&amp;BS Projection'!F10/'PL&amp;BS Projection'!F5</f>
        <v>0.24150481537661053</v>
      </c>
      <c r="G36" s="402">
        <f ca="1">'PL&amp;BS Projection'!G10/'PL&amp;BS Projection'!G5</f>
        <v>0.20597710856629445</v>
      </c>
      <c r="H36" s="402">
        <f ca="1">'PL&amp;BS Projection'!H10/'PL&amp;BS Projection'!H5</f>
        <v>0.18636164749007345</v>
      </c>
      <c r="I36" s="402">
        <f ca="1">'PL&amp;BS Projection'!I10/'PL&amp;BS Projection'!I5</f>
        <v>0.21582364091876824</v>
      </c>
      <c r="J36" s="402">
        <f ca="1">'PL&amp;BS Projection'!J10/'PL&amp;BS Projection'!J5</f>
        <v>0.24014009534294956</v>
      </c>
      <c r="K36" s="402">
        <f ca="1">'PL&amp;BS Projection'!K10/'PL&amp;BS Projection'!K5</f>
        <v>0.25386245012649733</v>
      </c>
    </row>
    <row r="37" spans="1:11" ht="15" customHeight="1">
      <c r="A37" s="59" t="s">
        <v>470</v>
      </c>
      <c r="B37" s="402">
        <f ca="1">'PL&amp;BS Projection'!B19/'PL&amp;BS Projection'!B5</f>
        <v>0.29830726882756681</v>
      </c>
      <c r="C37" s="402">
        <f ca="1">'PL&amp;BS Projection'!C19/'PL&amp;BS Projection'!C5</f>
        <v>0.2143294582040739</v>
      </c>
      <c r="D37" s="402">
        <f ca="1">'PL&amp;BS Projection'!D19/'PL&amp;BS Projection'!D5</f>
        <v>8.7233901641578709E-2</v>
      </c>
      <c r="E37" s="402">
        <f ca="1">'PL&amp;BS Projection'!E19/'PL&amp;BS Projection'!E5</f>
        <v>7.2441820527684248E-2</v>
      </c>
      <c r="F37" s="216">
        <f ca="1">'PL&amp;BS Projection'!F19/'PL&amp;BS Projection'!F5</f>
        <v>0.11058800429786821</v>
      </c>
      <c r="G37" s="402">
        <f ca="1">'PL&amp;BS Projection'!G19/'PL&amp;BS Projection'!G5</f>
        <v>0.25104285962869749</v>
      </c>
      <c r="H37" s="402">
        <f ca="1">'PL&amp;BS Projection'!H19/'PL&amp;BS Projection'!H5</f>
        <v>0.24437612542407114</v>
      </c>
      <c r="I37" s="402">
        <f ca="1">'PL&amp;BS Projection'!I19/'PL&amp;BS Projection'!I5</f>
        <v>0.26730727862358422</v>
      </c>
      <c r="J37" s="402">
        <f ca="1">'PL&amp;BS Projection'!J19/'PL&amp;BS Projection'!J5</f>
        <v>0.28795868636258598</v>
      </c>
      <c r="K37" s="402">
        <f ca="1">'PL&amp;BS Projection'!K19/'PL&amp;BS Projection'!K5</f>
        <v>0.30051266353794737</v>
      </c>
    </row>
    <row r="38" spans="1:11" ht="15" customHeight="1">
      <c r="A38" s="59" t="s">
        <v>471</v>
      </c>
      <c r="B38" s="402">
        <f ca="1">'PL&amp;BS Projection'!B21/'PL&amp;BS Projection'!B5</f>
        <v>0.22838733857354399</v>
      </c>
      <c r="C38" s="402">
        <f ca="1">'PL&amp;BS Projection'!C21/'PL&amp;BS Projection'!C5</f>
        <v>0.17568714989045353</v>
      </c>
      <c r="D38" s="402">
        <f ca="1">'PL&amp;BS Projection'!D21/'PL&amp;BS Projection'!D5</f>
        <v>7.2694682721492113E-2</v>
      </c>
      <c r="E38" s="402">
        <f ca="1">'PL&amp;BS Projection'!E21/'PL&amp;BS Projection'!E5</f>
        <v>5.6954429308894133E-2</v>
      </c>
      <c r="F38" s="216">
        <f ca="1">'PL&amp;BS Projection'!F21/'PL&amp;BS Projection'!F5</f>
        <v>8.6768803145267956E-2</v>
      </c>
      <c r="G38" s="402">
        <f ca="1">'PL&amp;BS Projection'!G21/'PL&amp;BS Projection'!G5</f>
        <v>0.200834287702958</v>
      </c>
      <c r="H38" s="402">
        <f ca="1">'PL&amp;BS Projection'!H21/'PL&amp;BS Projection'!H5</f>
        <v>0.19550090033925693</v>
      </c>
      <c r="I38" s="402">
        <f ca="1">'PL&amp;BS Projection'!I21/'PL&amp;BS Projection'!I5</f>
        <v>0.21919196847133904</v>
      </c>
      <c r="J38" s="402">
        <f ca="1">'PL&amp;BS Projection'!J21/'PL&amp;BS Projection'!J5</f>
        <v>0.23612612281732051</v>
      </c>
      <c r="K38" s="402">
        <f ca="1">'PL&amp;BS Projection'!K21/'PL&amp;BS Projection'!K5</f>
        <v>0.24642038410111683</v>
      </c>
    </row>
    <row r="39" spans="1:11" ht="15" customHeight="1">
      <c r="A39" s="59" t="s">
        <v>504</v>
      </c>
      <c r="B39" s="402">
        <f ca="1">'PL&amp;BS Projection'!B21/'PL&amp;BS Projection'!B26</f>
        <v>0.14312861956124703</v>
      </c>
      <c r="C39" s="402">
        <f ca="1">'PL&amp;BS Projection'!C21/'PL&amp;BS Projection'!C26</f>
        <v>0.10103404825336991</v>
      </c>
      <c r="D39" s="402">
        <f ca="1">'PL&amp;BS Projection'!D21/AVERAGE('PL&amp;BS Projection'!C26:D26)</f>
        <v>4.1993158444888934E-2</v>
      </c>
      <c r="E39" s="402">
        <f ca="1">'PL&amp;BS Projection'!E21/AVERAGE('PL&amp;BS Projection'!D26:E26)</f>
        <v>2.3865732547939632E-2</v>
      </c>
      <c r="F39" s="216">
        <f ca="1">'PL&amp;BS Projection'!F21/AVERAGE('PL&amp;BS Projection'!E26:F26)</f>
        <v>4.3563911571452632E-2</v>
      </c>
      <c r="G39" s="402">
        <f ca="1">'PL&amp;BS Projection'!G21/AVERAGE('PL&amp;BS Projection'!F26:G26)</f>
        <v>0.1155139929315068</v>
      </c>
      <c r="H39" s="402">
        <f ca="1">'PL&amp;BS Projection'!H21/AVERAGE('PL&amp;BS Projection'!G26:H26)</f>
        <v>9.8036577483645942E-2</v>
      </c>
      <c r="I39" s="402">
        <f ca="1">'PL&amp;BS Projection'!I21/AVERAGE('PL&amp;BS Projection'!H26:I26)</f>
        <v>0.12595039437662073</v>
      </c>
      <c r="J39" s="402">
        <f ca="1">'PL&amp;BS Projection'!J21/AVERAGE('PL&amp;BS Projection'!I26:J26)</f>
        <v>0.14587704695068385</v>
      </c>
      <c r="K39" s="402">
        <f ca="1">'PL&amp;BS Projection'!K21/AVERAGE('PL&amp;BS Projection'!J26:K26)</f>
        <v>0.15702282778948415</v>
      </c>
    </row>
    <row r="40" spans="1:11" ht="15" customHeight="1">
      <c r="A40" s="59" t="s">
        <v>505</v>
      </c>
      <c r="B40" s="402">
        <f ca="1">'PL&amp;BS Projection'!B21/'PL&amp;BS Projection'!B73</f>
        <v>0.16937166810136098</v>
      </c>
      <c r="C40" s="402">
        <f ca="1">'PL&amp;BS Projection'!C21/'PL&amp;BS Projection'!C73</f>
        <v>0.12147665874326172</v>
      </c>
      <c r="D40" s="402">
        <f ca="1">'PL&amp;BS Projection'!D21/AVERAGE('PL&amp;BS Projection'!C73:D73)</f>
        <v>4.9881819093509382E-2</v>
      </c>
      <c r="E40" s="402">
        <f ca="1">'PL&amp;BS Projection'!E21/AVERAGE('PL&amp;BS Projection'!D73:E73)</f>
        <v>2.7316936627577473E-2</v>
      </c>
      <c r="F40" s="216">
        <f ca="1">'PL&amp;BS Projection'!F21/AVERAGE('PL&amp;BS Projection'!E73:F73)</f>
        <v>4.8594113579871957E-2</v>
      </c>
      <c r="G40" s="402">
        <f ca="1">'PL&amp;BS Projection'!G21/AVERAGE('PL&amp;BS Projection'!F73:G73)</f>
        <v>0.130189267057647</v>
      </c>
      <c r="H40" s="402">
        <f ca="1">'PL&amp;BS Projection'!H21/AVERAGE('PL&amp;BS Projection'!G73:H73)</f>
        <v>0.1107618980271505</v>
      </c>
      <c r="I40" s="402">
        <f ca="1">'PL&amp;BS Projection'!I21/AVERAGE('PL&amp;BS Projection'!H73:I73)</f>
        <v>0.14237386391242576</v>
      </c>
      <c r="J40" s="402">
        <f ca="1">'PL&amp;BS Projection'!J21/AVERAGE('PL&amp;BS Projection'!I73:J73)</f>
        <v>0.16667689319553639</v>
      </c>
      <c r="K40" s="402">
        <f ca="1">'PL&amp;BS Projection'!K21/AVERAGE('PL&amp;BS Projection'!J73:K73)</f>
        <v>0.18048234083346773</v>
      </c>
    </row>
    <row r="41" spans="1:11" ht="15" customHeight="1">
      <c r="A41" s="59" t="s">
        <v>472</v>
      </c>
      <c r="B41" s="402">
        <f ca="1">'PL&amp;BS Projection'!B21/'PL&amp;BS Projection'!B75</f>
        <v>0.3569445459527435</v>
      </c>
      <c r="C41" s="402">
        <f ca="1">'PL&amp;BS Projection'!C21/'PL&amp;BS Projection'!C75</f>
        <v>0.2550210507365569</v>
      </c>
      <c r="D41" s="402">
        <f ca="1">'PL&amp;BS Projection'!D21/'PL&amp;BS Projection'!D75</f>
        <v>0.10384962776983463</v>
      </c>
      <c r="E41" s="402">
        <f ca="1">'PL&amp;BS Projection'!E21/'PL&amp;BS Projection'!E75</f>
        <v>5.579761757747019E-2</v>
      </c>
      <c r="F41" s="216">
        <f ca="1">'PL&amp;BS Projection'!F21/'PL&amp;BS Projection'!F75</f>
        <v>9.8195015544367686E-2</v>
      </c>
      <c r="G41" s="402">
        <f ca="1">'PL&amp;BS Projection'!G21/'PL&amp;BS Projection'!G75</f>
        <v>0.27443031437265875</v>
      </c>
      <c r="H41" s="402">
        <f ca="1">'PL&amp;BS Projection'!H21/'PL&amp;BS Projection'!H75</f>
        <v>0.25035818941189225</v>
      </c>
      <c r="I41" s="402">
        <f ca="1">'PL&amp;BS Projection'!I21/'PL&amp;BS Projection'!I75</f>
        <v>0.34497076242386293</v>
      </c>
      <c r="J41" s="402">
        <f ca="1">'PL&amp;BS Projection'!J21/'PL&amp;BS Projection'!J75</f>
        <v>0.44466205100366474</v>
      </c>
      <c r="K41" s="402">
        <f ca="1">'PL&amp;BS Projection'!K21/'PL&amp;BS Projection'!K75</f>
        <v>0.53864248572197959</v>
      </c>
    </row>
    <row r="42" spans="1:11" ht="15" customHeight="1">
      <c r="A42" s="59" t="s">
        <v>506</v>
      </c>
      <c r="B42" s="325"/>
      <c r="C42" s="325">
        <f ca="1">-'CF projection'!B34/'PL&amp;BS Projection'!C21</f>
        <v>0.78143116031455162</v>
      </c>
      <c r="D42" s="325">
        <f ca="1">-'CF projection'!C34/'PL&amp;BS Projection'!D21</f>
        <v>0.95919027332736673</v>
      </c>
      <c r="E42" s="325">
        <f ca="1">-'CF projection'!D34/'PL&amp;BS Projection'!E21</f>
        <v>1.2492857809510121</v>
      </c>
      <c r="F42" s="46">
        <f ca="1">-'CF projection'!E34/'PL&amp;BS Projection'!F21</f>
        <v>0.70988501670922188</v>
      </c>
      <c r="G42" s="325">
        <f ca="1">-'CF projection'!F34/'PL&amp;BS Projection'!G21</f>
        <v>0.3643912307158837</v>
      </c>
      <c r="H42" s="325">
        <f ca="1">-'CF projection'!G34/'PL&amp;BS Projection'!H21</f>
        <v>0.47931326026078003</v>
      </c>
      <c r="I42" s="325">
        <f ca="1">-'CF projection'!H34/'PL&amp;BS Projection'!I21</f>
        <v>0.43481945816525841</v>
      </c>
      <c r="J42" s="325">
        <f ca="1">-'CF projection'!I34/'PL&amp;BS Projection'!J21</f>
        <v>0.33733483588587942</v>
      </c>
      <c r="K42" s="325">
        <f ca="1">-'CF projection'!J34/'PL&amp;BS Projection'!K21</f>
        <v>0.37130379667680002</v>
      </c>
    </row>
    <row r="43" spans="1:11" ht="3" customHeight="1">
      <c r="A43" s="59"/>
      <c r="B43" s="59"/>
      <c r="C43" s="59"/>
      <c r="D43" s="59"/>
      <c r="E43" s="59"/>
      <c r="F43" s="57"/>
      <c r="G43" s="59"/>
      <c r="H43" s="59"/>
      <c r="I43" s="59"/>
      <c r="J43" s="59"/>
      <c r="K43" s="59"/>
    </row>
    <row r="44" spans="1:11" ht="15" customHeight="1">
      <c r="A44" s="237" t="s">
        <v>473</v>
      </c>
      <c r="B44" s="59"/>
      <c r="C44" s="59"/>
      <c r="D44" s="59"/>
      <c r="E44" s="59"/>
      <c r="F44" s="57"/>
      <c r="G44" s="59"/>
      <c r="H44" s="59"/>
      <c r="I44" s="59"/>
      <c r="J44" s="59"/>
      <c r="K44" s="59"/>
    </row>
    <row r="45" spans="1:11" ht="15" customHeight="1">
      <c r="A45" s="59" t="s">
        <v>474</v>
      </c>
      <c r="B45" s="402">
        <f ca="1">B39*B30</f>
        <v>0.16937166810136098</v>
      </c>
      <c r="C45" s="402">
        <f ca="1">C39*C30</f>
        <v>0.12147665874326172</v>
      </c>
      <c r="D45" s="402">
        <f t="shared" ref="D45:K45" ca="1" si="10">D39*D30</f>
        <v>4.926357605080902E-2</v>
      </c>
      <c r="E45" s="402">
        <f t="shared" ca="1" si="10"/>
        <v>2.6621441378129083E-2</v>
      </c>
      <c r="F45" s="216">
        <f t="shared" ca="1" si="10"/>
        <v>4.8594113579871957E-2</v>
      </c>
      <c r="G45" s="402">
        <f t="shared" ca="1" si="10"/>
        <v>0.13142021003647639</v>
      </c>
      <c r="H45" s="402">
        <f t="shared" ca="1" si="10"/>
        <v>0.11003103462300874</v>
      </c>
      <c r="I45" s="402">
        <f t="shared" ca="1" si="10"/>
        <v>0.14330928553139088</v>
      </c>
      <c r="J45" s="402">
        <f t="shared" ca="1" si="10"/>
        <v>0.16729878845744614</v>
      </c>
      <c r="K45" s="402">
        <f t="shared" ca="1" si="10"/>
        <v>0.18084031561851854</v>
      </c>
    </row>
    <row r="46" spans="1:11" ht="15" customHeight="1">
      <c r="A46" s="59" t="s">
        <v>475</v>
      </c>
      <c r="B46" s="402">
        <f ca="1">B38*B31*B30</f>
        <v>0.16937166810136098</v>
      </c>
      <c r="C46" s="402">
        <f ca="1">C38*C31*C30</f>
        <v>0.12147665874326173</v>
      </c>
      <c r="D46" s="402">
        <f t="shared" ref="D46:K46" ca="1" si="11">D38*D31*D30</f>
        <v>5.0302926422319802E-2</v>
      </c>
      <c r="E46" s="402">
        <f t="shared" ca="1" si="11"/>
        <v>2.7612763753988429E-2</v>
      </c>
      <c r="F46" s="216">
        <f t="shared" ca="1" si="11"/>
        <v>4.8594113579871964E-2</v>
      </c>
      <c r="G46" s="402">
        <f t="shared" ca="1" si="11"/>
        <v>0.1250167346770398</v>
      </c>
      <c r="H46" s="402">
        <f t="shared" ca="1" si="11"/>
        <v>0.10765747357732115</v>
      </c>
      <c r="I46" s="402">
        <f t="shared" ca="1" si="11"/>
        <v>0.13686722085585998</v>
      </c>
      <c r="J46" s="402">
        <f t="shared" ca="1" si="11"/>
        <v>0.15795381698316527</v>
      </c>
      <c r="K46" s="402">
        <f t="shared" ca="1" si="11"/>
        <v>0.17079254836356975</v>
      </c>
    </row>
    <row r="47" spans="1:11" ht="15" customHeight="1">
      <c r="A47" s="59" t="s">
        <v>476</v>
      </c>
      <c r="B47" s="402">
        <f ca="1">'PL&amp;BS Projection'!B21/'PL&amp;BS Projection'!B19*'PL&amp;BS Projection'!B19/'PL&amp;BS Projection'!B12*'PL&amp;BS Projection'!B12/'PL&amp;BS Projection'!B5*'PL&amp;BS Projection'!B5/'PL&amp;BS Projection'!B26*'PL&amp;BS Projection'!B26/'PL&amp;BS Projection'!B73</f>
        <v>0.16937166810136098</v>
      </c>
      <c r="C47" s="402">
        <f ca="1">'PL&amp;BS Projection'!C21/'PL&amp;BS Projection'!C19*'PL&amp;BS Projection'!C19/'PL&amp;BS Projection'!C12*'PL&amp;BS Projection'!C12/'PL&amp;BS Projection'!C5*'PL&amp;BS Projection'!C5/'PL&amp;BS Projection'!C26*'PL&amp;BS Projection'!C26/'PL&amp;BS Projection'!C73</f>
        <v>0.12147665874326172</v>
      </c>
      <c r="D47" s="402">
        <f ca="1">'PL&amp;BS Projection'!D21/'PL&amp;BS Projection'!D19*'PL&amp;BS Projection'!D19/'PL&amp;BS Projection'!D12*'PL&amp;BS Projection'!D12/'PL&amp;BS Projection'!D5*'PL&amp;BS Projection'!D5/'PL&amp;BS Projection'!D26*'PL&amp;BS Projection'!D26/'PL&amp;BS Projection'!D73</f>
        <v>5.0302926422319795E-2</v>
      </c>
      <c r="E47" s="402">
        <f ca="1">'PL&amp;BS Projection'!E21/'PL&amp;BS Projection'!E19*'PL&amp;BS Projection'!E19/'PL&amp;BS Projection'!E12*'PL&amp;BS Projection'!E12/'PL&amp;BS Projection'!E5*'PL&amp;BS Projection'!E5/'PL&amp;BS Projection'!E26*'PL&amp;BS Projection'!E26/'PL&amp;BS Projection'!E73</f>
        <v>2.7612763753988426E-2</v>
      </c>
      <c r="F47" s="216">
        <f ca="1">'PL&amp;BS Projection'!F21/'PL&amp;BS Projection'!F19*'PL&amp;BS Projection'!F19/'PL&amp;BS Projection'!F12*'PL&amp;BS Projection'!F12/'PL&amp;BS Projection'!F5*'PL&amp;BS Projection'!F5/'PL&amp;BS Projection'!F26*'PL&amp;BS Projection'!F26/'PL&amp;BS Projection'!F73</f>
        <v>4.8594113579871957E-2</v>
      </c>
      <c r="G47" s="402">
        <f ca="1">'PL&amp;BS Projection'!G21/'PL&amp;BS Projection'!G19*'PL&amp;BS Projection'!G19/'PL&amp;BS Projection'!G12*'PL&amp;BS Projection'!G12/'PL&amp;BS Projection'!G5*'PL&amp;BS Projection'!G5/'PL&amp;BS Projection'!G26*'PL&amp;BS Projection'!G26/'PL&amp;BS Projection'!G73</f>
        <v>0.1250167346770398</v>
      </c>
      <c r="H47" s="402">
        <f ca="1">'PL&amp;BS Projection'!H21/'PL&amp;BS Projection'!H19*'PL&amp;BS Projection'!H19/'PL&amp;BS Projection'!H12*'PL&amp;BS Projection'!H12/'PL&amp;BS Projection'!H5*'PL&amp;BS Projection'!H5/'PL&amp;BS Projection'!H26*'PL&amp;BS Projection'!H26/'PL&amp;BS Projection'!H73</f>
        <v>0.10765747357732115</v>
      </c>
      <c r="I47" s="402">
        <f ca="1">'PL&amp;BS Projection'!I21/'PL&amp;BS Projection'!I19*'PL&amp;BS Projection'!I19/'PL&amp;BS Projection'!I12*'PL&amp;BS Projection'!I12/'PL&amp;BS Projection'!I5*'PL&amp;BS Projection'!I5/'PL&amp;BS Projection'!I26*'PL&amp;BS Projection'!I26/'PL&amp;BS Projection'!I73</f>
        <v>0.13686722085585998</v>
      </c>
      <c r="J47" s="402">
        <f ca="1">'PL&amp;BS Projection'!J21/'PL&amp;BS Projection'!J19*'PL&amp;BS Projection'!J19/'PL&amp;BS Projection'!J12*'PL&amp;BS Projection'!J12/'PL&amp;BS Projection'!J5*'PL&amp;BS Projection'!J5/'PL&amp;BS Projection'!J26*'PL&amp;BS Projection'!J26/'PL&amp;BS Projection'!J73</f>
        <v>0.15795381698316524</v>
      </c>
      <c r="K47" s="402">
        <f ca="1">'PL&amp;BS Projection'!K21/'PL&amp;BS Projection'!K19*'PL&amp;BS Projection'!K19/'PL&amp;BS Projection'!K12*'PL&amp;BS Projection'!K12/'PL&amp;BS Projection'!K5*'PL&amp;BS Projection'!K5/'PL&amp;BS Projection'!K26*'PL&amp;BS Projection'!K26/'PL&amp;BS Projection'!K73</f>
        <v>0.17079254836356977</v>
      </c>
    </row>
    <row r="48" spans="1:11" ht="4.5" customHeight="1">
      <c r="A48" s="59"/>
      <c r="B48" s="59"/>
      <c r="C48" s="59"/>
      <c r="D48" s="59"/>
      <c r="E48" s="59"/>
      <c r="F48" s="57"/>
      <c r="G48" s="59"/>
      <c r="H48" s="59"/>
      <c r="I48" s="59"/>
      <c r="J48" s="59"/>
      <c r="K48" s="59"/>
    </row>
    <row r="49" spans="1:11" ht="15" customHeight="1">
      <c r="A49" s="237" t="s">
        <v>477</v>
      </c>
      <c r="B49" s="59"/>
      <c r="C49" s="59"/>
      <c r="D49" s="59"/>
      <c r="E49" s="59"/>
      <c r="F49" s="57"/>
      <c r="G49" s="59"/>
      <c r="H49" s="59"/>
      <c r="I49" s="59"/>
      <c r="J49" s="59"/>
      <c r="K49" s="59"/>
    </row>
    <row r="50" spans="1:11" ht="15" customHeight="1">
      <c r="A50" s="59" t="s">
        <v>478</v>
      </c>
      <c r="B50" s="272">
        <f ca="1">'PL&amp;BS Projection'!B22</f>
        <v>3569.4454595274351</v>
      </c>
      <c r="C50" s="272">
        <f ca="1">'PL&amp;BS Projection'!C22</f>
        <v>2550.2105073655689</v>
      </c>
      <c r="D50" s="272">
        <f ca="1">'PL&amp;BS Projection'!D22</f>
        <v>1038.4962776983464</v>
      </c>
      <c r="E50" s="272">
        <f ca="1">'PL&amp;BS Projection'!E22</f>
        <v>557.97617577470191</v>
      </c>
      <c r="F50" s="44">
        <f ca="1">'PL&amp;BS Projection'!F22</f>
        <v>981.95015544367686</v>
      </c>
      <c r="G50" s="272">
        <f ca="1">'PL&amp;BS Projection'!G22</f>
        <v>2744.3031437265872</v>
      </c>
      <c r="H50" s="272">
        <f ca="1">'PL&amp;BS Projection'!H22</f>
        <v>2503.5818941189223</v>
      </c>
      <c r="I50" s="272">
        <f ca="1">'PL&amp;BS Projection'!I22</f>
        <v>3449.7076242386293</v>
      </c>
      <c r="J50" s="272">
        <f ca="1">'PL&amp;BS Projection'!J22</f>
        <v>4446.6205100366469</v>
      </c>
      <c r="K50" s="272">
        <f ca="1">'PL&amp;BS Projection'!K22</f>
        <v>5386.4248572197948</v>
      </c>
    </row>
    <row r="51" spans="1:11" ht="15" customHeight="1">
      <c r="A51" s="59" t="s">
        <v>479</v>
      </c>
      <c r="B51" s="272">
        <f ca="1">'PL&amp;BS Projection'!B10/'PL&amp;BS Projection'!B75*10000</f>
        <v>7715.7021857088648</v>
      </c>
      <c r="C51" s="272">
        <f ca="1">'PL&amp;BS Projection'!C10/'PL&amp;BS Projection'!C75*10000</f>
        <v>7208.7275371221567</v>
      </c>
      <c r="D51" s="272">
        <f ca="1">'PL&amp;BS Projection'!D10/'PL&amp;BS Projection'!D75*10000</f>
        <v>4094.2584294943913</v>
      </c>
      <c r="E51" s="272">
        <f ca="1">'PL&amp;BS Projection'!E10/'PL&amp;BS Projection'!E75*10000</f>
        <v>1883.0752072791795</v>
      </c>
      <c r="F51" s="44">
        <f ca="1">'PL&amp;BS Projection'!F10/'PL&amp;BS Projection'!F75*10000</f>
        <v>2733.0755110501054</v>
      </c>
      <c r="G51" s="272">
        <f ca="1">'PL&amp;BS Projection'!G10/'PL&amp;BS Projection'!G75*10000</f>
        <v>2814.5772967325283</v>
      </c>
      <c r="H51" s="272">
        <f ca="1">'PL&amp;BS Projection'!H10/'PL&amp;BS Projection'!H75*10000</f>
        <v>2386.5447453421907</v>
      </c>
      <c r="I51" s="272">
        <f ca="1">'PL&amp;BS Projection'!I10/'PL&amp;BS Projection'!I75*10000</f>
        <v>3396.695895204608</v>
      </c>
      <c r="J51" s="272">
        <f ca="1">'PL&amp;BS Projection'!J10/'PL&amp;BS Projection'!J75*10000</f>
        <v>4522.2098279241663</v>
      </c>
      <c r="K51" s="272">
        <f ca="1">'PL&amp;BS Projection'!K10/'PL&amp;BS Projection'!K75*10000</f>
        <v>5549.0986131852569</v>
      </c>
    </row>
    <row r="52" spans="1:11" ht="15" customHeight="1">
      <c r="A52" s="59" t="s">
        <v>480</v>
      </c>
      <c r="B52" s="272">
        <f ca="1">-'Financial statement'!D144/'Financial statement'!D94*10000</f>
        <v>1995.5243092101027</v>
      </c>
      <c r="C52" s="272">
        <f ca="1">-'Financial statement'!E144/'Financial statement'!E94*10000</f>
        <v>1988.3693229580767</v>
      </c>
      <c r="D52" s="272">
        <f ca="1">-'Financial statement'!F144/'Financial statement'!F94*10000</f>
        <v>2323.7043703727513</v>
      </c>
      <c r="E52" s="272">
        <f ca="1">-'Financial statement'!G144/'Financial statement'!G94*10000</f>
        <v>1992.813955817038</v>
      </c>
      <c r="F52" s="44">
        <f ca="1">-'Financial statement'!H144/'Financial statement'!H94*10000</f>
        <v>996.11552845492974</v>
      </c>
      <c r="G52" s="340">
        <f>'Assump-F '!C81</f>
        <v>1000</v>
      </c>
      <c r="H52" s="340">
        <f>'Assump-F '!D81</f>
        <v>1200</v>
      </c>
      <c r="I52" s="340">
        <f>'Assump-F '!E81</f>
        <v>1500</v>
      </c>
      <c r="J52" s="340">
        <f>'Assump-F '!F81</f>
        <v>1500</v>
      </c>
      <c r="K52" s="340">
        <f>'Assump-F '!G81</f>
        <v>2000</v>
      </c>
    </row>
    <row r="53" spans="1:11" ht="15" customHeight="1">
      <c r="A53" s="59" t="s">
        <v>481</v>
      </c>
      <c r="B53" s="325">
        <f ca="1">-'Financial statement'!D144/'Financial statement'!D25</f>
        <v>0.5386899562312385</v>
      </c>
      <c r="C53" s="325">
        <f ca="1">-'Financial statement'!E144/'Financial statement'!E25</f>
        <v>0.29575050095762634</v>
      </c>
      <c r="D53" s="325">
        <f ca="1">-'Financial statement'!F144/'Financial statement'!F25</f>
        <v>0.65099870462242349</v>
      </c>
      <c r="E53" s="325">
        <f ca="1">-'Financial statement'!G144/'Financial statement'!G25</f>
        <v>0.78143116031455162</v>
      </c>
      <c r="F53" s="46">
        <f ca="1">-'Financial statement'!H144/'Financial statement'!H25</f>
        <v>0.95919027332736673</v>
      </c>
      <c r="G53" s="325">
        <f>'Assump-F '!C79</f>
        <v>0.3</v>
      </c>
      <c r="H53" s="325">
        <f ca="1">'Assump-F '!D79</f>
        <v>0.47931326026078019</v>
      </c>
      <c r="I53" s="325">
        <f ca="1">'Assump-F '!E79</f>
        <v>0.43481945816525797</v>
      </c>
      <c r="J53" s="325">
        <f ca="1">'Assump-F '!F79</f>
        <v>0.33733483588587992</v>
      </c>
      <c r="K53" s="325">
        <f ca="1">'Assump-F '!G79</f>
        <v>0.37130379667679991</v>
      </c>
    </row>
    <row r="54" spans="1:11" ht="15" customHeight="1">
      <c r="A54" s="59" t="s">
        <v>482</v>
      </c>
      <c r="B54" s="270">
        <f t="shared" ref="B54" ca="1" si="12">1-B53</f>
        <v>0.4613100437687615</v>
      </c>
      <c r="C54" s="270">
        <f t="shared" ref="C54:K54" ca="1" si="13">1-C53</f>
        <v>0.70424949904237366</v>
      </c>
      <c r="D54" s="270">
        <f t="shared" ca="1" si="13"/>
        <v>0.34900129537757651</v>
      </c>
      <c r="E54" s="270">
        <f t="shared" ca="1" si="13"/>
        <v>0.21856883968544838</v>
      </c>
      <c r="F54" s="292">
        <f t="shared" ca="1" si="13"/>
        <v>4.0809726672633273E-2</v>
      </c>
      <c r="G54" s="270">
        <f t="shared" si="13"/>
        <v>0.7</v>
      </c>
      <c r="H54" s="270">
        <f t="shared" ca="1" si="13"/>
        <v>0.52068673973921986</v>
      </c>
      <c r="I54" s="270">
        <f t="shared" ca="1" si="13"/>
        <v>0.56518054183474198</v>
      </c>
      <c r="J54" s="270">
        <f t="shared" ca="1" si="13"/>
        <v>0.66266516411412013</v>
      </c>
      <c r="K54" s="270">
        <f t="shared" ca="1" si="13"/>
        <v>0.62869620332320009</v>
      </c>
    </row>
    <row r="55" spans="1:11" ht="4.5" customHeight="1">
      <c r="A55" s="59"/>
      <c r="B55" s="59"/>
      <c r="C55" s="59"/>
      <c r="D55" s="59"/>
      <c r="E55" s="59"/>
      <c r="F55" s="57"/>
      <c r="G55" s="59"/>
      <c r="H55" s="59"/>
      <c r="I55" s="59"/>
      <c r="J55" s="59"/>
      <c r="K55" s="59"/>
    </row>
    <row r="56" spans="1:11" ht="15" customHeight="1">
      <c r="A56" s="237" t="s">
        <v>483</v>
      </c>
      <c r="B56" s="59"/>
      <c r="C56" s="59"/>
      <c r="D56" s="59"/>
      <c r="E56" s="59"/>
      <c r="F56" s="57"/>
      <c r="G56" s="59"/>
      <c r="H56" s="59"/>
      <c r="I56" s="59"/>
      <c r="J56" s="59"/>
      <c r="K56" s="59"/>
    </row>
    <row r="57" spans="1:11" ht="15" customHeight="1">
      <c r="A57" s="59" t="s">
        <v>484</v>
      </c>
      <c r="B57" s="325"/>
      <c r="C57" s="325">
        <f ca="1">'CF projection'!B17/'PL&amp;BS Projection'!C53</f>
        <v>0.82302657101758192</v>
      </c>
      <c r="D57" s="325">
        <f ca="1">'CF projection'!C17/'PL&amp;BS Projection'!D53</f>
        <v>0.49088567407431966</v>
      </c>
      <c r="E57" s="325">
        <f ca="1">'CF projection'!D17/'PL&amp;BS Projection'!E53</f>
        <v>0.37473068537727156</v>
      </c>
      <c r="F57" s="46">
        <f ca="1">'CF projection'!E17/'PL&amp;BS Projection'!F53</f>
        <v>0.37473068537727156</v>
      </c>
      <c r="G57" s="325">
        <f ca="1">'CF projection'!F17/'PL&amp;BS Projection'!G53</f>
        <v>0.83000605509116754</v>
      </c>
      <c r="H57" s="325">
        <f ca="1">'CF projection'!G17/'PL&amp;BS Projection'!H53</f>
        <v>1.1960787381105613</v>
      </c>
      <c r="I57" s="325">
        <f ca="1">'CF projection'!H17/'PL&amp;BS Projection'!I53</f>
        <v>1.0331213633980203</v>
      </c>
      <c r="J57" s="325">
        <f ca="1">'CF projection'!I17/'PL&amp;BS Projection'!J53</f>
        <v>1.1023084234166716</v>
      </c>
      <c r="K57" s="325">
        <f ca="1">'CF projection'!J17/'PL&amp;BS Projection'!K53</f>
        <v>1.1508529163650325</v>
      </c>
    </row>
    <row r="58" spans="1:11" ht="15" customHeight="1">
      <c r="A58" s="59" t="s">
        <v>485</v>
      </c>
      <c r="B58" s="325">
        <f ca="1">'PL&amp;BS Projection'!B53/'PL&amp;BS Projection'!B10</f>
        <v>0.50080923701730917</v>
      </c>
      <c r="C58" s="325">
        <f ca="1">'PL&amp;BS Projection'!C53/'PL&amp;BS Projection'!C10</f>
        <v>0.58924130227244087</v>
      </c>
      <c r="D58" s="325">
        <f ca="1">'PL&amp;BS Projection'!D53/'PL&amp;BS Projection'!D10</f>
        <v>0.87300605825751998</v>
      </c>
      <c r="E58" s="325">
        <f ca="1">'PL&amp;BS Projection'!E53/'PL&amp;BS Projection'!E10</f>
        <v>1.2390723672119071</v>
      </c>
      <c r="F58" s="46">
        <f ca="1">'PL&amp;BS Projection'!F53/'PL&amp;BS Projection'!F10</f>
        <v>0.85371459562234164</v>
      </c>
      <c r="G58" s="325">
        <f ca="1">'PL&amp;BS Projection'!G53/'PL&amp;BS Projection'!G10</f>
        <v>1.0739475244247234</v>
      </c>
      <c r="H58" s="325">
        <f ca="1">'PL&amp;BS Projection'!H53/'PL&amp;BS Projection'!H10</f>
        <v>1.1921763229275335</v>
      </c>
      <c r="I58" s="325">
        <f ca="1">'PL&amp;BS Projection'!I53/'PL&amp;BS Projection'!I10</f>
        <v>1.02270086111015</v>
      </c>
      <c r="J58" s="325">
        <f ca="1">'PL&amp;BS Projection'!J53/'PL&amp;BS Projection'!J10</f>
        <v>0.9141491156926792</v>
      </c>
      <c r="K58" s="325">
        <f ca="1">'PL&amp;BS Projection'!K53/'PL&amp;BS Projection'!K10</f>
        <v>0.86206974219710553</v>
      </c>
    </row>
    <row r="59" spans="1:11" ht="4.5" customHeight="1">
      <c r="A59" s="59"/>
      <c r="B59" s="59"/>
      <c r="C59" s="59"/>
      <c r="D59" s="59"/>
      <c r="E59" s="59"/>
      <c r="F59" s="57"/>
      <c r="G59" s="59"/>
      <c r="H59" s="59"/>
      <c r="I59" s="59"/>
      <c r="J59" s="59"/>
      <c r="K59" s="59"/>
    </row>
    <row r="60" spans="1:11" ht="15" customHeight="1">
      <c r="A60" s="237" t="s">
        <v>489</v>
      </c>
      <c r="B60" s="59"/>
      <c r="C60" s="59"/>
      <c r="D60" s="59"/>
      <c r="E60" s="59"/>
      <c r="F60" s="57"/>
      <c r="G60" s="59"/>
      <c r="H60" s="59"/>
      <c r="I60" s="59"/>
      <c r="J60" s="59"/>
      <c r="K60" s="59"/>
    </row>
    <row r="61" spans="1:11" ht="15" customHeight="1">
      <c r="A61" s="59" t="s">
        <v>490</v>
      </c>
      <c r="B61" s="402">
        <f ca="1">'Financial statement'!D7/'Financial statement'!C7-1</f>
        <v>0.56614440871993366</v>
      </c>
      <c r="C61" s="402">
        <f ca="1">'Financial statement'!E7/'Financial statement'!D7-1</f>
        <v>0.21340446969329241</v>
      </c>
      <c r="D61" s="402">
        <f ca="1">'PL&amp;BS Projection'!D5/'PL&amp;BS Projection'!C5-1</f>
        <v>-1.5838740389902628E-2</v>
      </c>
      <c r="E61" s="402">
        <f ca="1">'PL&amp;BS Projection'!E5/'PL&amp;BS Projection'!D5-1</f>
        <v>-0.31421836186663443</v>
      </c>
      <c r="F61" s="216">
        <f ca="1">'PL&amp;BS Projection'!F5/'PL&amp;BS Projection'!E5-1</f>
        <v>0.15514814418130674</v>
      </c>
      <c r="G61" s="402">
        <f ca="1">'PL&amp;BS Projection'!G5/'PL&amp;BS Projection'!F5-1</f>
        <v>0.20744786129583104</v>
      </c>
      <c r="H61" s="402">
        <f>'PL&amp;BS Projection'!H5/'PL&amp;BS Projection'!G5-1</f>
        <v>-6.2829051274376879E-2</v>
      </c>
      <c r="I61" s="402">
        <f>'PL&amp;BS Projection'!I5/'PL&amp;BS Projection'!H5-1</f>
        <v>0.22897942263256477</v>
      </c>
      <c r="J61" s="402">
        <f>'PL&amp;BS Projection'!J5/'PL&amp;BS Projection'!I5-1</f>
        <v>0.1965431893057612</v>
      </c>
      <c r="K61" s="402">
        <f>'PL&amp;BS Projection'!K5/'PL&amp;BS Projection'!J5-1</f>
        <v>0.16074800175839044</v>
      </c>
    </row>
    <row r="62" spans="1:11" ht="15" customHeight="1">
      <c r="A62" s="59" t="s">
        <v>491</v>
      </c>
      <c r="B62" s="402">
        <f ca="1">'Financial statement'!D9/'Financial statement'!C9-1</f>
        <v>0.99831907093897865</v>
      </c>
      <c r="C62" s="402">
        <f ca="1">'Financial statement'!E9/'Financial statement'!D9-1</f>
        <v>3.180876821502987E-2</v>
      </c>
      <c r="D62" s="402">
        <f ca="1">'PL&amp;BS Projection'!D7/'PL&amp;BS Projection'!C7-1</f>
        <v>-0.49466675240291502</v>
      </c>
      <c r="E62" s="402">
        <f ca="1">'PL&amp;BS Projection'!E7/'PL&amp;BS Projection'!D7-1</f>
        <v>-0.51646212543325132</v>
      </c>
      <c r="F62" s="216">
        <f ca="1">'PL&amp;BS Projection'!F7/'PL&amp;BS Projection'!E7-1</f>
        <v>0.52754042897120423</v>
      </c>
      <c r="G62" s="402">
        <f ca="1">'PL&amp;BS Projection'!G7/'PL&amp;BS Projection'!F7-1</f>
        <v>0.83558226327395424</v>
      </c>
      <c r="H62" s="402">
        <f>'PL&amp;BS Projection'!H7/'PL&amp;BS Projection'!G7-1</f>
        <v>-0.13079660535941517</v>
      </c>
      <c r="I62" s="402">
        <f>'PL&amp;BS Projection'!I7/'PL&amp;BS Projection'!H7-1</f>
        <v>0.37332000272246479</v>
      </c>
      <c r="J62" s="402">
        <f>'PL&amp;BS Projection'!J7/'PL&amp;BS Projection'!I7-1</f>
        <v>0.30033980710550789</v>
      </c>
      <c r="K62" s="402">
        <f>'PL&amp;BS Projection'!K7/'PL&amp;BS Projection'!J7-1</f>
        <v>0.21303487622923045</v>
      </c>
    </row>
    <row r="63" spans="1:11" ht="15" customHeight="1">
      <c r="A63" s="59" t="s">
        <v>492</v>
      </c>
      <c r="B63" s="402">
        <f ca="1">'Financial statement'!D26/'Financial statement'!C26-1</f>
        <v>2.1585747391889676E-2</v>
      </c>
      <c r="C63" s="402">
        <f ca="1">'Financial statement'!E26/'Financial statement'!D26-1</f>
        <v>0.69255306603785804</v>
      </c>
      <c r="D63" s="402">
        <f ca="1">'PL&amp;BS Projection'!D12/'PL&amp;BS Projection'!C12-1</f>
        <v>-0.54627484452569164</v>
      </c>
      <c r="E63" s="402">
        <f ca="1">'PL&amp;BS Projection'!E12/'PL&amp;BS Projection'!D12-1</f>
        <v>-0.64028651062899145</v>
      </c>
      <c r="F63" s="216">
        <f ca="1">'PL&amp;BS Projection'!F12/'PL&amp;BS Projection'!E12-1</f>
        <v>0.77931605423158978</v>
      </c>
      <c r="G63" s="402">
        <f ca="1">'PL&amp;BS Projection'!G12/'PL&amp;BS Projection'!F12-1</f>
        <v>0.11992409610811272</v>
      </c>
      <c r="H63" s="402">
        <f ca="1">'PL&amp;BS Projection'!H12/'PL&amp;BS Projection'!G12-1</f>
        <v>-0.22736810568158172</v>
      </c>
      <c r="I63" s="402">
        <f ca="1">'PL&amp;BS Projection'!I12/'PL&amp;BS Projection'!H12-1</f>
        <v>0.60154287405327267</v>
      </c>
      <c r="J63" s="402">
        <f ca="1">'PL&amp;BS Projection'!J12/'PL&amp;BS Projection'!I12-1</f>
        <v>0.41849717431866029</v>
      </c>
      <c r="K63" s="402">
        <f ca="1">'PL&amp;BS Projection'!K12/'PL&amp;BS Projection'!J12-1</f>
        <v>0.26917615821025498</v>
      </c>
    </row>
    <row r="64" spans="1:11" ht="15" customHeight="1">
      <c r="A64" s="59" t="s">
        <v>493</v>
      </c>
      <c r="B64" s="402">
        <f ca="1">'Financial statement'!D27/'Financial statement'!C27-1</f>
        <v>2.3901324887282138E-2</v>
      </c>
      <c r="C64" s="402">
        <f ca="1">'Financial statement'!E27/'Financial statement'!D27-1</f>
        <v>0.6524696636197822</v>
      </c>
      <c r="D64" s="402">
        <f ca="1">'PL&amp;BS Projection'!D10/'PL&amp;BS Projection'!C10-1</f>
        <v>-0.4320414513642602</v>
      </c>
      <c r="E64" s="402">
        <f ca="1">'PL&amp;BS Projection'!E10/'PL&amp;BS Projection'!D10-1</f>
        <v>-0.54006928490058104</v>
      </c>
      <c r="F64" s="216">
        <f ca="1">'PL&amp;BS Projection'!F10/'PL&amp;BS Projection'!E10-1</f>
        <v>0.45138946149637604</v>
      </c>
      <c r="G64" s="402">
        <f ca="1">'PL&amp;BS Projection'!G10/'PL&amp;BS Projection'!F10-1</f>
        <v>2.9820539298275106E-2</v>
      </c>
      <c r="H64" s="402">
        <f ca="1">'PL&amp;BS Projection'!H10/'PL&amp;BS Projection'!G10-1</f>
        <v>-0.15207702836487913</v>
      </c>
      <c r="I64" s="402">
        <f ca="1">'PL&amp;BS Projection'!I10/'PL&amp;BS Projection'!H10-1</f>
        <v>0.4232693109290846</v>
      </c>
      <c r="J64" s="402">
        <f ca="1">'PL&amp;BS Projection'!J10/'PL&amp;BS Projection'!I10-1</f>
        <v>0.33135551943538366</v>
      </c>
      <c r="K64" s="402">
        <f ca="1">'PL&amp;BS Projection'!K10/'PL&amp;BS Projection'!J10-1</f>
        <v>0.22707676652245579</v>
      </c>
    </row>
    <row r="65" spans="1:11" ht="15" customHeight="1">
      <c r="A65" s="59" t="s">
        <v>494</v>
      </c>
      <c r="B65" s="402">
        <f ca="1">'Financial statement'!D20/'Financial statement'!C20-1</f>
        <v>2.0428832410772424E-2</v>
      </c>
      <c r="C65" s="402">
        <f ca="1">'Financial statement'!E20/'Financial statement'!D20-1</f>
        <v>0.68564180703682021</v>
      </c>
      <c r="D65" s="402">
        <f ca="1">'PL&amp;BS Projection'!D19/'PL&amp;BS Projection'!C19-1</f>
        <v>-0.59943804626923836</v>
      </c>
      <c r="E65" s="402">
        <f ca="1">'PL&amp;BS Projection'!E19/'PL&amp;BS Projection'!D19-1</f>
        <v>-0.43050500532513492</v>
      </c>
      <c r="F65" s="216">
        <f ca="1">'PL&amp;BS Projection'!F19/'PL&amp;BS Projection'!E19-1</f>
        <v>0.7634223850652373</v>
      </c>
      <c r="G65" s="402">
        <f ca="1">'PL&amp;BS Projection'!G19/'PL&amp;BS Projection'!F19-1</f>
        <v>1.74099497388347</v>
      </c>
      <c r="H65" s="402">
        <f ca="1">'PL&amp;BS Projection'!H19/'PL&amp;BS Projection'!G19-1</f>
        <v>-8.7716712404002584E-2</v>
      </c>
      <c r="I65" s="402">
        <f ca="1">'PL&amp;BS Projection'!I19/'PL&amp;BS Projection'!H19-1</f>
        <v>0.34430130757747013</v>
      </c>
      <c r="J65" s="402">
        <f ca="1">'PL&amp;BS Projection'!J19/'PL&amp;BS Projection'!I19-1</f>
        <v>0.28898474722710499</v>
      </c>
      <c r="K65" s="402">
        <f ca="1">'PL&amp;BS Projection'!K19/'PL&amp;BS Projection'!J19-1</f>
        <v>0.21135249681457591</v>
      </c>
    </row>
    <row r="66" spans="1:11" ht="15" customHeight="1">
      <c r="A66" s="59" t="s">
        <v>495</v>
      </c>
      <c r="B66" s="402">
        <f ca="1">'Financial statement'!D25/'Financial statement'!C25-1</f>
        <v>3.8585011479653986E-2</v>
      </c>
      <c r="C66" s="402">
        <f ca="1">'Financial statement'!E25/'Financial statement'!D25-1</f>
        <v>0.81490300952908012</v>
      </c>
      <c r="D66" s="402">
        <f ca="1">'PL&amp;BS Projection'!D21/'PL&amp;BS Projection'!C21-1</f>
        <v>-0.5927801745389486</v>
      </c>
      <c r="E66" s="402">
        <f ca="1">'PL&amp;BS Projection'!E21/'PL&amp;BS Projection'!D21-1</f>
        <v>-0.4627075823407254</v>
      </c>
      <c r="F66" s="216">
        <f ca="1">'PL&amp;BS Projection'!F21/'PL&amp;BS Projection'!E21-1</f>
        <v>0.75984244144532465</v>
      </c>
      <c r="G66" s="402">
        <f ca="1">'PL&amp;BS Projection'!G21/'PL&amp;BS Projection'!F21-1</f>
        <v>1.7947479090592151</v>
      </c>
      <c r="H66" s="402">
        <f ca="1">'PL&amp;BS Projection'!H21/'PL&amp;BS Projection'!G21-1</f>
        <v>-8.7716712404002584E-2</v>
      </c>
      <c r="I66" s="402">
        <f ca="1">'PL&amp;BS Projection'!I21/'PL&amp;BS Projection'!H21-1</f>
        <v>0.37790884026690663</v>
      </c>
      <c r="J66" s="402">
        <f ca="1">'PL&amp;BS Projection'!J21/'PL&amp;BS Projection'!I21-1</f>
        <v>0.28898474722710521</v>
      </c>
      <c r="K66" s="402">
        <f ca="1">'PL&amp;BS Projection'!K21/'PL&amp;BS Projection'!J21-1</f>
        <v>0.21135249681457591</v>
      </c>
    </row>
    <row r="67" spans="1:11" ht="15" customHeight="1">
      <c r="A67" s="59" t="s">
        <v>496</v>
      </c>
      <c r="B67" s="402">
        <f ca="1">'Financial statement'!D28/'Financial statement'!C28-1</f>
        <v>-0.31034673613214103</v>
      </c>
      <c r="C67" s="402">
        <f ca="1">'Financial statement'!E28/'Financial statement'!D28-1</f>
        <v>0.81490300952908012</v>
      </c>
      <c r="D67" s="402">
        <f ca="1">'PL&amp;BS Projection'!D22/'PL&amp;BS Projection'!C22-1</f>
        <v>-0.59278017453894849</v>
      </c>
      <c r="E67" s="402">
        <f ca="1">'PL&amp;BS Projection'!E22/'PL&amp;BS Projection'!D22-1</f>
        <v>-0.4627075823407254</v>
      </c>
      <c r="F67" s="216">
        <f ca="1">'PL&amp;BS Projection'!F22/'PL&amp;BS Projection'!E22-1</f>
        <v>0.75984244144532442</v>
      </c>
      <c r="G67" s="402">
        <f ca="1">'PL&amp;BS Projection'!G22/'PL&amp;BS Projection'!F22-1</f>
        <v>1.7947479090592151</v>
      </c>
      <c r="H67" s="402">
        <f ca="1">'PL&amp;BS Projection'!H22/'PL&amp;BS Projection'!G22-1</f>
        <v>-8.7716712404002473E-2</v>
      </c>
      <c r="I67" s="402">
        <f ca="1">'PL&amp;BS Projection'!I22/'PL&amp;BS Projection'!H22-1</f>
        <v>0.37790884026690641</v>
      </c>
      <c r="J67" s="402">
        <f ca="1">'PL&amp;BS Projection'!J22/'PL&amp;BS Projection'!I22-1</f>
        <v>0.28898474722710521</v>
      </c>
      <c r="K67" s="402">
        <f ca="1">'PL&amp;BS Projection'!K22/'PL&amp;BS Projection'!J22-1</f>
        <v>0.21135249681457591</v>
      </c>
    </row>
    <row r="68" spans="1:11" ht="15" customHeight="1">
      <c r="A68" s="59" t="s">
        <v>497</v>
      </c>
      <c r="B68" s="402">
        <f ca="1">'Financial statement'!D31/'Financial statement'!C31-1</f>
        <v>0.26480807781325844</v>
      </c>
      <c r="C68" s="402">
        <f ca="1">'Financial statement'!E31/'Financial statement'!D31-1</f>
        <v>0.16844532793034506</v>
      </c>
      <c r="D68" s="402">
        <f ca="1">'PL&amp;BS Projection'!D26/'PL&amp;BS Projection'!C26-1</f>
        <v>-4.0487116521317756E-2</v>
      </c>
      <c r="E68" s="402">
        <f ca="1">'PL&amp;BS Projection'!E26/'PL&amp;BS Projection'!D26-1</f>
        <v>-6.9313340154217973E-2</v>
      </c>
      <c r="F68" s="216">
        <f ca="1">'PL&amp;BS Projection'!F26/'PL&amp;BS Projection'!E26-1</f>
        <v>0</v>
      </c>
      <c r="G68" s="402">
        <f ca="1">'PL&amp;BS Projection'!G26/'PL&amp;BS Projection'!F26-1</f>
        <v>0.10797233625104941</v>
      </c>
      <c r="H68" s="402">
        <f ca="1">'PL&amp;BS Projection'!H26/'PL&amp;BS Projection'!G26-1</f>
        <v>4.5088769758141911E-2</v>
      </c>
      <c r="I68" s="402">
        <f ca="1">'PL&amp;BS Projection'!I26/'PL&amp;BS Projection'!H26-1</f>
        <v>9.878561566181232E-2</v>
      </c>
      <c r="J68" s="402">
        <f ca="1">'PL&amp;BS Projection'!J26/'PL&amp;BS Projection'!I26-1</f>
        <v>0.12576601940861232</v>
      </c>
      <c r="K68" s="402">
        <f ca="1">'PL&amp;BS Projection'!K26/'PL&amp;BS Projection'!J26-1</f>
        <v>0.12501515987830603</v>
      </c>
    </row>
    <row r="69" spans="1:11" ht="15" customHeight="1" thickBot="1">
      <c r="A69" s="373" t="s">
        <v>498</v>
      </c>
      <c r="B69" s="403">
        <f ca="1">'Financial statement'!D92/'Financial statement'!C92-1</f>
        <v>0.33802748918010805</v>
      </c>
      <c r="C69" s="403">
        <f ca="1">'Financial statement'!E92/'Financial statement'!D92-1</f>
        <v>0.15481678313328295</v>
      </c>
      <c r="D69" s="403">
        <f ca="1">'PL&amp;BS Projection'!D73/'PL&amp;BS Projection'!C73-1</f>
        <v>-1.6603858079446865E-2</v>
      </c>
      <c r="E69" s="403">
        <f ca="1">'PL&amp;BS Projection'!E73/'PL&amp;BS Projection'!D73-1</f>
        <v>-2.11997178702934E-2</v>
      </c>
      <c r="F69" s="428">
        <f ca="1">'PL&amp;BS Projection'!F73/'PL&amp;BS Projection'!E73-1</f>
        <v>0</v>
      </c>
      <c r="G69" s="403">
        <f ca="1">'PL&amp;BS Projection'!G73/'PL&amp;BS Projection'!F73-1</f>
        <v>8.6320944718093928E-2</v>
      </c>
      <c r="H69" s="403">
        <f ca="1">'PL&amp;BS Projection'!H73/'PL&amp;BS Projection'!G73-1</f>
        <v>5.9384675544829291E-2</v>
      </c>
      <c r="I69" s="403">
        <f ca="1">'PL&amp;BS Projection'!I73/'PL&amp;BS Projection'!H73-1</f>
        <v>8.3840116248261154E-2</v>
      </c>
      <c r="J69" s="403">
        <f ca="1">'PL&amp;BS Projection'!J73/'PL&amp;BS Projection'!I73-1</f>
        <v>0.11690722926543717</v>
      </c>
      <c r="K69" s="403">
        <f ca="1">'PL&amp;BS Projection'!K73/'PL&amp;BS Projection'!J73-1</f>
        <v>0.12029331734453064</v>
      </c>
    </row>
  </sheetData>
  <mergeCells count="1">
    <mergeCell ref="G3:K3"/>
  </mergeCells>
  <pageMargins left="0.7" right="0.7" top="0.75" bottom="0.75" header="0.3" footer="0.3"/>
  <pageSetup orientation="portrait" r:id="rId1"/>
  <ignoredErrors>
    <ignoredError sqref="B8:K8 B10:K10" formula="1"/>
  </ignoredErrors>
</worksheet>
</file>

<file path=xl/worksheets/sheet18.xml><?xml version="1.0" encoding="utf-8"?>
<worksheet xmlns="http://schemas.openxmlformats.org/spreadsheetml/2006/main" xmlns:r="http://schemas.openxmlformats.org/officeDocument/2006/relationships">
  <dimension ref="A1:M62"/>
  <sheetViews>
    <sheetView showGridLines="0" topLeftCell="A21" workbookViewId="0">
      <selection activeCell="E28" sqref="E28"/>
    </sheetView>
  </sheetViews>
  <sheetFormatPr defaultRowHeight="12.75"/>
  <cols>
    <col min="1" max="1" width="4.42578125" style="1" customWidth="1"/>
    <col min="2" max="3" width="9.140625" style="1"/>
    <col min="4" max="4" width="13.7109375" style="1" customWidth="1"/>
    <col min="5" max="5" width="9.140625" style="1"/>
    <col min="6" max="6" width="15.5703125" style="1" customWidth="1"/>
    <col min="7" max="7" width="9.7109375" style="1" bestFit="1" customWidth="1"/>
    <col min="8" max="8" width="9.85546875" style="1" customWidth="1"/>
    <col min="9" max="10" width="9.140625" style="1"/>
    <col min="11" max="11" width="10.140625" style="1" bestFit="1" customWidth="1"/>
    <col min="12" max="12" width="9.140625" style="1" customWidth="1"/>
    <col min="13" max="16384" width="9.140625" style="1"/>
  </cols>
  <sheetData>
    <row r="1" spans="1:8">
      <c r="A1" s="36">
        <f>Info!B6</f>
        <v>0</v>
      </c>
    </row>
    <row r="2" spans="1:8">
      <c r="A2" s="37" t="s">
        <v>21</v>
      </c>
    </row>
    <row r="3" spans="1:8" ht="9.75" customHeight="1"/>
    <row r="4" spans="1:8" s="59" customFormat="1" ht="15.95" customHeight="1">
      <c r="B4" s="221" t="s">
        <v>14</v>
      </c>
      <c r="C4" s="312"/>
      <c r="G4" s="59" t="s">
        <v>13</v>
      </c>
      <c r="H4" s="313"/>
    </row>
    <row r="5" spans="1:8" s="59" customFormat="1" ht="15.95" customHeight="1"/>
    <row r="6" spans="1:8" s="59" customFormat="1" ht="15.95" customHeight="1">
      <c r="A6" s="39"/>
      <c r="B6" s="39"/>
      <c r="C6" s="39"/>
      <c r="D6" s="39"/>
      <c r="E6" s="39"/>
      <c r="F6" s="39"/>
    </row>
    <row r="7" spans="1:8" s="59" customFormat="1" ht="15.95" customHeight="1"/>
    <row r="8" spans="1:8" s="59" customFormat="1" ht="15.95" customHeight="1"/>
    <row r="9" spans="1:8" s="59" customFormat="1" ht="15.95" customHeight="1"/>
    <row r="10" spans="1:8" s="59" customFormat="1" ht="15.95" customHeight="1"/>
    <row r="11" spans="1:8" s="59" customFormat="1" ht="15.95" customHeight="1"/>
    <row r="12" spans="1:8" s="59" customFormat="1" ht="15.95" customHeight="1"/>
    <row r="13" spans="1:8" s="59" customFormat="1" ht="15.95" customHeight="1"/>
    <row r="14" spans="1:8" s="59" customFormat="1" ht="15.95" customHeight="1"/>
    <row r="15" spans="1:8" s="59" customFormat="1" ht="15.95" customHeight="1"/>
    <row r="16" spans="1:8" s="59" customFormat="1" ht="15.95" customHeight="1"/>
    <row r="17" spans="2:13" s="59" customFormat="1" ht="15.95" customHeight="1"/>
    <row r="18" spans="2:13" s="59" customFormat="1" ht="15.95" customHeight="1"/>
    <row r="19" spans="2:13" s="59" customFormat="1" ht="15.95" customHeight="1"/>
    <row r="20" spans="2:13" s="59" customFormat="1" ht="15.95" customHeight="1"/>
    <row r="21" spans="2:13" s="59" customFormat="1" ht="15.95" customHeight="1">
      <c r="B21" s="649" t="s">
        <v>19</v>
      </c>
      <c r="C21" s="650"/>
      <c r="D21" s="650"/>
      <c r="E21" s="651"/>
      <c r="F21" s="652" t="s">
        <v>508</v>
      </c>
      <c r="G21" s="653"/>
      <c r="H21" s="654"/>
      <c r="J21" s="649" t="s">
        <v>20</v>
      </c>
      <c r="K21" s="650"/>
      <c r="L21" s="650"/>
      <c r="M21" s="651"/>
    </row>
    <row r="22" spans="2:13" s="59" customFormat="1" ht="15.95" customHeight="1">
      <c r="B22" s="314" t="s">
        <v>3</v>
      </c>
      <c r="C22" s="225"/>
      <c r="D22" s="225"/>
      <c r="E22" s="226"/>
      <c r="F22" s="238"/>
      <c r="G22" s="225"/>
      <c r="H22" s="226"/>
      <c r="J22" s="43"/>
      <c r="K22" s="39"/>
      <c r="L22" s="39"/>
      <c r="M22" s="57"/>
    </row>
    <row r="23" spans="2:13" s="59" customFormat="1" ht="15.95" customHeight="1">
      <c r="B23" s="49" t="s">
        <v>17</v>
      </c>
      <c r="C23" s="39"/>
      <c r="D23" s="39"/>
      <c r="E23" s="11">
        <v>288.22300000000001</v>
      </c>
      <c r="F23" s="43" t="s">
        <v>509</v>
      </c>
      <c r="G23" s="39"/>
      <c r="H23" s="57"/>
      <c r="J23" s="49" t="s">
        <v>6</v>
      </c>
      <c r="K23" s="39"/>
      <c r="L23" s="39"/>
      <c r="M23" s="8">
        <f>E33+E34</f>
        <v>0.1144</v>
      </c>
    </row>
    <row r="24" spans="2:13" s="59" customFormat="1" ht="15.95" customHeight="1">
      <c r="B24" s="49" t="s">
        <v>0</v>
      </c>
      <c r="C24" s="39"/>
      <c r="D24" s="39"/>
      <c r="E24" s="12">
        <v>2.3099999999999999E-2</v>
      </c>
      <c r="F24" s="43" t="s">
        <v>510</v>
      </c>
      <c r="G24" s="39"/>
      <c r="H24" s="57"/>
      <c r="J24" s="49" t="s">
        <v>518</v>
      </c>
      <c r="M24" s="241">
        <f>E35/10000+E36</f>
        <v>0.12182229999999999</v>
      </c>
    </row>
    <row r="25" spans="2:13" s="59" customFormat="1" ht="15.95" customHeight="1">
      <c r="B25" s="49" t="s">
        <v>1</v>
      </c>
      <c r="C25" s="39"/>
      <c r="D25" s="39"/>
      <c r="E25" s="12">
        <v>1.0800000000000001E-2</v>
      </c>
      <c r="F25" s="239" t="s">
        <v>511</v>
      </c>
      <c r="G25" s="39"/>
      <c r="H25" s="57"/>
      <c r="J25" s="49" t="s">
        <v>519</v>
      </c>
      <c r="K25" s="39"/>
      <c r="L25" s="39"/>
      <c r="M25" s="9">
        <f>E29+E28*(E27+E26)</f>
        <v>9.8927480166666665E-2</v>
      </c>
    </row>
    <row r="26" spans="2:13" s="59" customFormat="1" ht="15.95" customHeight="1">
      <c r="B26" s="49" t="s">
        <v>2</v>
      </c>
      <c r="C26" s="39"/>
      <c r="D26" s="39"/>
      <c r="E26" s="17">
        <f>E23*(E24/E25)/10000</f>
        <v>6.1647697222222221E-2</v>
      </c>
      <c r="F26" s="43"/>
      <c r="G26" s="39"/>
      <c r="H26" s="57"/>
      <c r="J26" s="315" t="s">
        <v>520</v>
      </c>
      <c r="M26" s="9">
        <f>M24+E37</f>
        <v>0.10634978016666666</v>
      </c>
    </row>
    <row r="27" spans="2:13" s="59" customFormat="1" ht="15.95" customHeight="1">
      <c r="B27" s="49" t="s">
        <v>25</v>
      </c>
      <c r="C27" s="39"/>
      <c r="D27" s="39"/>
      <c r="E27" s="12">
        <v>5.3999999999999999E-2</v>
      </c>
      <c r="F27" s="43" t="s">
        <v>512</v>
      </c>
      <c r="G27" s="39"/>
      <c r="H27" s="57"/>
      <c r="J27" s="54" t="s">
        <v>562</v>
      </c>
      <c r="K27" s="39"/>
      <c r="L27" s="39"/>
      <c r="M27" s="9">
        <f ca="1">(M26*E40)+(M24*E39*(1-E41))</f>
        <v>0.10576740865180964</v>
      </c>
    </row>
    <row r="28" spans="2:13" s="59" customFormat="1" ht="15.95" customHeight="1">
      <c r="B28" s="49" t="s">
        <v>75</v>
      </c>
      <c r="C28" s="39"/>
      <c r="D28" s="39"/>
      <c r="E28" s="11">
        <v>0.66</v>
      </c>
      <c r="F28" s="43" t="s">
        <v>513</v>
      </c>
      <c r="G28" s="39"/>
      <c r="H28" s="57"/>
      <c r="J28" s="55" t="s">
        <v>563</v>
      </c>
      <c r="K28" s="62"/>
      <c r="L28" s="62"/>
      <c r="M28" s="10">
        <f ca="1">(M25*E40)+(M23*E39*(1-E42))</f>
        <v>9.8429053348507684E-2</v>
      </c>
    </row>
    <row r="29" spans="2:13" s="59" customFormat="1" ht="15.95" customHeight="1">
      <c r="B29" s="316" t="s">
        <v>4</v>
      </c>
      <c r="C29" s="317"/>
      <c r="D29" s="317"/>
      <c r="E29" s="13">
        <v>2.2599999999999999E-2</v>
      </c>
      <c r="F29" s="240" t="s">
        <v>514</v>
      </c>
      <c r="G29" s="317"/>
      <c r="H29" s="318"/>
    </row>
    <row r="30" spans="2:13" s="59" customFormat="1" ht="15.95" customHeight="1">
      <c r="B30" s="319" t="s">
        <v>5</v>
      </c>
      <c r="C30" s="320"/>
      <c r="D30" s="320"/>
      <c r="E30" s="14"/>
      <c r="F30" s="43"/>
      <c r="G30" s="39"/>
      <c r="H30" s="57"/>
    </row>
    <row r="31" spans="2:13" s="59" customFormat="1" ht="15.95" customHeight="1">
      <c r="B31" s="43" t="s">
        <v>7</v>
      </c>
      <c r="C31" s="39"/>
      <c r="D31" s="39"/>
      <c r="E31" s="15">
        <v>0</v>
      </c>
      <c r="F31" s="43"/>
      <c r="G31" s="39"/>
      <c r="H31" s="57"/>
    </row>
    <row r="32" spans="2:13" s="59" customFormat="1" ht="15.95" customHeight="1">
      <c r="B32" s="43" t="s">
        <v>10</v>
      </c>
      <c r="C32" s="39"/>
      <c r="D32" s="39"/>
      <c r="E32" s="16">
        <v>2.2578000000000001E-2</v>
      </c>
      <c r="F32" s="43" t="s">
        <v>517</v>
      </c>
      <c r="G32" s="39"/>
      <c r="H32" s="57"/>
    </row>
    <row r="33" spans="2:8" s="59" customFormat="1" ht="15.95" customHeight="1">
      <c r="B33" s="43" t="s">
        <v>11</v>
      </c>
      <c r="C33" s="39"/>
      <c r="D33" s="39"/>
      <c r="E33" s="17">
        <v>6.0400000000000002E-2</v>
      </c>
      <c r="F33" s="43"/>
      <c r="G33" s="39"/>
      <c r="H33" s="57"/>
    </row>
    <row r="34" spans="2:8" s="59" customFormat="1" ht="15.95" customHeight="1">
      <c r="B34" s="43" t="s">
        <v>9</v>
      </c>
      <c r="C34" s="39"/>
      <c r="D34" s="39"/>
      <c r="E34" s="12">
        <v>5.3999999999999999E-2</v>
      </c>
      <c r="F34" s="43"/>
      <c r="G34" s="39"/>
      <c r="H34" s="57"/>
    </row>
    <row r="35" spans="2:8" s="59" customFormat="1" ht="15.95" customHeight="1">
      <c r="B35" s="43" t="s">
        <v>12</v>
      </c>
      <c r="C35" s="39"/>
      <c r="D35" s="39"/>
      <c r="E35" s="18">
        <v>488.22300000000001</v>
      </c>
      <c r="F35" s="43" t="s">
        <v>515</v>
      </c>
      <c r="G35" s="39"/>
      <c r="H35" s="57"/>
    </row>
    <row r="36" spans="2:8" s="59" customFormat="1" ht="15.95" customHeight="1">
      <c r="B36" s="240" t="s">
        <v>8</v>
      </c>
      <c r="C36" s="317"/>
      <c r="D36" s="317"/>
      <c r="E36" s="19">
        <v>7.2999999999999995E-2</v>
      </c>
      <c r="F36" s="240" t="s">
        <v>516</v>
      </c>
      <c r="G36" s="317"/>
      <c r="H36" s="318"/>
    </row>
    <row r="37" spans="2:8" s="59" customFormat="1" ht="15.95" customHeight="1">
      <c r="B37" s="43" t="s">
        <v>521</v>
      </c>
      <c r="C37" s="39"/>
      <c r="D37" s="39"/>
      <c r="E37" s="17">
        <f>M25-M23</f>
        <v>-1.5472519833333337E-2</v>
      </c>
      <c r="F37" s="43"/>
      <c r="G37" s="39"/>
      <c r="H37" s="57"/>
    </row>
    <row r="38" spans="2:8" s="59" customFormat="1" ht="15.95" customHeight="1">
      <c r="B38" s="65" t="s">
        <v>18</v>
      </c>
      <c r="C38" s="39"/>
      <c r="D38" s="39"/>
      <c r="E38" s="20"/>
      <c r="F38" s="43"/>
      <c r="G38" s="39"/>
      <c r="H38" s="57"/>
    </row>
    <row r="39" spans="2:8" s="59" customFormat="1" ht="15.95" customHeight="1">
      <c r="B39" s="43" t="s">
        <v>15</v>
      </c>
      <c r="C39" s="39"/>
      <c r="D39" s="39"/>
      <c r="E39" s="16">
        <f ca="1">('PL&amp;BS Projection'!F55+'PL&amp;BS Projection'!F69)/'PL&amp;BS Projection'!F52</f>
        <v>5.1408162318003485E-2</v>
      </c>
      <c r="F39" s="43"/>
      <c r="G39" s="39"/>
      <c r="H39" s="57"/>
    </row>
    <row r="40" spans="2:8" s="59" customFormat="1" ht="15.95" customHeight="1">
      <c r="B40" s="43" t="s">
        <v>16</v>
      </c>
      <c r="C40" s="39"/>
      <c r="D40" s="39"/>
      <c r="E40" s="17">
        <f ca="1">1-E39</f>
        <v>0.94859183768199651</v>
      </c>
      <c r="F40" s="43"/>
      <c r="G40" s="39"/>
      <c r="H40" s="57"/>
    </row>
    <row r="41" spans="2:8" s="59" customFormat="1" ht="15.95" customHeight="1">
      <c r="B41" s="43" t="s">
        <v>564</v>
      </c>
      <c r="C41" s="39"/>
      <c r="D41" s="39"/>
      <c r="E41" s="16">
        <v>0.22</v>
      </c>
      <c r="F41" s="43"/>
      <c r="G41" s="39"/>
      <c r="H41" s="57"/>
    </row>
    <row r="42" spans="2:8" s="59" customFormat="1" ht="15.95" customHeight="1">
      <c r="B42" s="66" t="s">
        <v>565</v>
      </c>
      <c r="C42" s="62"/>
      <c r="D42" s="62"/>
      <c r="E42" s="21">
        <v>0.22</v>
      </c>
      <c r="F42" s="62"/>
      <c r="G42" s="62"/>
      <c r="H42" s="63"/>
    </row>
    <row r="43" spans="2:8" s="59" customFormat="1" ht="15.95" customHeight="1"/>
    <row r="44" spans="2:8" s="59" customFormat="1" ht="15.95" customHeight="1">
      <c r="B44" s="326" t="s">
        <v>580</v>
      </c>
      <c r="C44" s="225"/>
      <c r="D44" s="225"/>
      <c r="E44" s="226"/>
    </row>
    <row r="45" spans="2:8" s="59" customFormat="1" ht="15.95" customHeight="1">
      <c r="B45" s="65" t="s">
        <v>589</v>
      </c>
      <c r="C45" s="38"/>
      <c r="D45" s="38"/>
      <c r="E45" s="57"/>
    </row>
    <row r="46" spans="2:8" s="59" customFormat="1" ht="15.95" customHeight="1">
      <c r="B46" s="327" t="s">
        <v>581</v>
      </c>
      <c r="C46" s="322" t="s">
        <v>582</v>
      </c>
      <c r="D46" s="322" t="s">
        <v>583</v>
      </c>
      <c r="E46" s="323" t="s">
        <v>584</v>
      </c>
    </row>
    <row r="47" spans="2:8" s="59" customFormat="1" ht="15.95" customHeight="1">
      <c r="B47" s="239" t="s">
        <v>342</v>
      </c>
      <c r="C47" s="250">
        <v>0.56999999999999995</v>
      </c>
      <c r="D47" s="250">
        <v>0.35</v>
      </c>
      <c r="E47" s="300">
        <v>0.16600000000000001</v>
      </c>
      <c r="F47" s="325"/>
    </row>
    <row r="48" spans="2:8" s="59" customFormat="1" ht="15.95" customHeight="1">
      <c r="B48" s="239" t="s">
        <v>585</v>
      </c>
      <c r="C48" s="250">
        <v>0.63</v>
      </c>
      <c r="D48" s="250">
        <v>0.66</v>
      </c>
      <c r="E48" s="328">
        <v>0.25</v>
      </c>
      <c r="F48" s="325"/>
    </row>
    <row r="49" spans="2:6" s="59" customFormat="1" ht="15.95" customHeight="1">
      <c r="B49" s="239" t="s">
        <v>586</v>
      </c>
      <c r="C49" s="250">
        <v>0.65</v>
      </c>
      <c r="D49" s="250">
        <v>0.32</v>
      </c>
      <c r="E49" s="328">
        <v>0.25</v>
      </c>
      <c r="F49" s="325"/>
    </row>
    <row r="50" spans="2:6" s="59" customFormat="1" ht="15.95" customHeight="1">
      <c r="B50" s="239" t="s">
        <v>587</v>
      </c>
      <c r="C50" s="250">
        <v>0.68</v>
      </c>
      <c r="D50" s="250">
        <v>0.39</v>
      </c>
      <c r="E50" s="328">
        <v>0.25</v>
      </c>
      <c r="F50" s="325"/>
    </row>
    <row r="51" spans="2:6" s="59" customFormat="1" ht="15.95" customHeight="1">
      <c r="B51" s="239" t="s">
        <v>588</v>
      </c>
      <c r="C51" s="217">
        <f>AVERAGE(C47:C50)</f>
        <v>0.63250000000000006</v>
      </c>
      <c r="D51" s="217">
        <f t="shared" ref="D51:E51" si="0">AVERAGE(D47:D50)</f>
        <v>0.43000000000000005</v>
      </c>
      <c r="E51" s="329">
        <f t="shared" si="0"/>
        <v>0.22900000000000001</v>
      </c>
      <c r="F51" s="325"/>
    </row>
    <row r="52" spans="2:6" s="59" customFormat="1" ht="15.95" customHeight="1">
      <c r="B52" s="239" t="s">
        <v>590</v>
      </c>
      <c r="C52" s="39"/>
      <c r="D52" s="291">
        <f>C51/(1+(1-E51)*D51)</f>
        <v>0.47501746111615961</v>
      </c>
      <c r="E52" s="57"/>
    </row>
    <row r="53" spans="2:6" s="59" customFormat="1" ht="6" customHeight="1">
      <c r="B53" s="43"/>
      <c r="C53" s="39"/>
      <c r="D53" s="39"/>
      <c r="E53" s="57"/>
    </row>
    <row r="54" spans="2:6" s="59" customFormat="1" ht="15.95" customHeight="1">
      <c r="B54" s="65" t="s">
        <v>592</v>
      </c>
      <c r="C54" s="39"/>
      <c r="D54" s="39"/>
      <c r="E54" s="57"/>
    </row>
    <row r="55" spans="2:6" s="59" customFormat="1" ht="15.95" customHeight="1">
      <c r="B55" s="239" t="s">
        <v>583</v>
      </c>
      <c r="C55" s="39"/>
      <c r="D55" s="250">
        <v>0.45</v>
      </c>
      <c r="E55" s="57"/>
    </row>
    <row r="56" spans="2:6" s="59" customFormat="1" ht="15.95" customHeight="1">
      <c r="B56" s="239" t="s">
        <v>591</v>
      </c>
      <c r="C56" s="39"/>
      <c r="D56" s="252">
        <v>0.25</v>
      </c>
      <c r="E56" s="57"/>
    </row>
    <row r="57" spans="2:6" s="59" customFormat="1" ht="15.95" customHeight="1">
      <c r="B57" s="330" t="s">
        <v>593</v>
      </c>
      <c r="C57" s="62"/>
      <c r="D57" s="218">
        <f>D52*(1+(1-D56)*D55)</f>
        <v>0.63533585424286343</v>
      </c>
      <c r="E57" s="63"/>
    </row>
    <row r="58" spans="2:6" ht="3.75" customHeight="1"/>
    <row r="59" spans="2:6" ht="15.95" customHeight="1"/>
    <row r="60" spans="2:6" ht="15.95" customHeight="1"/>
    <row r="61" spans="2:6" ht="15.95" customHeight="1"/>
    <row r="62" spans="2:6" ht="15.95" customHeight="1"/>
  </sheetData>
  <mergeCells count="3">
    <mergeCell ref="B21:E21"/>
    <mergeCell ref="F21:H21"/>
    <mergeCell ref="J21:M21"/>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H28"/>
  <sheetViews>
    <sheetView showGridLines="0" topLeftCell="A7" workbookViewId="0">
      <selection activeCell="D22" sqref="D22"/>
    </sheetView>
  </sheetViews>
  <sheetFormatPr defaultRowHeight="15.95" customHeight="1"/>
  <cols>
    <col min="1" max="1" width="16.140625" style="59" customWidth="1"/>
    <col min="2" max="2" width="21" style="59" customWidth="1"/>
    <col min="3" max="3" width="13.28515625" style="59" customWidth="1"/>
    <col min="4" max="4" width="11" style="59" bestFit="1" customWidth="1"/>
    <col min="5" max="5" width="10.85546875" style="59" bestFit="1" customWidth="1"/>
    <col min="6" max="6" width="9.140625" style="59"/>
    <col min="7" max="7" width="10.85546875" style="59" bestFit="1" customWidth="1"/>
    <col min="8" max="16384" width="9.140625" style="59"/>
  </cols>
  <sheetData>
    <row r="1" spans="1:8" ht="15.95" customHeight="1">
      <c r="A1" s="384">
        <f>Info!B6</f>
        <v>0</v>
      </c>
    </row>
    <row r="2" spans="1:8" ht="15.95" customHeight="1">
      <c r="A2" s="37" t="s">
        <v>744</v>
      </c>
    </row>
    <row r="4" spans="1:8" ht="15.95" customHeight="1">
      <c r="A4" s="383" t="s">
        <v>730</v>
      </c>
      <c r="B4" s="383"/>
    </row>
    <row r="5" spans="1:8" ht="15.95" customHeight="1">
      <c r="A5" s="385" t="s">
        <v>745</v>
      </c>
      <c r="B5" s="386" t="s">
        <v>581</v>
      </c>
      <c r="C5" s="386" t="s">
        <v>731</v>
      </c>
      <c r="D5" s="386" t="s">
        <v>732</v>
      </c>
      <c r="E5" s="386" t="s">
        <v>759</v>
      </c>
      <c r="F5" s="386" t="s">
        <v>733</v>
      </c>
      <c r="G5" s="386" t="s">
        <v>734</v>
      </c>
      <c r="H5" s="387" t="s">
        <v>733</v>
      </c>
    </row>
    <row r="6" spans="1:8" ht="15.95" customHeight="1">
      <c r="A6" s="390"/>
      <c r="B6" s="391"/>
      <c r="C6" s="391" t="s">
        <v>754</v>
      </c>
      <c r="D6" s="391" t="s">
        <v>757</v>
      </c>
      <c r="E6" s="391" t="s">
        <v>758</v>
      </c>
      <c r="F6" s="391" t="s">
        <v>735</v>
      </c>
      <c r="G6" s="391" t="s">
        <v>735</v>
      </c>
      <c r="H6" s="392" t="s">
        <v>736</v>
      </c>
    </row>
    <row r="7" spans="1:8" ht="15.95" customHeight="1">
      <c r="A7" s="389" t="s">
        <v>888</v>
      </c>
      <c r="B7" s="389"/>
      <c r="C7" s="165">
        <v>678600</v>
      </c>
      <c r="D7" s="217">
        <v>0.23376920646160501</v>
      </c>
      <c r="E7" s="217">
        <v>0.149499075339906</v>
      </c>
      <c r="F7" s="39"/>
      <c r="G7" s="217">
        <v>5.8187863882135904</v>
      </c>
      <c r="H7" s="46">
        <v>1.3272104766158199</v>
      </c>
    </row>
    <row r="8" spans="1:8" ht="15.95" customHeight="1">
      <c r="A8" s="388" t="s">
        <v>889</v>
      </c>
      <c r="B8" s="389"/>
      <c r="C8" s="165">
        <v>677341</v>
      </c>
      <c r="D8" s="217">
        <v>0.43334277084871498</v>
      </c>
      <c r="E8" s="217">
        <v>0.31888180771254798</v>
      </c>
      <c r="F8" s="39"/>
      <c r="G8" s="217">
        <v>6.59597347892724</v>
      </c>
      <c r="H8" s="46">
        <v>2.63724802273956</v>
      </c>
    </row>
    <row r="9" spans="1:8" ht="15.95" customHeight="1">
      <c r="A9" s="388" t="s">
        <v>890</v>
      </c>
      <c r="B9" s="389"/>
      <c r="C9" s="165">
        <v>357280</v>
      </c>
      <c r="D9" s="217">
        <v>0.29256771884176103</v>
      </c>
      <c r="E9" s="217">
        <v>0.220858084351888</v>
      </c>
      <c r="F9" s="39"/>
      <c r="G9" s="217">
        <v>4.5363562184208099</v>
      </c>
      <c r="H9" s="46">
        <v>1.2653323965632499</v>
      </c>
    </row>
    <row r="10" spans="1:8" ht="15.95" customHeight="1">
      <c r="A10" s="404" t="s">
        <v>737</v>
      </c>
      <c r="B10" s="405"/>
      <c r="C10" s="405"/>
      <c r="D10" s="406">
        <f>AVERAGE(D7:D9)</f>
        <v>0.3198932320506937</v>
      </c>
      <c r="E10" s="406">
        <f>AVERAGE(E7:E9)</f>
        <v>0.22974632246811399</v>
      </c>
      <c r="F10" s="406"/>
      <c r="G10" s="406">
        <f>AVERAGE(G7:G9)</f>
        <v>5.6503720285205468</v>
      </c>
      <c r="H10" s="407">
        <f>AVERAGE(H7:H9)</f>
        <v>1.7432636319728765</v>
      </c>
    </row>
    <row r="12" spans="1:8" ht="15.95" customHeight="1">
      <c r="A12" s="393" t="s">
        <v>24</v>
      </c>
      <c r="B12" s="394" t="s">
        <v>488</v>
      </c>
      <c r="C12" s="395" t="s">
        <v>769</v>
      </c>
    </row>
    <row r="13" spans="1:8" ht="15.95" customHeight="1">
      <c r="A13" s="43" t="s">
        <v>738</v>
      </c>
      <c r="B13" s="195">
        <f ca="1">'PL&amp;BS Projection'!G22</f>
        <v>2744.3031437265872</v>
      </c>
      <c r="C13" s="44">
        <f ca="1">'PL&amp;BS Projection'!H22</f>
        <v>2503.5818941189223</v>
      </c>
    </row>
    <row r="14" spans="1:8" ht="15.95" customHeight="1">
      <c r="A14" s="43" t="s">
        <v>739</v>
      </c>
      <c r="B14" s="217">
        <f>G10</f>
        <v>5.6503720285205468</v>
      </c>
      <c r="C14" s="45">
        <f>G10</f>
        <v>5.6503720285205468</v>
      </c>
    </row>
    <row r="15" spans="1:8" ht="15.95" customHeight="1">
      <c r="A15" s="43" t="s">
        <v>740</v>
      </c>
      <c r="B15" s="356">
        <f ca="1">B13*B14</f>
        <v>15506.33372109371</v>
      </c>
      <c r="C15" s="357">
        <f ca="1">C13*C14</f>
        <v>14146.169105640047</v>
      </c>
    </row>
    <row r="16" spans="1:8" ht="15.95" customHeight="1">
      <c r="A16" s="43" t="s">
        <v>741</v>
      </c>
      <c r="B16" s="195">
        <f ca="1">'Assump-F '!C80</f>
        <v>15119946</v>
      </c>
      <c r="C16" s="44">
        <f ca="1">'Assump-F '!D80</f>
        <v>15119946</v>
      </c>
    </row>
    <row r="17" spans="1:7" ht="15.95" customHeight="1">
      <c r="A17" s="43" t="s">
        <v>742</v>
      </c>
      <c r="B17" s="195">
        <f ca="1">'PL&amp;BS Projection'!G73/Multiple!B16*1000000</f>
        <v>21951.486341536944</v>
      </c>
      <c r="C17" s="44"/>
    </row>
    <row r="18" spans="1:7" ht="15.95" customHeight="1">
      <c r="A18" s="43" t="s">
        <v>743</v>
      </c>
      <c r="B18" s="217">
        <f>H10</f>
        <v>1.7432636319728765</v>
      </c>
      <c r="C18" s="46"/>
    </row>
    <row r="19" spans="1:7" ht="15.95" customHeight="1">
      <c r="A19" s="66" t="s">
        <v>740</v>
      </c>
      <c r="B19" s="359">
        <f ca="1">B17*B18</f>
        <v>38267.227806950686</v>
      </c>
      <c r="C19" s="360"/>
    </row>
    <row r="21" spans="1:7" ht="15.95" customHeight="1">
      <c r="A21" s="397" t="s">
        <v>746</v>
      </c>
      <c r="B21" s="398"/>
      <c r="C21" s="398" t="s">
        <v>747</v>
      </c>
      <c r="D21" s="398">
        <v>2015</v>
      </c>
      <c r="E21" s="398" t="s">
        <v>748</v>
      </c>
      <c r="F21" s="398">
        <v>2016</v>
      </c>
      <c r="G21" s="399" t="s">
        <v>748</v>
      </c>
    </row>
    <row r="22" spans="1:7" ht="15.95" customHeight="1">
      <c r="A22" s="59" t="s">
        <v>683</v>
      </c>
      <c r="D22" s="165">
        <f ca="1">DCF!C35</f>
        <v>28446.0754824959</v>
      </c>
      <c r="E22" s="408">
        <v>0.5</v>
      </c>
      <c r="F22" s="165">
        <f ca="1">DCF!D35</f>
        <v>27356.794354343223</v>
      </c>
      <c r="G22" s="329">
        <v>0.5</v>
      </c>
    </row>
    <row r="23" spans="1:7" ht="15.95" customHeight="1">
      <c r="A23" s="59" t="s">
        <v>685</v>
      </c>
      <c r="D23" s="165">
        <f ca="1">DCF!C41</f>
        <v>30611.134609339839</v>
      </c>
      <c r="E23" s="408">
        <v>0.2</v>
      </c>
      <c r="F23" s="165">
        <f ca="1">DCF!D41</f>
        <v>27091.723350582877</v>
      </c>
      <c r="G23" s="329">
        <v>0.3</v>
      </c>
    </row>
    <row r="24" spans="1:7" ht="15.95" customHeight="1">
      <c r="A24" s="43" t="s">
        <v>749</v>
      </c>
      <c r="B24" s="39"/>
      <c r="C24" s="39" t="s">
        <v>760</v>
      </c>
      <c r="D24" s="194">
        <f ca="1">B19</f>
        <v>38267.227806950686</v>
      </c>
      <c r="E24" s="408">
        <v>0.15</v>
      </c>
      <c r="F24" s="194">
        <f ca="1">C15</f>
        <v>14146.169105640047</v>
      </c>
      <c r="G24" s="329">
        <v>0.2</v>
      </c>
    </row>
    <row r="25" spans="1:7" ht="15.95" customHeight="1">
      <c r="A25" s="43" t="s">
        <v>750</v>
      </c>
      <c r="B25" s="39"/>
      <c r="C25" s="39" t="s">
        <v>761</v>
      </c>
      <c r="D25" s="165">
        <f ca="1">B15</f>
        <v>15506.33372109371</v>
      </c>
      <c r="E25" s="408">
        <v>0.15</v>
      </c>
      <c r="F25" s="165"/>
      <c r="G25" s="44"/>
    </row>
    <row r="26" spans="1:7" ht="15.95" customHeight="1">
      <c r="A26" s="43" t="s">
        <v>751</v>
      </c>
      <c r="B26" s="39"/>
      <c r="C26" s="39"/>
      <c r="D26" s="356">
        <f ca="1">D22*E22+D23*E23+D24*E24+D25*E25</f>
        <v>28411.298892322578</v>
      </c>
      <c r="E26" s="195"/>
      <c r="F26" s="356">
        <f ca="1">F22*G22+F23*G23+F24*G24+F25*G25</f>
        <v>24635.148003474482</v>
      </c>
      <c r="G26" s="44"/>
    </row>
    <row r="27" spans="1:7" ht="15.95" customHeight="1">
      <c r="A27" s="43" t="s">
        <v>752</v>
      </c>
      <c r="B27" s="39"/>
      <c r="C27" s="251">
        <v>18200</v>
      </c>
      <c r="D27" s="39"/>
      <c r="E27" s="165"/>
      <c r="F27" s="39"/>
      <c r="G27" s="396"/>
    </row>
    <row r="28" spans="1:7" ht="15.95" customHeight="1">
      <c r="A28" s="66" t="s">
        <v>753</v>
      </c>
      <c r="B28" s="62"/>
      <c r="C28" s="409">
        <f ca="1">D26/C27-1</f>
        <v>0.56106037869904268</v>
      </c>
      <c r="D28" s="62"/>
      <c r="E28" s="203"/>
      <c r="F28" s="409">
        <f ca="1">F26/C27-1</f>
        <v>0.35357956063046614</v>
      </c>
      <c r="G28" s="20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9"/>
  <sheetViews>
    <sheetView showGridLines="0" topLeftCell="A25" workbookViewId="0">
      <selection activeCell="C30" sqref="C30:G30"/>
    </sheetView>
  </sheetViews>
  <sheetFormatPr defaultRowHeight="15.95" customHeight="1"/>
  <cols>
    <col min="1" max="1" width="28.42578125" style="59" customWidth="1"/>
    <col min="2" max="2" width="12.42578125" style="59" bestFit="1" customWidth="1"/>
    <col min="3" max="7" width="9" style="59" bestFit="1" customWidth="1"/>
    <col min="8" max="8" width="10.7109375" style="59" customWidth="1"/>
    <col min="9" max="16384" width="9.140625" style="59"/>
  </cols>
  <sheetData>
    <row r="1" spans="1:7" ht="15.95" customHeight="1">
      <c r="A1" s="59">
        <f>Info!B6</f>
        <v>0</v>
      </c>
    </row>
    <row r="2" spans="1:7" ht="15.95" customHeight="1">
      <c r="A2" s="343" t="s">
        <v>24</v>
      </c>
    </row>
    <row r="3" spans="1:7" ht="8.25" customHeight="1">
      <c r="A3" s="343"/>
    </row>
    <row r="4" spans="1:7" ht="15.95" customHeight="1">
      <c r="A4" s="209" t="s">
        <v>728</v>
      </c>
      <c r="B4" s="363">
        <v>2014</v>
      </c>
      <c r="C4" s="363">
        <f t="shared" ref="C4" si="0">B4+1</f>
        <v>2015</v>
      </c>
      <c r="D4" s="363">
        <f t="shared" ref="D4" si="1">C4+1</f>
        <v>2016</v>
      </c>
      <c r="E4" s="363">
        <f t="shared" ref="E4" si="2">D4+1</f>
        <v>2017</v>
      </c>
      <c r="F4" s="363">
        <f t="shared" ref="F4" si="3">E4+1</f>
        <v>2018</v>
      </c>
      <c r="G4" s="364">
        <f t="shared" ref="G4" si="4">F4+1</f>
        <v>2019</v>
      </c>
    </row>
    <row r="5" spans="1:7" ht="15.95" customHeight="1">
      <c r="A5" s="43" t="s">
        <v>676</v>
      </c>
      <c r="B5" s="251">
        <f ca="1">'PL&amp;BS Projection'!F21</f>
        <v>14847.033325</v>
      </c>
      <c r="C5" s="529">
        <f ca="1">'PL&amp;BS Projection'!G21</f>
        <v>41493.715340776238</v>
      </c>
      <c r="D5" s="529">
        <f ca="1">'PL&amp;BS Projection'!H21</f>
        <v>37854.02304565582</v>
      </c>
      <c r="E5" s="529">
        <f ca="1">'PL&amp;BS Projection'!I21</f>
        <v>52159.392994276364</v>
      </c>
      <c r="F5" s="529">
        <f ca="1">'PL&amp;BS Projection'!J21</f>
        <v>67232.661994246562</v>
      </c>
      <c r="G5" s="529">
        <f ca="1">'PL&amp;BS Projection'!K21</f>
        <v>81442.452974221014</v>
      </c>
    </row>
    <row r="6" spans="1:7" ht="15.95" customHeight="1">
      <c r="A6" s="43" t="s">
        <v>405</v>
      </c>
      <c r="B6" s="251">
        <f ca="1">'CF projection'!E8</f>
        <v>11980.664847</v>
      </c>
      <c r="C6" s="530">
        <f ca="1">'CF projection'!F8</f>
        <v>9694</v>
      </c>
      <c r="D6" s="530">
        <f ca="1">'CF projection'!G8</f>
        <v>11093.999999999993</v>
      </c>
      <c r="E6" s="530">
        <f ca="1">'CF projection'!H8</f>
        <v>11094</v>
      </c>
      <c r="F6" s="530">
        <f ca="1">'CF projection'!I8</f>
        <v>11094</v>
      </c>
      <c r="G6" s="530">
        <f ca="1">'CF projection'!J8</f>
        <v>11094</v>
      </c>
    </row>
    <row r="7" spans="1:7" ht="15.95" customHeight="1">
      <c r="A7" s="43" t="s">
        <v>677</v>
      </c>
      <c r="B7" s="251">
        <f ca="1">'CF projection'!E16</f>
        <v>-12747.882651</v>
      </c>
      <c r="C7" s="530">
        <f ca="1">'CF projection'!F16</f>
        <v>-13253.793747324333</v>
      </c>
      <c r="D7" s="530">
        <f ca="1">'CF projection'!G16</f>
        <v>2506.0885502259935</v>
      </c>
      <c r="E7" s="530">
        <f ca="1">'CF projection'!H16</f>
        <v>-8990.0094472529527</v>
      </c>
      <c r="F7" s="530">
        <f ca="1">'CF projection'!I16</f>
        <v>-9426.3609887724815</v>
      </c>
      <c r="G7" s="530">
        <f ca="1">'CF projection'!J16</f>
        <v>-9295.9094126429009</v>
      </c>
    </row>
    <row r="8" spans="1:7" ht="15.95" customHeight="1">
      <c r="A8" s="43" t="s">
        <v>678</v>
      </c>
      <c r="B8" s="251">
        <f ca="1">SUM(B5:B7)</f>
        <v>14079.815521</v>
      </c>
      <c r="C8" s="530">
        <f t="shared" ref="C8" ca="1" si="5">SUM(C5:C7)</f>
        <v>37933.921593451902</v>
      </c>
      <c r="D8" s="530">
        <f ca="1">SUM(D5:D7)</f>
        <v>51454.111595881805</v>
      </c>
      <c r="E8" s="530">
        <f t="shared" ref="E8:G8" ca="1" si="6">SUM(E5:E7)</f>
        <v>54263.383547023412</v>
      </c>
      <c r="F8" s="530">
        <f t="shared" ca="1" si="6"/>
        <v>68900.301005474088</v>
      </c>
      <c r="G8" s="531">
        <f t="shared" ca="1" si="6"/>
        <v>83240.543561578117</v>
      </c>
    </row>
    <row r="9" spans="1:7" ht="15.95" customHeight="1">
      <c r="A9" s="43" t="s">
        <v>679</v>
      </c>
      <c r="B9" s="251">
        <f ca="1">'PL&amp;BS Projection'!F17</f>
        <v>-774.53977799999996</v>
      </c>
      <c r="C9" s="530">
        <f ca="1">'PL&amp;BS Projection'!G17</f>
        <v>-1692.586008483594</v>
      </c>
      <c r="D9" s="530">
        <f ca="1">'PL&amp;BS Projection'!H17</f>
        <v>-1586.2424353702856</v>
      </c>
      <c r="E9" s="530">
        <f ca="1">'PL&amp;BS Projection'!I17</f>
        <v>-1949.4593123766469</v>
      </c>
      <c r="F9" s="530">
        <f ca="1">'PL&amp;BS Projection'!J17</f>
        <v>-2332.6122630529694</v>
      </c>
      <c r="G9" s="530">
        <f ca="1">'PL&amp;BS Projection'!K17</f>
        <v>-2707.5750232158516</v>
      </c>
    </row>
    <row r="10" spans="1:7" ht="15.95" customHeight="1">
      <c r="A10" s="43" t="s">
        <v>680</v>
      </c>
      <c r="B10" s="256">
        <v>0.22</v>
      </c>
      <c r="C10" s="408">
        <v>0.22</v>
      </c>
      <c r="D10" s="408">
        <v>0.2</v>
      </c>
      <c r="E10" s="408">
        <v>0.2</v>
      </c>
      <c r="F10" s="408">
        <v>0.2</v>
      </c>
      <c r="G10" s="329">
        <v>0.2</v>
      </c>
    </row>
    <row r="11" spans="1:7" ht="15.95" customHeight="1">
      <c r="A11" s="43" t="s">
        <v>681</v>
      </c>
      <c r="B11" s="251">
        <f ca="1">B9*(1-B10)</f>
        <v>-604.14102683999999</v>
      </c>
      <c r="C11" s="530">
        <f t="shared" ref="C11" ca="1" si="7">C9*(1-C10)</f>
        <v>-1320.2170866172034</v>
      </c>
      <c r="D11" s="530">
        <f t="shared" ref="D11:G11" ca="1" si="8">D9*(1-D10)</f>
        <v>-1268.9939482962286</v>
      </c>
      <c r="E11" s="530">
        <f t="shared" ca="1" si="8"/>
        <v>-1559.5674499013176</v>
      </c>
      <c r="F11" s="530">
        <f t="shared" ca="1" si="8"/>
        <v>-1866.0898104423757</v>
      </c>
      <c r="G11" s="531">
        <f t="shared" ca="1" si="8"/>
        <v>-2166.0600185726812</v>
      </c>
    </row>
    <row r="12" spans="1:7" ht="15.95" customHeight="1">
      <c r="A12" s="43" t="s">
        <v>682</v>
      </c>
      <c r="B12" s="251"/>
      <c r="C12" s="530">
        <f>CAPEX!C6</f>
        <v>4266.833333333333</v>
      </c>
      <c r="D12" s="530">
        <f>CAPEX!D6</f>
        <v>27828.466666666667</v>
      </c>
      <c r="E12" s="530">
        <f>CAPEX!E6</f>
        <v>29193.466666666667</v>
      </c>
      <c r="F12" s="530">
        <f>CAPEX!F6</f>
        <v>34193.466666666667</v>
      </c>
      <c r="G12" s="530">
        <f>CAPEX!G6</f>
        <v>32828.466666666667</v>
      </c>
    </row>
    <row r="13" spans="1:7" ht="15.95" customHeight="1">
      <c r="A13" s="200" t="s">
        <v>683</v>
      </c>
      <c r="B13" s="355"/>
      <c r="C13" s="532">
        <f ca="1">C8+C11-C12</f>
        <v>32346.871173501368</v>
      </c>
      <c r="D13" s="532">
        <f ca="1">D8+D11-D12</f>
        <v>22356.650980918908</v>
      </c>
      <c r="E13" s="532">
        <f t="shared" ref="E13:G13" ca="1" si="9">E8+E11-E12</f>
        <v>23510.349430455426</v>
      </c>
      <c r="F13" s="532">
        <f t="shared" ca="1" si="9"/>
        <v>32840.744528365052</v>
      </c>
      <c r="G13" s="533">
        <f t="shared" ca="1" si="9"/>
        <v>48246.01687633877</v>
      </c>
    </row>
    <row r="14" spans="1:7" ht="15.95" customHeight="1">
      <c r="A14" s="43" t="s">
        <v>684</v>
      </c>
      <c r="B14" s="251">
        <f ca="1">'CF projection'!E32+'CF projection'!E33</f>
        <v>-13406.498113000009</v>
      </c>
      <c r="C14" s="195">
        <f ca="1">-('CF projection'!F32+'CF projection'!F33)</f>
        <v>3636.8896910449257</v>
      </c>
      <c r="D14" s="195">
        <f ca="1">'CF projection'!G32+'CF projection'!G33</f>
        <v>1329.2946639163565</v>
      </c>
      <c r="E14" s="195">
        <f ca="1">'CF projection'!H32+'CF projection'!H33</f>
        <v>-4540.2109625795165</v>
      </c>
      <c r="F14" s="195">
        <f ca="1">'CF projection'!I32+'CF projection'!I33</f>
        <v>-4789.4118834540313</v>
      </c>
      <c r="G14" s="195">
        <f ca="1">'CF projection'!J32+'CF projection'!J33</f>
        <v>-4687.0345020360255</v>
      </c>
    </row>
    <row r="15" spans="1:7" ht="15.95" customHeight="1">
      <c r="A15" s="201" t="s">
        <v>685</v>
      </c>
      <c r="B15" s="358"/>
      <c r="C15" s="535">
        <f ca="1">C13+C11-C14</f>
        <v>27389.76439583924</v>
      </c>
      <c r="D15" s="535">
        <f ca="1">D13+D11-D14</f>
        <v>19758.362368706323</v>
      </c>
      <c r="E15" s="535">
        <f t="shared" ref="E15:G15" ca="1" si="10">E13+E11-E14</f>
        <v>26490.992943133624</v>
      </c>
      <c r="F15" s="535">
        <f t="shared" ca="1" si="10"/>
        <v>35764.066601376704</v>
      </c>
      <c r="G15" s="534">
        <f t="shared" ca="1" si="10"/>
        <v>50766.991359802116</v>
      </c>
    </row>
    <row r="16" spans="1:7" ht="3.75" customHeight="1">
      <c r="B16" s="272"/>
      <c r="C16" s="272"/>
      <c r="D16" s="272"/>
      <c r="E16" s="272"/>
      <c r="F16" s="272"/>
      <c r="G16" s="272"/>
    </row>
    <row r="17" spans="1:9" ht="15.95" customHeight="1">
      <c r="A17" s="209" t="s">
        <v>720</v>
      </c>
      <c r="B17" s="212"/>
    </row>
    <row r="18" spans="1:9" ht="15.95" customHeight="1">
      <c r="A18" s="43" t="s">
        <v>6</v>
      </c>
      <c r="B18" s="47">
        <f>'Discount rate'!M23</f>
        <v>0.1144</v>
      </c>
    </row>
    <row r="19" spans="1:9" ht="15.95" customHeight="1">
      <c r="A19" s="43" t="s">
        <v>518</v>
      </c>
      <c r="B19" s="47">
        <v>0.105</v>
      </c>
    </row>
    <row r="20" spans="1:9" ht="15.95" customHeight="1">
      <c r="A20" s="43" t="s">
        <v>519</v>
      </c>
      <c r="B20" s="47">
        <f>'Discount rate'!M25</f>
        <v>9.8927480166666665E-2</v>
      </c>
    </row>
    <row r="21" spans="1:9" ht="15.95" customHeight="1">
      <c r="A21" s="43" t="s">
        <v>520</v>
      </c>
      <c r="B21" s="47">
        <v>0.1686</v>
      </c>
    </row>
    <row r="22" spans="1:9" ht="15.95" customHeight="1">
      <c r="A22" s="43" t="s">
        <v>562</v>
      </c>
      <c r="B22" s="47">
        <f>B21</f>
        <v>0.1686</v>
      </c>
    </row>
    <row r="23" spans="1:9" ht="15.95" customHeight="1">
      <c r="A23" s="43" t="s">
        <v>563</v>
      </c>
      <c r="B23" s="47">
        <f ca="1">'Discount rate'!M28</f>
        <v>9.8429053348507684E-2</v>
      </c>
    </row>
    <row r="24" spans="1:9" ht="15.95" customHeight="1">
      <c r="A24" s="43" t="s">
        <v>721</v>
      </c>
      <c r="B24" s="277">
        <f ca="1">'Assump-F '!C80</f>
        <v>15119946</v>
      </c>
    </row>
    <row r="25" spans="1:9" ht="15.95" customHeight="1">
      <c r="A25" s="66" t="s">
        <v>686</v>
      </c>
      <c r="B25" s="361">
        <v>0.02</v>
      </c>
    </row>
    <row r="26" spans="1:9" ht="3.75" customHeight="1"/>
    <row r="27" spans="1:9" ht="15.95" customHeight="1">
      <c r="A27" s="362" t="s">
        <v>727</v>
      </c>
      <c r="B27" s="363">
        <v>2014</v>
      </c>
      <c r="C27" s="363">
        <f t="shared" ref="C27" si="11">B27+1</f>
        <v>2015</v>
      </c>
      <c r="D27" s="363">
        <f t="shared" ref="D27" si="12">C27+1</f>
        <v>2016</v>
      </c>
      <c r="E27" s="363">
        <f t="shared" ref="E27" si="13">D27+1</f>
        <v>2017</v>
      </c>
      <c r="F27" s="363">
        <f t="shared" ref="F27" si="14">E27+1</f>
        <v>2018</v>
      </c>
      <c r="G27" s="364">
        <f t="shared" ref="G27" si="15">F27+1</f>
        <v>2019</v>
      </c>
    </row>
    <row r="28" spans="1:9" ht="15.95" customHeight="1">
      <c r="A28" s="200" t="s">
        <v>683</v>
      </c>
      <c r="B28" s="39"/>
      <c r="C28" s="614">
        <f ca="1">C13</f>
        <v>32346.871173501368</v>
      </c>
      <c r="D28" s="614">
        <f t="shared" ref="D28:G28" ca="1" si="16">D13</f>
        <v>22356.650980918908</v>
      </c>
      <c r="E28" s="614">
        <f t="shared" ca="1" si="16"/>
        <v>23510.349430455426</v>
      </c>
      <c r="F28" s="614">
        <f t="shared" ca="1" si="16"/>
        <v>32840.744528365052</v>
      </c>
      <c r="G28" s="615">
        <f t="shared" ca="1" si="16"/>
        <v>48246.01687633877</v>
      </c>
    </row>
    <row r="29" spans="1:9" ht="15.95" customHeight="1">
      <c r="A29" s="43" t="s">
        <v>41</v>
      </c>
      <c r="B29" s="39"/>
      <c r="C29" s="217">
        <f>(1+$B$22)</f>
        <v>1.1686000000000001</v>
      </c>
      <c r="D29" s="217">
        <f>C29*(1+$B$22)</f>
        <v>1.3656259600000002</v>
      </c>
      <c r="E29" s="217">
        <f t="shared" ref="E29:G29" si="17">D29*(1+$B$22)</f>
        <v>1.5958704968560005</v>
      </c>
      <c r="F29" s="217">
        <f t="shared" si="17"/>
        <v>1.8649342626259222</v>
      </c>
      <c r="G29" s="46">
        <f t="shared" si="17"/>
        <v>2.1793621793046527</v>
      </c>
    </row>
    <row r="30" spans="1:9" ht="15.95" customHeight="1">
      <c r="A30" s="43" t="s">
        <v>966</v>
      </c>
      <c r="B30" s="39"/>
      <c r="C30" s="165">
        <f ca="1">C28/C29</f>
        <v>27680.019830139794</v>
      </c>
      <c r="D30" s="165">
        <f t="shared" ref="D30:G30" ca="1" si="18">D28/D29</f>
        <v>16370.9914982276</v>
      </c>
      <c r="E30" s="165">
        <f t="shared" ca="1" si="18"/>
        <v>14731.990770412009</v>
      </c>
      <c r="F30" s="165">
        <f t="shared" ca="1" si="18"/>
        <v>17609.599001159222</v>
      </c>
      <c r="G30" s="396">
        <f t="shared" ca="1" si="18"/>
        <v>22137.677406025345</v>
      </c>
    </row>
    <row r="31" spans="1:9" ht="15.95" customHeight="1">
      <c r="A31" s="43" t="s">
        <v>971</v>
      </c>
      <c r="B31" s="39"/>
      <c r="C31" s="39"/>
      <c r="D31" s="39"/>
      <c r="E31" s="39"/>
      <c r="F31" s="39"/>
      <c r="G31" s="44">
        <f ca="1">G28*(1+B25)/(B23-B25)/G29</f>
        <v>287909.00807902595</v>
      </c>
    </row>
    <row r="32" spans="1:9" ht="15.95" customHeight="1">
      <c r="A32" s="43" t="s">
        <v>967</v>
      </c>
      <c r="B32" s="39"/>
      <c r="C32" s="51">
        <f ca="1">SUM(C30:G30,G31)</f>
        <v>386439.28658498992</v>
      </c>
      <c r="D32" s="51">
        <f ca="1">SUM(D30:G30)+G31</f>
        <v>358759.26675485016</v>
      </c>
      <c r="E32" s="39"/>
      <c r="F32" s="39"/>
      <c r="G32" s="57"/>
      <c r="I32" s="59">
        <f ca="1">C35/16200</f>
        <v>1.7559305853392531</v>
      </c>
    </row>
    <row r="33" spans="1:10" ht="15.95" customHeight="1">
      <c r="A33" s="43" t="s">
        <v>968</v>
      </c>
      <c r="B33" s="39"/>
      <c r="C33" s="51">
        <f ca="1">'PL&amp;BS Projection'!G55+'PL&amp;BS Projection'!G69</f>
        <v>21157.325106044926</v>
      </c>
      <c r="D33" s="51">
        <f ca="1">'PL&amp;BS Projection'!H55+'PL&amp;BS Projection'!H69</f>
        <v>19828.030442128569</v>
      </c>
      <c r="E33" s="39"/>
      <c r="F33" s="39"/>
      <c r="G33" s="57"/>
    </row>
    <row r="34" spans="1:10" ht="15.95" customHeight="1">
      <c r="A34" s="43" t="s">
        <v>969</v>
      </c>
      <c r="B34" s="39"/>
      <c r="C34" s="51">
        <f ca="1">C32-C33+'PL&amp;BS Projection'!G28+'PL&amp;BS Projection'!G29</f>
        <v>430103.125207262</v>
      </c>
      <c r="D34" s="51">
        <f ca="1">D32+D33+'PL&amp;BS Projection'!H28+'PL&amp;BS Projection'!H29</f>
        <v>413633.25337077439</v>
      </c>
      <c r="E34" s="39"/>
      <c r="F34" s="39"/>
      <c r="G34" s="57"/>
    </row>
    <row r="35" spans="1:10" ht="15.95" customHeight="1">
      <c r="A35" s="366" t="s">
        <v>970</v>
      </c>
      <c r="B35" s="62"/>
      <c r="C35" s="365">
        <f ca="1">C34/B24*1000000</f>
        <v>28446.0754824959</v>
      </c>
      <c r="D35" s="365">
        <f ca="1">D34/B24*1000000</f>
        <v>27356.794354343223</v>
      </c>
      <c r="E35" s="62"/>
      <c r="F35" s="62"/>
      <c r="G35" s="63"/>
    </row>
    <row r="36" spans="1:10" ht="15.95" customHeight="1">
      <c r="A36" s="43" t="s">
        <v>685</v>
      </c>
      <c r="B36" s="39"/>
      <c r="C36" s="51">
        <f ca="1">C15</f>
        <v>27389.76439583924</v>
      </c>
      <c r="D36" s="51">
        <f t="shared" ref="D36:G36" ca="1" si="19">D15</f>
        <v>19758.362368706323</v>
      </c>
      <c r="E36" s="51">
        <f t="shared" ca="1" si="19"/>
        <v>26490.992943133624</v>
      </c>
      <c r="F36" s="51">
        <f t="shared" ca="1" si="19"/>
        <v>35764.066601376704</v>
      </c>
      <c r="G36" s="244">
        <f t="shared" ca="1" si="19"/>
        <v>50766.991359802116</v>
      </c>
      <c r="J36" s="59">
        <f ca="1">C35/15200</f>
        <v>1.8714523343747302</v>
      </c>
    </row>
    <row r="37" spans="1:10" ht="15.95" customHeight="1">
      <c r="A37" s="43" t="s">
        <v>722</v>
      </c>
      <c r="B37" s="39"/>
      <c r="C37" s="217">
        <f>(1+B21)</f>
        <v>1.1686000000000001</v>
      </c>
      <c r="D37" s="217">
        <f>C37*(1+$B$21)</f>
        <v>1.3656259600000002</v>
      </c>
      <c r="E37" s="217">
        <f t="shared" ref="E37:G37" si="20">D37*(1+$B$21)</f>
        <v>1.5958704968560005</v>
      </c>
      <c r="F37" s="217">
        <f t="shared" si="20"/>
        <v>1.8649342626259222</v>
      </c>
      <c r="G37" s="46">
        <f t="shared" si="20"/>
        <v>2.1793621793046527</v>
      </c>
    </row>
    <row r="38" spans="1:10" ht="15.95" customHeight="1">
      <c r="A38" s="43" t="s">
        <v>723</v>
      </c>
      <c r="B38" s="39"/>
      <c r="C38" s="195">
        <f ca="1">C36/C37</f>
        <v>23438.100629675882</v>
      </c>
      <c r="D38" s="195">
        <f t="shared" ref="D38:G38" ca="1" si="21">D36/D37</f>
        <v>14468.355865691305</v>
      </c>
      <c r="E38" s="195">
        <f t="shared" ca="1" si="21"/>
        <v>16599.713444996392</v>
      </c>
      <c r="F38" s="195">
        <f t="shared" ca="1" si="21"/>
        <v>19177.119171492446</v>
      </c>
      <c r="G38" s="44">
        <f t="shared" ca="1" si="21"/>
        <v>23294.426159125065</v>
      </c>
    </row>
    <row r="39" spans="1:10" ht="15.95" customHeight="1">
      <c r="A39" s="43" t="s">
        <v>724</v>
      </c>
      <c r="B39" s="39"/>
      <c r="C39" s="39"/>
      <c r="D39" s="39"/>
      <c r="E39" s="39"/>
      <c r="F39" s="39"/>
      <c r="G39" s="44">
        <f ca="1">G36*(1+B25)/(B20-B25)/G37</f>
        <v>301039.82329265127</v>
      </c>
    </row>
    <row r="40" spans="1:10" ht="15.95" customHeight="1">
      <c r="A40" s="43" t="s">
        <v>725</v>
      </c>
      <c r="B40" s="39"/>
      <c r="C40" s="51">
        <f ca="1">SUM(C38:G38,G39)+'PL&amp;BS Projection'!G28+'PL&amp;BS Projection'!G29</f>
        <v>462838.70229194942</v>
      </c>
      <c r="D40" s="51">
        <f ca="1">SUM(D38:G38)+G39+'PL&amp;BS Projection'!H28+'PL&amp;BS Projection'!H29</f>
        <v>409625.39410775219</v>
      </c>
      <c r="E40" s="39"/>
      <c r="F40" s="39"/>
      <c r="G40" s="57"/>
    </row>
    <row r="41" spans="1:10" ht="15.95" customHeight="1">
      <c r="A41" s="366" t="s">
        <v>726</v>
      </c>
      <c r="B41" s="62"/>
      <c r="C41" s="365">
        <f ca="1">C40/B24*1000000</f>
        <v>30611.134609339839</v>
      </c>
      <c r="D41" s="365">
        <f ca="1">D40/B24*1000000</f>
        <v>27091.723350582877</v>
      </c>
      <c r="E41" s="62"/>
      <c r="F41" s="62"/>
      <c r="G41" s="63"/>
    </row>
    <row r="44" spans="1:10" ht="15.95" customHeight="1">
      <c r="B44" s="194"/>
      <c r="C44" s="271"/>
      <c r="D44" s="271"/>
      <c r="E44" s="271"/>
      <c r="F44" s="271"/>
      <c r="G44" s="271"/>
    </row>
    <row r="45" spans="1:10" ht="15.95" customHeight="1">
      <c r="B45" s="382"/>
    </row>
    <row r="46" spans="1:10" ht="15.95" customHeight="1">
      <c r="B46" s="382"/>
    </row>
    <row r="47" spans="1:10" ht="15.95" customHeight="1">
      <c r="B47" s="382"/>
    </row>
    <row r="48" spans="1:10" ht="15.95" customHeight="1">
      <c r="B48" s="382"/>
    </row>
    <row r="49" spans="2:2" ht="15.95" customHeight="1">
      <c r="B49" s="38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M100"/>
  <sheetViews>
    <sheetView workbookViewId="0">
      <pane xSplit="1" ySplit="4" topLeftCell="B78" activePane="bottomRight" state="frozen"/>
      <selection pane="topRight" activeCell="B1" sqref="B1"/>
      <selection pane="bottomLeft" activeCell="A5" sqref="A5"/>
      <selection pane="bottomRight" activeCell="H96" sqref="H96"/>
    </sheetView>
  </sheetViews>
  <sheetFormatPr defaultRowHeight="15"/>
  <cols>
    <col min="1" max="1" width="29.7109375" style="185" customWidth="1"/>
    <col min="3" max="5" width="13.140625" style="445" bestFit="1" customWidth="1"/>
    <col min="6" max="7" width="13.85546875" style="445" bestFit="1" customWidth="1"/>
    <col min="8" max="10" width="14.28515625" style="445" bestFit="1" customWidth="1"/>
    <col min="12" max="12" width="9.140625" style="185"/>
  </cols>
  <sheetData>
    <row r="1" spans="1:13" s="185" customFormat="1">
      <c r="A1" s="185">
        <f>[1]Multiple!A1</f>
        <v>0</v>
      </c>
      <c r="C1" s="445"/>
      <c r="D1" s="445"/>
      <c r="E1" s="445"/>
      <c r="F1" s="445"/>
      <c r="G1" s="445"/>
      <c r="H1" s="445"/>
      <c r="I1" s="445"/>
      <c r="J1" s="445"/>
    </row>
    <row r="2" spans="1:13" ht="18">
      <c r="A2" s="187" t="s">
        <v>113</v>
      </c>
      <c r="B2" s="179"/>
    </row>
    <row r="3" spans="1:13">
      <c r="B3" s="177"/>
    </row>
    <row r="4" spans="1:13" s="444" customFormat="1">
      <c r="A4" s="183" t="s">
        <v>88</v>
      </c>
      <c r="B4" s="183">
        <v>2002</v>
      </c>
      <c r="C4" s="183">
        <v>2005</v>
      </c>
      <c r="D4" s="183">
        <v>2006</v>
      </c>
      <c r="E4" s="183">
        <v>2007</v>
      </c>
      <c r="F4" s="183">
        <v>2008</v>
      </c>
      <c r="G4" s="183">
        <v>2009</v>
      </c>
      <c r="H4" s="183">
        <v>2010</v>
      </c>
      <c r="I4" s="183">
        <v>2011</v>
      </c>
      <c r="J4" s="183">
        <v>2012</v>
      </c>
      <c r="K4" s="183">
        <v>2013</v>
      </c>
      <c r="L4" s="183">
        <v>2014</v>
      </c>
    </row>
    <row r="5" spans="1:13" s="444" customFormat="1">
      <c r="A5" s="440" t="s">
        <v>114</v>
      </c>
      <c r="B5" s="443">
        <v>0</v>
      </c>
      <c r="C5" s="441">
        <v>52998.326114000003</v>
      </c>
      <c r="D5" s="441">
        <v>128531.861382</v>
      </c>
      <c r="E5" s="441">
        <v>128674.613818</v>
      </c>
      <c r="F5" s="442">
        <v>126741.61773</v>
      </c>
      <c r="G5" s="442">
        <v>138094.51189299999</v>
      </c>
      <c r="H5" s="442">
        <v>119261.974548</v>
      </c>
      <c r="I5" s="442">
        <v>126479.19818399999</v>
      </c>
      <c r="J5" s="442">
        <v>111971.96210400001</v>
      </c>
      <c r="K5" s="442">
        <v>94402.223230000003</v>
      </c>
      <c r="L5" s="442">
        <v>101619.719583</v>
      </c>
    </row>
    <row r="6" spans="1:13">
      <c r="A6" s="439" t="s">
        <v>115</v>
      </c>
      <c r="B6" s="180">
        <v>0</v>
      </c>
      <c r="C6" s="437">
        <v>2695.6692579999999</v>
      </c>
      <c r="D6" s="437">
        <v>52294.54522</v>
      </c>
      <c r="E6" s="437">
        <v>4423.5581490000004</v>
      </c>
      <c r="F6" s="436">
        <v>6878.3279979999998</v>
      </c>
      <c r="G6" s="436">
        <v>25326.224829999999</v>
      </c>
      <c r="H6" s="436">
        <v>7830.2630140000001</v>
      </c>
      <c r="I6" s="436">
        <v>17641.224359</v>
      </c>
      <c r="J6" s="436">
        <v>18859.082298000001</v>
      </c>
      <c r="K6" s="436">
        <v>14070.180453000001</v>
      </c>
      <c r="L6" s="436">
        <v>21455.548750000002</v>
      </c>
      <c r="M6" s="444"/>
    </row>
    <row r="7" spans="1:13">
      <c r="A7" s="439" t="s">
        <v>116</v>
      </c>
      <c r="B7" s="180">
        <v>0</v>
      </c>
      <c r="C7" s="437">
        <v>2695.6692579999999</v>
      </c>
      <c r="D7" s="437">
        <v>52294.54522</v>
      </c>
      <c r="E7" s="437">
        <v>4423.5581490000004</v>
      </c>
      <c r="F7" s="436">
        <v>6878.3279979999998</v>
      </c>
      <c r="G7" s="436">
        <v>10677.090582999999</v>
      </c>
      <c r="H7" s="436">
        <v>7830.2630140000001</v>
      </c>
      <c r="I7" s="436">
        <v>6641.2243589999998</v>
      </c>
      <c r="J7" s="436">
        <v>18859.082298000001</v>
      </c>
      <c r="K7" s="436">
        <v>14070.180453000001</v>
      </c>
      <c r="L7" s="436">
        <v>10455.54875</v>
      </c>
      <c r="M7" s="444"/>
    </row>
    <row r="8" spans="1:13">
      <c r="A8" s="439" t="s">
        <v>117</v>
      </c>
      <c r="B8" s="180">
        <v>0</v>
      </c>
      <c r="C8" s="437">
        <v>0</v>
      </c>
      <c r="D8" s="437">
        <v>0</v>
      </c>
      <c r="E8" s="437">
        <v>0</v>
      </c>
      <c r="F8" s="436">
        <v>0</v>
      </c>
      <c r="G8" s="436">
        <v>14649.134247</v>
      </c>
      <c r="H8" s="436">
        <v>0</v>
      </c>
      <c r="I8" s="436">
        <v>11000</v>
      </c>
      <c r="J8" s="436">
        <v>0</v>
      </c>
      <c r="K8" s="436">
        <v>0</v>
      </c>
      <c r="L8" s="436">
        <v>11000</v>
      </c>
      <c r="M8" s="444"/>
    </row>
    <row r="9" spans="1:13">
      <c r="A9" s="439" t="s">
        <v>118</v>
      </c>
      <c r="B9" s="180">
        <v>0</v>
      </c>
      <c r="C9" s="437">
        <v>28611.254636999998</v>
      </c>
      <c r="D9" s="437">
        <v>54326.211222999998</v>
      </c>
      <c r="E9" s="437">
        <v>95000.866510000007</v>
      </c>
      <c r="F9" s="436">
        <v>59968.844679000002</v>
      </c>
      <c r="G9" s="436">
        <v>44939.749156999998</v>
      </c>
      <c r="H9" s="436">
        <v>33734.559433000002</v>
      </c>
      <c r="I9" s="436">
        <v>26298.748533999998</v>
      </c>
      <c r="J9" s="436">
        <v>27503.288784</v>
      </c>
      <c r="K9" s="436">
        <v>19130.770533999999</v>
      </c>
      <c r="L9" s="436">
        <v>19322.003341</v>
      </c>
      <c r="M9" s="444"/>
    </row>
    <row r="10" spans="1:13">
      <c r="A10" s="439" t="s">
        <v>119</v>
      </c>
      <c r="B10" s="180">
        <v>0</v>
      </c>
      <c r="C10" s="437">
        <v>28611.254636999998</v>
      </c>
      <c r="D10" s="437">
        <v>54326.211222999998</v>
      </c>
      <c r="E10" s="437">
        <v>99240.866510000007</v>
      </c>
      <c r="F10" s="436">
        <v>73312.811749999993</v>
      </c>
      <c r="G10" s="436">
        <v>45292.874156999998</v>
      </c>
      <c r="H10" s="436">
        <v>33990.059433000002</v>
      </c>
      <c r="I10" s="436">
        <v>31494.575156999999</v>
      </c>
      <c r="J10" s="436">
        <v>31122.575156999999</v>
      </c>
      <c r="K10" s="436">
        <v>22433.147156999999</v>
      </c>
      <c r="L10" s="436">
        <v>22833.939964000001</v>
      </c>
      <c r="M10" s="444"/>
    </row>
    <row r="11" spans="1:13">
      <c r="A11" s="439" t="s">
        <v>120</v>
      </c>
      <c r="B11" s="180">
        <v>0</v>
      </c>
      <c r="C11" s="437">
        <v>0</v>
      </c>
      <c r="D11" s="437">
        <v>0</v>
      </c>
      <c r="E11" s="437">
        <v>-4240</v>
      </c>
      <c r="F11" s="436">
        <v>-13343.967070999999</v>
      </c>
      <c r="G11" s="436">
        <v>-353.125</v>
      </c>
      <c r="H11" s="436">
        <v>-255.5</v>
      </c>
      <c r="I11" s="436">
        <v>-5195.8266229999999</v>
      </c>
      <c r="J11" s="436">
        <v>-3619.2863729999999</v>
      </c>
      <c r="K11" s="436">
        <v>-3302.3766230000001</v>
      </c>
      <c r="L11" s="436">
        <v>-3511.9366230000001</v>
      </c>
      <c r="M11" s="444"/>
    </row>
    <row r="12" spans="1:13">
      <c r="A12" s="439" t="s">
        <v>121</v>
      </c>
      <c r="B12" s="180">
        <v>0</v>
      </c>
      <c r="C12" s="437">
        <v>10867.086423000001</v>
      </c>
      <c r="D12" s="437">
        <v>16765.931264999999</v>
      </c>
      <c r="E12" s="437">
        <v>21729.315476</v>
      </c>
      <c r="F12" s="436">
        <v>27155.795999999998</v>
      </c>
      <c r="G12" s="436">
        <v>32815.562960000003</v>
      </c>
      <c r="H12" s="436">
        <v>29743.365677000002</v>
      </c>
      <c r="I12" s="436">
        <v>36962.891757999998</v>
      </c>
      <c r="J12" s="436">
        <v>41603.863453999998</v>
      </c>
      <c r="K12" s="436">
        <v>47635.269694000002</v>
      </c>
      <c r="L12" s="436">
        <v>52888.595204999998</v>
      </c>
      <c r="M12" s="444"/>
    </row>
    <row r="13" spans="1:13">
      <c r="A13" s="439" t="s">
        <v>122</v>
      </c>
      <c r="B13" s="180">
        <v>0</v>
      </c>
      <c r="C13" s="437">
        <v>5296.120578</v>
      </c>
      <c r="D13" s="437">
        <v>8401.3217690000001</v>
      </c>
      <c r="E13" s="437">
        <v>6971.1559980000002</v>
      </c>
      <c r="F13" s="436">
        <v>10477.452374</v>
      </c>
      <c r="G13" s="436">
        <v>11846.564186</v>
      </c>
      <c r="H13" s="436">
        <v>17647.565831</v>
      </c>
      <c r="I13" s="436">
        <v>18176.178513999999</v>
      </c>
      <c r="J13" s="436">
        <v>20158.676141</v>
      </c>
      <c r="K13" s="436">
        <v>24635.600811</v>
      </c>
      <c r="L13" s="436">
        <v>25653.516231000001</v>
      </c>
      <c r="M13" s="444"/>
    </row>
    <row r="14" spans="1:13">
      <c r="A14" s="439" t="s">
        <v>123</v>
      </c>
      <c r="B14" s="180">
        <v>0</v>
      </c>
      <c r="C14" s="437">
        <v>5191.2228750000004</v>
      </c>
      <c r="D14" s="437">
        <v>7183.389776</v>
      </c>
      <c r="E14" s="437">
        <v>5370.1947049999999</v>
      </c>
      <c r="F14" s="436">
        <v>4923.2170050000004</v>
      </c>
      <c r="G14" s="436">
        <v>7568.8804229999996</v>
      </c>
      <c r="H14" s="436">
        <v>9190.7982539999994</v>
      </c>
      <c r="I14" s="436">
        <v>11308.339099000001</v>
      </c>
      <c r="J14" s="436">
        <v>12487.348884999999</v>
      </c>
      <c r="K14" s="436">
        <v>15326.281085000001</v>
      </c>
      <c r="L14" s="436">
        <v>19201.984131000001</v>
      </c>
      <c r="M14" s="444"/>
    </row>
    <row r="15" spans="1:13">
      <c r="A15" s="439" t="s">
        <v>124</v>
      </c>
      <c r="B15" s="180">
        <v>0</v>
      </c>
      <c r="C15" s="437">
        <v>0</v>
      </c>
      <c r="D15" s="437">
        <v>0</v>
      </c>
      <c r="E15" s="437">
        <v>0</v>
      </c>
      <c r="F15" s="436">
        <v>0</v>
      </c>
      <c r="G15" s="436">
        <v>0</v>
      </c>
      <c r="H15" s="436">
        <v>0</v>
      </c>
      <c r="I15" s="436">
        <v>0</v>
      </c>
      <c r="J15" s="436">
        <v>0</v>
      </c>
      <c r="K15" s="436">
        <v>0</v>
      </c>
      <c r="L15" s="436">
        <v>0</v>
      </c>
      <c r="M15" s="444"/>
    </row>
    <row r="16" spans="1:13">
      <c r="A16" s="439" t="s">
        <v>125</v>
      </c>
      <c r="B16" s="180">
        <v>0</v>
      </c>
      <c r="C16" s="437">
        <v>0</v>
      </c>
      <c r="D16" s="437">
        <v>0</v>
      </c>
      <c r="E16" s="437">
        <v>0</v>
      </c>
      <c r="F16" s="436">
        <v>0</v>
      </c>
      <c r="G16" s="436">
        <v>0</v>
      </c>
      <c r="H16" s="436">
        <v>0</v>
      </c>
      <c r="I16" s="436">
        <v>0</v>
      </c>
      <c r="J16" s="436">
        <v>0</v>
      </c>
      <c r="K16" s="436">
        <v>0</v>
      </c>
      <c r="L16" s="436">
        <v>0</v>
      </c>
      <c r="M16" s="444"/>
    </row>
    <row r="17" spans="1:13">
      <c r="A17" s="439" t="s">
        <v>126</v>
      </c>
      <c r="B17" s="180">
        <v>0</v>
      </c>
      <c r="C17" s="437">
        <v>1578.9035429999999</v>
      </c>
      <c r="D17" s="437">
        <v>2833.4322029999998</v>
      </c>
      <c r="E17" s="437">
        <v>11043.229165999999</v>
      </c>
      <c r="F17" s="436">
        <v>13567.828029</v>
      </c>
      <c r="G17" s="436">
        <v>15822.071534000001</v>
      </c>
      <c r="H17" s="436">
        <v>6363.364431</v>
      </c>
      <c r="I17" s="436">
        <v>14157.270639</v>
      </c>
      <c r="J17" s="436">
        <v>13902.243442999999</v>
      </c>
      <c r="K17" s="436">
        <v>12772.59339</v>
      </c>
      <c r="L17" s="436">
        <v>13344.88018</v>
      </c>
      <c r="M17" s="444"/>
    </row>
    <row r="18" spans="1:13">
      <c r="A18" s="439" t="s">
        <v>127</v>
      </c>
      <c r="B18" s="180">
        <v>0</v>
      </c>
      <c r="C18" s="437">
        <v>-1199.1605730000001</v>
      </c>
      <c r="D18" s="437">
        <v>-1652.212483</v>
      </c>
      <c r="E18" s="437">
        <v>-1655.2643929999999</v>
      </c>
      <c r="F18" s="436">
        <v>-1812.7014079999999</v>
      </c>
      <c r="G18" s="436">
        <v>-2421.9531830000001</v>
      </c>
      <c r="H18" s="436">
        <v>-3458.3628389999999</v>
      </c>
      <c r="I18" s="436">
        <v>-6678.8964939999996</v>
      </c>
      <c r="J18" s="436">
        <v>-4944.4050150000003</v>
      </c>
      <c r="K18" s="436">
        <v>-5099.2055920000003</v>
      </c>
      <c r="L18" s="436">
        <v>-5311.7853370000003</v>
      </c>
      <c r="M18" s="444"/>
    </row>
    <row r="19" spans="1:13">
      <c r="A19" s="439" t="s">
        <v>128</v>
      </c>
      <c r="B19" s="180">
        <v>0</v>
      </c>
      <c r="C19" s="437">
        <v>2277.6251419999999</v>
      </c>
      <c r="D19" s="437">
        <v>2269.6702230000001</v>
      </c>
      <c r="E19" s="437">
        <v>1795.8010360000001</v>
      </c>
      <c r="F19" s="436">
        <v>15085.247455000001</v>
      </c>
      <c r="G19" s="436">
        <v>26247.090038999999</v>
      </c>
      <c r="H19" s="436">
        <v>40645.311867999997</v>
      </c>
      <c r="I19" s="436">
        <v>34582.212185999997</v>
      </c>
      <c r="J19" s="436">
        <v>14167.202520000001</v>
      </c>
      <c r="K19" s="436">
        <v>3886.809745</v>
      </c>
      <c r="L19" s="436">
        <v>688.00270999999998</v>
      </c>
      <c r="M19" s="444"/>
    </row>
    <row r="20" spans="1:13">
      <c r="A20" s="439" t="s">
        <v>129</v>
      </c>
      <c r="B20" s="180">
        <v>0</v>
      </c>
      <c r="C20" s="437">
        <v>2570.5651419999999</v>
      </c>
      <c r="D20" s="437">
        <v>2492.398788</v>
      </c>
      <c r="E20" s="437">
        <v>2018.529601</v>
      </c>
      <c r="F20" s="436">
        <v>15307.97602</v>
      </c>
      <c r="G20" s="436">
        <v>26667.920148000001</v>
      </c>
      <c r="H20" s="436">
        <v>41066.141976999999</v>
      </c>
      <c r="I20" s="436">
        <v>35003.042294999999</v>
      </c>
      <c r="J20" s="436">
        <v>15332.816778</v>
      </c>
      <c r="K20" s="436">
        <v>5052.4240030000001</v>
      </c>
      <c r="L20" s="436">
        <v>1853.616968</v>
      </c>
      <c r="M20" s="444"/>
    </row>
    <row r="21" spans="1:13">
      <c r="A21" s="439" t="s">
        <v>130</v>
      </c>
      <c r="B21" s="180">
        <v>0</v>
      </c>
      <c r="C21" s="437">
        <v>-292.94</v>
      </c>
      <c r="D21" s="437">
        <v>-222.728565</v>
      </c>
      <c r="E21" s="437">
        <v>-222.728565</v>
      </c>
      <c r="F21" s="436">
        <v>-222.728565</v>
      </c>
      <c r="G21" s="436">
        <v>-420.83010899999999</v>
      </c>
      <c r="H21" s="436">
        <v>-420.83010899999999</v>
      </c>
      <c r="I21" s="436">
        <v>-420.83010899999999</v>
      </c>
      <c r="J21" s="436">
        <v>-1165.6142580000001</v>
      </c>
      <c r="K21" s="436">
        <v>-1165.6142580000001</v>
      </c>
      <c r="L21" s="436">
        <v>-1165.6142580000001</v>
      </c>
      <c r="M21" s="444"/>
    </row>
    <row r="22" spans="1:13">
      <c r="A22" s="439" t="s">
        <v>131</v>
      </c>
      <c r="B22" s="180">
        <v>0</v>
      </c>
      <c r="C22" s="437">
        <v>8546.690654</v>
      </c>
      <c r="D22" s="437">
        <v>2875.503451</v>
      </c>
      <c r="E22" s="437">
        <v>5725.072647</v>
      </c>
      <c r="F22" s="436">
        <v>17653.401598</v>
      </c>
      <c r="G22" s="436">
        <v>8765.8849069999997</v>
      </c>
      <c r="H22" s="436">
        <v>7308.4745560000001</v>
      </c>
      <c r="I22" s="436">
        <v>10994.121347</v>
      </c>
      <c r="J22" s="436">
        <v>9838.5250479999995</v>
      </c>
      <c r="K22" s="436">
        <v>9679.1928040000003</v>
      </c>
      <c r="L22" s="436">
        <v>7265.5695770000002</v>
      </c>
      <c r="M22" s="444"/>
    </row>
    <row r="23" spans="1:13">
      <c r="A23" s="439" t="s">
        <v>132</v>
      </c>
      <c r="B23" s="180">
        <v>0</v>
      </c>
      <c r="C23" s="437">
        <v>0</v>
      </c>
      <c r="D23" s="437">
        <v>0</v>
      </c>
      <c r="E23" s="437">
        <v>0</v>
      </c>
      <c r="F23" s="436">
        <v>0</v>
      </c>
      <c r="G23" s="436">
        <v>229.57658900000001</v>
      </c>
      <c r="H23" s="436">
        <v>0</v>
      </c>
      <c r="I23" s="436">
        <v>0</v>
      </c>
      <c r="J23" s="436">
        <v>0</v>
      </c>
      <c r="K23" s="436">
        <v>291.910865</v>
      </c>
      <c r="L23" s="436">
        <v>551.83460500000001</v>
      </c>
      <c r="M23" s="444"/>
    </row>
    <row r="24" spans="1:13">
      <c r="A24" s="439" t="s">
        <v>133</v>
      </c>
      <c r="B24" s="180">
        <v>0</v>
      </c>
      <c r="C24" s="437">
        <v>0</v>
      </c>
      <c r="D24" s="437">
        <v>0</v>
      </c>
      <c r="E24" s="437">
        <v>32.761276000000002</v>
      </c>
      <c r="F24" s="436">
        <v>105.532431</v>
      </c>
      <c r="G24" s="436">
        <v>0.44214100000000001</v>
      </c>
      <c r="H24" s="436">
        <v>31.409879</v>
      </c>
      <c r="I24" s="436">
        <v>105.37392</v>
      </c>
      <c r="J24" s="436">
        <v>0</v>
      </c>
      <c r="K24" s="436">
        <v>0</v>
      </c>
      <c r="L24" s="436">
        <v>0</v>
      </c>
      <c r="M24" s="444"/>
    </row>
    <row r="25" spans="1:13">
      <c r="A25" s="439" t="s">
        <v>134</v>
      </c>
      <c r="B25" s="180">
        <v>0</v>
      </c>
      <c r="C25" s="437">
        <v>1121.865687</v>
      </c>
      <c r="D25" s="437">
        <v>926.49356999999998</v>
      </c>
      <c r="E25" s="437">
        <v>0</v>
      </c>
      <c r="F25" s="436">
        <v>0</v>
      </c>
      <c r="G25" s="436">
        <v>0</v>
      </c>
      <c r="H25" s="436">
        <v>0</v>
      </c>
      <c r="I25" s="436">
        <v>0</v>
      </c>
      <c r="J25" s="436">
        <v>326.69356099999999</v>
      </c>
      <c r="K25" s="436">
        <v>391.24270200000001</v>
      </c>
      <c r="L25" s="436">
        <v>1642.977856</v>
      </c>
      <c r="M25" s="444"/>
    </row>
    <row r="26" spans="1:13">
      <c r="A26" s="439" t="s">
        <v>131</v>
      </c>
      <c r="B26" s="180">
        <v>0</v>
      </c>
      <c r="C26" s="437">
        <v>7424.8249669999996</v>
      </c>
      <c r="D26" s="437">
        <v>1949.009881</v>
      </c>
      <c r="E26" s="437">
        <v>5692.3113709999998</v>
      </c>
      <c r="F26" s="436">
        <v>17547.869167000001</v>
      </c>
      <c r="G26" s="436">
        <v>8535.8661769999999</v>
      </c>
      <c r="H26" s="436">
        <v>7277.0646770000003</v>
      </c>
      <c r="I26" s="436">
        <v>10888.747427</v>
      </c>
      <c r="J26" s="436">
        <v>9511.8314869999995</v>
      </c>
      <c r="K26" s="436">
        <v>8996.0392370000009</v>
      </c>
      <c r="L26" s="436">
        <v>5070.7571159999998</v>
      </c>
      <c r="M26" s="444"/>
    </row>
    <row r="27" spans="1:13" s="444" customFormat="1">
      <c r="A27" s="440" t="s">
        <v>135</v>
      </c>
      <c r="B27" s="443">
        <v>0</v>
      </c>
      <c r="C27" s="441">
        <v>50519.572606000002</v>
      </c>
      <c r="D27" s="441">
        <v>63849.404439999998</v>
      </c>
      <c r="E27" s="441">
        <v>107365.63011699999</v>
      </c>
      <c r="F27" s="442">
        <v>171803.98948799999</v>
      </c>
      <c r="G27" s="442">
        <v>210739.70803499999</v>
      </c>
      <c r="H27" s="442">
        <v>257810.219423</v>
      </c>
      <c r="I27" s="442">
        <v>255164.869599</v>
      </c>
      <c r="J27" s="442">
        <v>254220.437837</v>
      </c>
      <c r="K27" s="442">
        <v>246408.15833199999</v>
      </c>
      <c r="L27" s="442">
        <v>230895.95780800001</v>
      </c>
    </row>
    <row r="28" spans="1:13">
      <c r="A28" s="439" t="s">
        <v>136</v>
      </c>
      <c r="B28" s="180">
        <v>0</v>
      </c>
      <c r="C28" s="437">
        <v>0</v>
      </c>
      <c r="D28" s="437">
        <v>0</v>
      </c>
      <c r="E28" s="437">
        <v>0</v>
      </c>
      <c r="F28" s="436">
        <v>0</v>
      </c>
      <c r="G28" s="436">
        <v>0</v>
      </c>
      <c r="H28" s="436">
        <v>0</v>
      </c>
      <c r="I28" s="436">
        <v>0</v>
      </c>
      <c r="J28" s="436">
        <v>0</v>
      </c>
      <c r="K28" s="436">
        <v>0</v>
      </c>
      <c r="L28" s="436">
        <v>0</v>
      </c>
      <c r="M28" s="444"/>
    </row>
    <row r="29" spans="1:13">
      <c r="A29" s="439" t="s">
        <v>137</v>
      </c>
      <c r="B29" s="180">
        <v>0</v>
      </c>
      <c r="C29" s="437">
        <v>0</v>
      </c>
      <c r="D29" s="437">
        <v>0</v>
      </c>
      <c r="E29" s="437">
        <v>0</v>
      </c>
      <c r="F29" s="436">
        <v>0</v>
      </c>
      <c r="G29" s="436">
        <v>0</v>
      </c>
      <c r="H29" s="436">
        <v>0</v>
      </c>
      <c r="I29" s="436">
        <v>0</v>
      </c>
      <c r="J29" s="436">
        <v>0</v>
      </c>
      <c r="K29" s="436">
        <v>0</v>
      </c>
      <c r="L29" s="436">
        <v>0</v>
      </c>
      <c r="M29" s="444"/>
    </row>
    <row r="30" spans="1:13">
      <c r="A30" s="439" t="s">
        <v>138</v>
      </c>
      <c r="B30" s="180">
        <v>0</v>
      </c>
      <c r="C30" s="437">
        <v>0</v>
      </c>
      <c r="D30" s="437">
        <v>0</v>
      </c>
      <c r="E30" s="437">
        <v>0</v>
      </c>
      <c r="F30" s="436">
        <v>0</v>
      </c>
      <c r="G30" s="436">
        <v>0</v>
      </c>
      <c r="H30" s="436">
        <v>0</v>
      </c>
      <c r="I30" s="436">
        <v>0</v>
      </c>
      <c r="J30" s="436">
        <v>0</v>
      </c>
      <c r="K30" s="436">
        <v>0</v>
      </c>
      <c r="L30" s="436">
        <v>0</v>
      </c>
      <c r="M30" s="444"/>
    </row>
    <row r="31" spans="1:13">
      <c r="A31" s="439" t="s">
        <v>139</v>
      </c>
      <c r="B31" s="180">
        <v>0</v>
      </c>
      <c r="C31" s="437">
        <v>0</v>
      </c>
      <c r="D31" s="437">
        <v>0</v>
      </c>
      <c r="E31" s="437">
        <v>0</v>
      </c>
      <c r="F31" s="436">
        <v>0</v>
      </c>
      <c r="G31" s="436">
        <v>0</v>
      </c>
      <c r="H31" s="436">
        <v>0</v>
      </c>
      <c r="I31" s="436">
        <v>0</v>
      </c>
      <c r="J31" s="436">
        <v>0</v>
      </c>
      <c r="K31" s="436">
        <v>0</v>
      </c>
      <c r="L31" s="436">
        <v>0</v>
      </c>
      <c r="M31" s="444"/>
    </row>
    <row r="32" spans="1:13">
      <c r="A32" s="439" t="s">
        <v>140</v>
      </c>
      <c r="B32" s="180">
        <v>0</v>
      </c>
      <c r="C32" s="437">
        <v>0</v>
      </c>
      <c r="D32" s="437">
        <v>0</v>
      </c>
      <c r="E32" s="437">
        <v>0</v>
      </c>
      <c r="F32" s="436">
        <v>0</v>
      </c>
      <c r="G32" s="436">
        <v>0</v>
      </c>
      <c r="H32" s="436">
        <v>0</v>
      </c>
      <c r="I32" s="436">
        <v>0</v>
      </c>
      <c r="J32" s="436">
        <v>0</v>
      </c>
      <c r="K32" s="436">
        <v>0</v>
      </c>
      <c r="L32" s="436">
        <v>0</v>
      </c>
      <c r="M32" s="444"/>
    </row>
    <row r="33" spans="1:13">
      <c r="A33" s="439" t="s">
        <v>141</v>
      </c>
      <c r="B33" s="180">
        <v>0</v>
      </c>
      <c r="C33" s="437">
        <v>26382.999988</v>
      </c>
      <c r="D33" s="437">
        <v>33551.946622000003</v>
      </c>
      <c r="E33" s="437">
        <v>59855.132767000003</v>
      </c>
      <c r="F33" s="436">
        <v>115823.55273</v>
      </c>
      <c r="G33" s="436">
        <v>153289.60266400001</v>
      </c>
      <c r="H33" s="436">
        <v>181247.65074099999</v>
      </c>
      <c r="I33" s="436">
        <v>185965.64020200001</v>
      </c>
      <c r="J33" s="436">
        <v>179213.60208899999</v>
      </c>
      <c r="K33" s="436">
        <v>171359.773495</v>
      </c>
      <c r="L33" s="436">
        <v>160890.21846999999</v>
      </c>
      <c r="M33" s="444"/>
    </row>
    <row r="34" spans="1:13">
      <c r="A34" s="439" t="s">
        <v>142</v>
      </c>
      <c r="B34" s="180">
        <v>0</v>
      </c>
      <c r="C34" s="437">
        <v>6965.2304889999996</v>
      </c>
      <c r="D34" s="437">
        <v>11537.915617000001</v>
      </c>
      <c r="E34" s="437">
        <v>11493.627640999999</v>
      </c>
      <c r="F34" s="436">
        <v>12670.243904999999</v>
      </c>
      <c r="G34" s="436">
        <v>13833.694412999999</v>
      </c>
      <c r="H34" s="436">
        <v>16109.282552000001</v>
      </c>
      <c r="I34" s="436">
        <v>43613.854566000002</v>
      </c>
      <c r="J34" s="436">
        <v>43643.296270999999</v>
      </c>
      <c r="K34" s="436">
        <v>38613.949869999997</v>
      </c>
      <c r="L34" s="436">
        <v>34360.788718999996</v>
      </c>
      <c r="M34" s="444"/>
    </row>
    <row r="35" spans="1:13">
      <c r="A35" s="439" t="s">
        <v>143</v>
      </c>
      <c r="B35" s="180">
        <v>0</v>
      </c>
      <c r="C35" s="437">
        <v>28569.089419</v>
      </c>
      <c r="D35" s="437">
        <v>34184.143278000003</v>
      </c>
      <c r="E35" s="437">
        <v>35789.860554999999</v>
      </c>
      <c r="F35" s="436">
        <v>38998.766889999999</v>
      </c>
      <c r="G35" s="436">
        <v>41966.271105</v>
      </c>
      <c r="H35" s="436">
        <v>47184.164519999998</v>
      </c>
      <c r="I35" s="436">
        <v>79116.171465000007</v>
      </c>
      <c r="J35" s="436">
        <v>85610.372325000004</v>
      </c>
      <c r="K35" s="436">
        <v>83962.125773000007</v>
      </c>
      <c r="L35" s="436">
        <v>82935.032712999993</v>
      </c>
      <c r="M35" s="444"/>
    </row>
    <row r="36" spans="1:13">
      <c r="A36" s="439" t="s">
        <v>144</v>
      </c>
      <c r="B36" s="180">
        <v>0</v>
      </c>
      <c r="C36" s="437">
        <v>-21603.858929999999</v>
      </c>
      <c r="D36" s="437">
        <v>-22646.227661000001</v>
      </c>
      <c r="E36" s="437">
        <v>-24296.232914</v>
      </c>
      <c r="F36" s="436">
        <v>-26328.522985</v>
      </c>
      <c r="G36" s="436">
        <v>-28132.576691999999</v>
      </c>
      <c r="H36" s="436">
        <v>-31074.881968000002</v>
      </c>
      <c r="I36" s="436">
        <v>-35502.316898999998</v>
      </c>
      <c r="J36" s="436">
        <v>-41967.076053999997</v>
      </c>
      <c r="K36" s="436">
        <v>-45348.175903000003</v>
      </c>
      <c r="L36" s="436">
        <v>-48574.243993999997</v>
      </c>
      <c r="M36" s="444"/>
    </row>
    <row r="37" spans="1:13">
      <c r="A37" s="439" t="s">
        <v>145</v>
      </c>
      <c r="B37" s="180">
        <v>0</v>
      </c>
      <c r="C37" s="437">
        <v>0</v>
      </c>
      <c r="D37" s="437">
        <v>0</v>
      </c>
      <c r="E37" s="437">
        <v>0</v>
      </c>
      <c r="F37" s="436">
        <v>0</v>
      </c>
      <c r="G37" s="436">
        <v>0</v>
      </c>
      <c r="H37" s="436">
        <v>0</v>
      </c>
      <c r="I37" s="436">
        <v>0</v>
      </c>
      <c r="J37" s="436">
        <v>0</v>
      </c>
      <c r="K37" s="436">
        <v>0</v>
      </c>
      <c r="L37" s="436">
        <v>0</v>
      </c>
      <c r="M37" s="444"/>
    </row>
    <row r="38" spans="1:13">
      <c r="A38" s="439" t="s">
        <v>146</v>
      </c>
      <c r="B38" s="180">
        <v>0</v>
      </c>
      <c r="C38" s="437">
        <v>0</v>
      </c>
      <c r="D38" s="437">
        <v>0</v>
      </c>
      <c r="E38" s="437">
        <v>0</v>
      </c>
      <c r="F38" s="436">
        <v>0</v>
      </c>
      <c r="G38" s="436">
        <v>0</v>
      </c>
      <c r="H38" s="436">
        <v>0</v>
      </c>
      <c r="I38" s="436">
        <v>0</v>
      </c>
      <c r="J38" s="436">
        <v>0</v>
      </c>
      <c r="K38" s="436">
        <v>0</v>
      </c>
      <c r="L38" s="436">
        <v>0</v>
      </c>
      <c r="M38" s="444"/>
    </row>
    <row r="39" spans="1:13">
      <c r="A39" s="439" t="s">
        <v>147</v>
      </c>
      <c r="B39" s="180">
        <v>0</v>
      </c>
      <c r="C39" s="437">
        <v>0</v>
      </c>
      <c r="D39" s="437">
        <v>0</v>
      </c>
      <c r="E39" s="437">
        <v>0</v>
      </c>
      <c r="F39" s="436">
        <v>0</v>
      </c>
      <c r="G39" s="436">
        <v>0</v>
      </c>
      <c r="H39" s="436">
        <v>0</v>
      </c>
      <c r="I39" s="436">
        <v>0</v>
      </c>
      <c r="J39" s="436">
        <v>0</v>
      </c>
      <c r="K39" s="436">
        <v>0</v>
      </c>
      <c r="L39" s="436">
        <v>0</v>
      </c>
      <c r="M39" s="444"/>
    </row>
    <row r="40" spans="1:13">
      <c r="A40" s="439" t="s">
        <v>148</v>
      </c>
      <c r="B40" s="180">
        <v>0</v>
      </c>
      <c r="C40" s="437">
        <v>1443.751287</v>
      </c>
      <c r="D40" s="437">
        <v>16242.365264</v>
      </c>
      <c r="E40" s="437">
        <v>15644.429264</v>
      </c>
      <c r="F40" s="436">
        <v>13900.393049</v>
      </c>
      <c r="G40" s="436">
        <v>13349.245048999999</v>
      </c>
      <c r="H40" s="436">
        <v>12798.097049</v>
      </c>
      <c r="I40" s="436">
        <v>101447.374324</v>
      </c>
      <c r="J40" s="436">
        <v>93600.767705000006</v>
      </c>
      <c r="K40" s="436">
        <v>94850.188613999999</v>
      </c>
      <c r="L40" s="436">
        <v>111233.93563000001</v>
      </c>
      <c r="M40" s="444"/>
    </row>
    <row r="41" spans="1:13">
      <c r="A41" s="439" t="s">
        <v>149</v>
      </c>
      <c r="B41" s="180">
        <v>0</v>
      </c>
      <c r="C41" s="437">
        <v>3674.3325650000002</v>
      </c>
      <c r="D41" s="437">
        <v>18622.429542000002</v>
      </c>
      <c r="E41" s="437">
        <v>18622.429542000002</v>
      </c>
      <c r="F41" s="436">
        <v>17452.939542</v>
      </c>
      <c r="G41" s="436">
        <v>17452.939542</v>
      </c>
      <c r="H41" s="436">
        <v>17452.939542</v>
      </c>
      <c r="I41" s="436">
        <v>109627.38007299999</v>
      </c>
      <c r="J41" s="436">
        <v>111375.242073</v>
      </c>
      <c r="K41" s="436">
        <v>118358.892073</v>
      </c>
      <c r="L41" s="436">
        <v>141416.21446399999</v>
      </c>
      <c r="M41" s="444"/>
    </row>
    <row r="42" spans="1:13">
      <c r="A42" s="439" t="s">
        <v>150</v>
      </c>
      <c r="B42" s="180">
        <v>0</v>
      </c>
      <c r="C42" s="437">
        <v>-2230.5812780000001</v>
      </c>
      <c r="D42" s="437">
        <v>-2380.0642779999998</v>
      </c>
      <c r="E42" s="437">
        <v>-2978.000278</v>
      </c>
      <c r="F42" s="436">
        <v>-3552.5464929999998</v>
      </c>
      <c r="G42" s="436">
        <v>-4103.694493</v>
      </c>
      <c r="H42" s="436">
        <v>-4654.8424930000001</v>
      </c>
      <c r="I42" s="436">
        <v>-8180.0057489999999</v>
      </c>
      <c r="J42" s="436">
        <v>-17774.474367999999</v>
      </c>
      <c r="K42" s="436">
        <v>-23508.703459</v>
      </c>
      <c r="L42" s="436">
        <v>-30182.278834000001</v>
      </c>
      <c r="M42" s="444"/>
    </row>
    <row r="43" spans="1:13">
      <c r="A43" s="439" t="s">
        <v>151</v>
      </c>
      <c r="B43" s="180">
        <v>0</v>
      </c>
      <c r="C43" s="437">
        <v>17974.018211999999</v>
      </c>
      <c r="D43" s="437">
        <v>5771.6657409999998</v>
      </c>
      <c r="E43" s="437">
        <v>32717.075862000002</v>
      </c>
      <c r="F43" s="436">
        <v>89252.915775999994</v>
      </c>
      <c r="G43" s="436">
        <v>126106.663202</v>
      </c>
      <c r="H43" s="436">
        <v>152340.27114</v>
      </c>
      <c r="I43" s="436">
        <v>40904.411311999997</v>
      </c>
      <c r="J43" s="436">
        <v>41969.538113000002</v>
      </c>
      <c r="K43" s="436">
        <v>37895.635010999998</v>
      </c>
      <c r="L43" s="436">
        <v>15295.494121</v>
      </c>
      <c r="M43" s="444"/>
    </row>
    <row r="44" spans="1:13">
      <c r="A44" s="439" t="s">
        <v>152</v>
      </c>
      <c r="B44" s="180">
        <v>0</v>
      </c>
      <c r="C44" s="437">
        <v>0</v>
      </c>
      <c r="D44" s="437">
        <v>0</v>
      </c>
      <c r="E44" s="437">
        <v>0</v>
      </c>
      <c r="F44" s="436">
        <v>0</v>
      </c>
      <c r="G44" s="436">
        <v>0</v>
      </c>
      <c r="H44" s="436">
        <v>0</v>
      </c>
      <c r="I44" s="436">
        <v>0</v>
      </c>
      <c r="J44" s="436">
        <v>0</v>
      </c>
      <c r="K44" s="436">
        <v>0</v>
      </c>
      <c r="L44" s="436">
        <v>0</v>
      </c>
      <c r="M44" s="444"/>
    </row>
    <row r="45" spans="1:13">
      <c r="A45" s="439" t="s">
        <v>153</v>
      </c>
      <c r="B45" s="180">
        <v>0</v>
      </c>
      <c r="C45" s="437">
        <v>0</v>
      </c>
      <c r="D45" s="437">
        <v>0</v>
      </c>
      <c r="E45" s="437">
        <v>0</v>
      </c>
      <c r="F45" s="436">
        <v>0</v>
      </c>
      <c r="G45" s="436">
        <v>0</v>
      </c>
      <c r="H45" s="436">
        <v>0</v>
      </c>
      <c r="I45" s="436">
        <v>0</v>
      </c>
      <c r="J45" s="436">
        <v>0</v>
      </c>
      <c r="K45" s="436">
        <v>0</v>
      </c>
      <c r="L45" s="436">
        <v>0</v>
      </c>
      <c r="M45" s="444"/>
    </row>
    <row r="46" spans="1:13">
      <c r="A46" s="439" t="s">
        <v>154</v>
      </c>
      <c r="B46" s="180">
        <v>0</v>
      </c>
      <c r="C46" s="437">
        <v>0</v>
      </c>
      <c r="D46" s="437">
        <v>0</v>
      </c>
      <c r="E46" s="437">
        <v>0</v>
      </c>
      <c r="F46" s="436">
        <v>0</v>
      </c>
      <c r="G46" s="436">
        <v>0</v>
      </c>
      <c r="H46" s="436">
        <v>0</v>
      </c>
      <c r="I46" s="436">
        <v>0</v>
      </c>
      <c r="J46" s="436">
        <v>0</v>
      </c>
      <c r="K46" s="436">
        <v>0</v>
      </c>
      <c r="L46" s="436">
        <v>0</v>
      </c>
      <c r="M46" s="444"/>
    </row>
    <row r="47" spans="1:13">
      <c r="A47" s="439" t="s">
        <v>155</v>
      </c>
      <c r="B47" s="180">
        <v>0</v>
      </c>
      <c r="C47" s="437">
        <v>23809.353982000001</v>
      </c>
      <c r="D47" s="437">
        <v>29643.113981999999</v>
      </c>
      <c r="E47" s="437">
        <v>46215.834982</v>
      </c>
      <c r="F47" s="436">
        <v>53226.671219999997</v>
      </c>
      <c r="G47" s="436">
        <v>55867.190352999998</v>
      </c>
      <c r="H47" s="436">
        <v>61063.923433000004</v>
      </c>
      <c r="I47" s="436">
        <v>54957.524367999999</v>
      </c>
      <c r="J47" s="436">
        <v>50330.949782999996</v>
      </c>
      <c r="K47" s="436">
        <v>45832.197380999998</v>
      </c>
      <c r="L47" s="436">
        <v>35502.242781000001</v>
      </c>
      <c r="M47" s="444"/>
    </row>
    <row r="48" spans="1:13">
      <c r="A48" s="439" t="s">
        <v>156</v>
      </c>
      <c r="B48" s="180">
        <v>0</v>
      </c>
      <c r="C48" s="437">
        <v>0</v>
      </c>
      <c r="D48" s="437">
        <v>0</v>
      </c>
      <c r="E48" s="437">
        <v>0</v>
      </c>
      <c r="F48" s="436">
        <v>0</v>
      </c>
      <c r="G48" s="436">
        <v>0</v>
      </c>
      <c r="H48" s="436">
        <v>0</v>
      </c>
      <c r="I48" s="436">
        <v>0</v>
      </c>
      <c r="J48" s="436">
        <v>0</v>
      </c>
      <c r="K48" s="436">
        <v>0</v>
      </c>
      <c r="L48" s="436">
        <v>0</v>
      </c>
      <c r="M48" s="444"/>
    </row>
    <row r="49" spans="1:13">
      <c r="A49" s="439" t="s">
        <v>157</v>
      </c>
      <c r="B49" s="180">
        <v>0</v>
      </c>
      <c r="C49" s="437">
        <v>1300</v>
      </c>
      <c r="D49" s="437">
        <v>1300</v>
      </c>
      <c r="E49" s="437">
        <v>1300</v>
      </c>
      <c r="F49" s="436">
        <v>244.63046800000001</v>
      </c>
      <c r="G49" s="436">
        <v>244.63046800000001</v>
      </c>
      <c r="H49" s="436">
        <v>244.63046800000001</v>
      </c>
      <c r="I49" s="436">
        <v>8704.4704679999995</v>
      </c>
      <c r="J49" s="436">
        <v>8704.4704679999995</v>
      </c>
      <c r="K49" s="436">
        <v>8459.84</v>
      </c>
      <c r="L49" s="436">
        <v>8459.84</v>
      </c>
      <c r="M49" s="444"/>
    </row>
    <row r="50" spans="1:13">
      <c r="A50" s="439" t="s">
        <v>158</v>
      </c>
      <c r="B50" s="180">
        <v>0</v>
      </c>
      <c r="C50" s="437">
        <v>22509.353982000001</v>
      </c>
      <c r="D50" s="437">
        <v>28343.113981999999</v>
      </c>
      <c r="E50" s="437">
        <v>44915.834982</v>
      </c>
      <c r="F50" s="436">
        <v>58293.454982000003</v>
      </c>
      <c r="G50" s="436">
        <v>58293.454982000003</v>
      </c>
      <c r="H50" s="436">
        <v>64410.662982000002</v>
      </c>
      <c r="I50" s="436">
        <v>46253.053899999999</v>
      </c>
      <c r="J50" s="436">
        <v>45856.399315000002</v>
      </c>
      <c r="K50" s="436">
        <v>45146.042780999996</v>
      </c>
      <c r="L50" s="436">
        <v>36146.042780999996</v>
      </c>
      <c r="M50" s="444"/>
    </row>
    <row r="51" spans="1:13">
      <c r="A51" s="439" t="s">
        <v>159</v>
      </c>
      <c r="B51" s="180">
        <v>0</v>
      </c>
      <c r="C51" s="437">
        <v>0</v>
      </c>
      <c r="D51" s="437">
        <v>0</v>
      </c>
      <c r="E51" s="437">
        <v>0</v>
      </c>
      <c r="F51" s="436">
        <v>-5311.4142300000003</v>
      </c>
      <c r="G51" s="436">
        <v>-2670.8950970000001</v>
      </c>
      <c r="H51" s="436">
        <v>-3591.3700170000002</v>
      </c>
      <c r="I51" s="436">
        <v>0</v>
      </c>
      <c r="J51" s="436">
        <v>-4229.92</v>
      </c>
      <c r="K51" s="436">
        <v>-7773.6854000000003</v>
      </c>
      <c r="L51" s="436">
        <v>-9103.64</v>
      </c>
      <c r="M51" s="444"/>
    </row>
    <row r="52" spans="1:13">
      <c r="A52" s="439" t="s">
        <v>160</v>
      </c>
      <c r="B52" s="180">
        <v>0</v>
      </c>
      <c r="C52" s="437">
        <v>0</v>
      </c>
      <c r="D52" s="437">
        <v>0</v>
      </c>
      <c r="E52" s="437">
        <v>0</v>
      </c>
      <c r="F52" s="436">
        <v>0</v>
      </c>
      <c r="G52" s="436">
        <v>0</v>
      </c>
      <c r="H52" s="436">
        <v>0</v>
      </c>
      <c r="I52" s="436">
        <v>0</v>
      </c>
      <c r="J52" s="436">
        <v>0</v>
      </c>
      <c r="K52" s="436">
        <v>0</v>
      </c>
      <c r="L52" s="436">
        <v>0</v>
      </c>
      <c r="M52" s="444"/>
    </row>
    <row r="53" spans="1:13">
      <c r="A53" s="439" t="s">
        <v>161</v>
      </c>
      <c r="B53" s="180">
        <v>0</v>
      </c>
      <c r="C53" s="437">
        <v>327.218636</v>
      </c>
      <c r="D53" s="437">
        <v>654.34383600000001</v>
      </c>
      <c r="E53" s="437">
        <v>1294.662368</v>
      </c>
      <c r="F53" s="436">
        <v>2753.7655380000001</v>
      </c>
      <c r="G53" s="436">
        <v>1582.9150179999999</v>
      </c>
      <c r="H53" s="436">
        <v>15498.645248999999</v>
      </c>
      <c r="I53" s="436">
        <v>14241.705029000001</v>
      </c>
      <c r="J53" s="436">
        <v>24675.885965000001</v>
      </c>
      <c r="K53" s="436">
        <v>29216.187456</v>
      </c>
      <c r="L53" s="436">
        <v>34503.496556999999</v>
      </c>
      <c r="M53" s="444"/>
    </row>
    <row r="54" spans="1:13">
      <c r="A54" s="439" t="s">
        <v>162</v>
      </c>
      <c r="B54" s="180">
        <v>0</v>
      </c>
      <c r="C54" s="437">
        <v>327.218636</v>
      </c>
      <c r="D54" s="437">
        <v>654.34383600000001</v>
      </c>
      <c r="E54" s="437">
        <v>1154.679255</v>
      </c>
      <c r="F54" s="436">
        <v>2753.7655380000001</v>
      </c>
      <c r="G54" s="436">
        <v>1582.9150179999999</v>
      </c>
      <c r="H54" s="436">
        <v>15498.645248999999</v>
      </c>
      <c r="I54" s="436">
        <v>14241.705029000001</v>
      </c>
      <c r="J54" s="436">
        <v>23506.900965000001</v>
      </c>
      <c r="K54" s="436">
        <v>26645.691456</v>
      </c>
      <c r="L54" s="436">
        <v>27974.678830000001</v>
      </c>
      <c r="M54" s="444"/>
    </row>
    <row r="55" spans="1:13">
      <c r="A55" s="439" t="s">
        <v>163</v>
      </c>
      <c r="B55" s="180">
        <v>0</v>
      </c>
      <c r="C55" s="437">
        <v>0</v>
      </c>
      <c r="D55" s="437">
        <v>0</v>
      </c>
      <c r="E55" s="437">
        <v>139.983113</v>
      </c>
      <c r="F55" s="436">
        <v>0</v>
      </c>
      <c r="G55" s="436">
        <v>0</v>
      </c>
      <c r="H55" s="436">
        <v>0</v>
      </c>
      <c r="I55" s="436">
        <v>0</v>
      </c>
      <c r="J55" s="436">
        <v>0</v>
      </c>
      <c r="K55" s="436">
        <v>0</v>
      </c>
      <c r="L55" s="436">
        <v>0</v>
      </c>
      <c r="M55" s="444"/>
    </row>
    <row r="56" spans="1:13">
      <c r="A56" s="439" t="s">
        <v>164</v>
      </c>
      <c r="B56" s="180">
        <v>0</v>
      </c>
      <c r="C56" s="437">
        <v>0</v>
      </c>
      <c r="D56" s="437">
        <v>0</v>
      </c>
      <c r="E56" s="437">
        <v>0</v>
      </c>
      <c r="F56" s="436">
        <v>0</v>
      </c>
      <c r="G56" s="436">
        <v>0</v>
      </c>
      <c r="H56" s="436">
        <v>0</v>
      </c>
      <c r="I56" s="436">
        <v>0</v>
      </c>
      <c r="J56" s="436">
        <v>1168.9849999999999</v>
      </c>
      <c r="K56" s="436">
        <v>2570.4960000000001</v>
      </c>
      <c r="L56" s="436">
        <v>6528.8177269999996</v>
      </c>
      <c r="M56" s="444"/>
    </row>
    <row r="57" spans="1:13" s="444" customFormat="1">
      <c r="A57" s="440" t="s">
        <v>76</v>
      </c>
      <c r="B57" s="443">
        <v>0</v>
      </c>
      <c r="C57" s="441">
        <v>103517.89872</v>
      </c>
      <c r="D57" s="441">
        <v>192381.26582199999</v>
      </c>
      <c r="E57" s="441">
        <v>236040.24393500001</v>
      </c>
      <c r="F57" s="442">
        <v>298545.60721799999</v>
      </c>
      <c r="G57" s="442">
        <v>348834.21992800001</v>
      </c>
      <c r="H57" s="442">
        <v>377072.19397099997</v>
      </c>
      <c r="I57" s="442">
        <v>381644.06778300001</v>
      </c>
      <c r="J57" s="442">
        <v>366192.39994099998</v>
      </c>
      <c r="K57" s="442">
        <v>340810.38156200002</v>
      </c>
      <c r="L57" s="442">
        <v>332515.67739099998</v>
      </c>
    </row>
    <row r="58" spans="1:13" s="444" customFormat="1">
      <c r="A58" s="440" t="s">
        <v>165</v>
      </c>
      <c r="B58" s="443">
        <v>0</v>
      </c>
      <c r="C58" s="441">
        <v>9925.2876909999995</v>
      </c>
      <c r="D58" s="441">
        <v>7798.2420789999996</v>
      </c>
      <c r="E58" s="441">
        <v>28786.639149999999</v>
      </c>
      <c r="F58" s="442">
        <v>21234.586783999999</v>
      </c>
      <c r="G58" s="442">
        <v>28590.799383000001</v>
      </c>
      <c r="H58" s="442">
        <v>58424.906600000002</v>
      </c>
      <c r="I58" s="442">
        <v>64224.692251</v>
      </c>
      <c r="J58" s="442">
        <v>54043.410671999998</v>
      </c>
      <c r="K58" s="442">
        <v>35278.862799000002</v>
      </c>
      <c r="L58" s="442">
        <v>20573.694950000001</v>
      </c>
    </row>
    <row r="59" spans="1:13" s="444" customFormat="1">
      <c r="A59" s="440" t="s">
        <v>166</v>
      </c>
      <c r="B59" s="443">
        <v>0</v>
      </c>
      <c r="C59" s="441">
        <v>8432.8765550000007</v>
      </c>
      <c r="D59" s="441">
        <v>6242.916878</v>
      </c>
      <c r="E59" s="441">
        <v>27150.967259000001</v>
      </c>
      <c r="F59" s="442">
        <v>19533.340910999999</v>
      </c>
      <c r="G59" s="442">
        <v>26800.222768</v>
      </c>
      <c r="H59" s="442">
        <v>56568.216474000001</v>
      </c>
      <c r="I59" s="442">
        <v>62217.847475000002</v>
      </c>
      <c r="J59" s="442">
        <v>54043.410671999998</v>
      </c>
      <c r="K59" s="442">
        <v>35278.862799000002</v>
      </c>
      <c r="L59" s="442">
        <v>20573.694950000001</v>
      </c>
    </row>
    <row r="60" spans="1:13">
      <c r="A60" s="439" t="s">
        <v>167</v>
      </c>
      <c r="B60" s="180">
        <v>0</v>
      </c>
      <c r="C60" s="437">
        <v>2000</v>
      </c>
      <c r="D60" s="437">
        <v>0</v>
      </c>
      <c r="E60" s="437">
        <v>18000</v>
      </c>
      <c r="F60" s="436">
        <v>11147.272498</v>
      </c>
      <c r="G60" s="436">
        <v>0</v>
      </c>
      <c r="H60" s="436">
        <v>30000</v>
      </c>
      <c r="I60" s="436">
        <v>34237.949550999998</v>
      </c>
      <c r="J60" s="436">
        <v>30926.933528000001</v>
      </c>
      <c r="K60" s="436">
        <v>17520.435415</v>
      </c>
      <c r="L60" s="436">
        <v>0</v>
      </c>
      <c r="M60" s="444"/>
    </row>
    <row r="61" spans="1:13">
      <c r="A61" s="439" t="s">
        <v>168</v>
      </c>
      <c r="B61" s="180">
        <v>0</v>
      </c>
      <c r="C61" s="437">
        <v>2129.1601999999998</v>
      </c>
      <c r="D61" s="437">
        <v>2745.5702569999999</v>
      </c>
      <c r="E61" s="437">
        <v>4385.9903860000004</v>
      </c>
      <c r="F61" s="436">
        <v>3547.829217</v>
      </c>
      <c r="G61" s="436">
        <v>5047.7774959999997</v>
      </c>
      <c r="H61" s="436">
        <v>11400.573995000001</v>
      </c>
      <c r="I61" s="436">
        <v>6530.416502</v>
      </c>
      <c r="J61" s="436">
        <v>5836.7489189999997</v>
      </c>
      <c r="K61" s="436">
        <v>3587.2849249999999</v>
      </c>
      <c r="L61" s="436">
        <v>2705.0657270000002</v>
      </c>
      <c r="M61" s="444"/>
    </row>
    <row r="62" spans="1:13">
      <c r="A62" s="439" t="s">
        <v>169</v>
      </c>
      <c r="B62" s="180">
        <v>0</v>
      </c>
      <c r="C62" s="437">
        <v>282.28436900000003</v>
      </c>
      <c r="D62" s="437">
        <v>200.255349</v>
      </c>
      <c r="E62" s="437">
        <v>159.049397</v>
      </c>
      <c r="F62" s="436">
        <v>137.06214499999999</v>
      </c>
      <c r="G62" s="436">
        <v>1089.024148</v>
      </c>
      <c r="H62" s="436">
        <v>700.39152799999999</v>
      </c>
      <c r="I62" s="436">
        <v>521.04659700000002</v>
      </c>
      <c r="J62" s="436">
        <v>182.69495499999999</v>
      </c>
      <c r="K62" s="436">
        <v>1140.084302</v>
      </c>
      <c r="L62" s="436">
        <v>1265.608074</v>
      </c>
      <c r="M62" s="444"/>
    </row>
    <row r="63" spans="1:13">
      <c r="A63" s="439" t="s">
        <v>170</v>
      </c>
      <c r="B63" s="180">
        <v>0</v>
      </c>
      <c r="C63" s="437">
        <v>155.518889</v>
      </c>
      <c r="D63" s="437">
        <v>148.20965100000001</v>
      </c>
      <c r="E63" s="437">
        <v>1633.185209</v>
      </c>
      <c r="F63" s="436">
        <v>1584.7249790000001</v>
      </c>
      <c r="G63" s="436">
        <v>15798.017703</v>
      </c>
      <c r="H63" s="436">
        <v>6722.3942800000004</v>
      </c>
      <c r="I63" s="436">
        <v>11954.227204999999</v>
      </c>
      <c r="J63" s="436">
        <v>4568.4991380000001</v>
      </c>
      <c r="K63" s="436">
        <v>1915.5625170000001</v>
      </c>
      <c r="L63" s="436">
        <v>8249.3725190000005</v>
      </c>
      <c r="M63" s="444"/>
    </row>
    <row r="64" spans="1:13">
      <c r="A64" s="439" t="s">
        <v>171</v>
      </c>
      <c r="B64" s="180">
        <v>0</v>
      </c>
      <c r="C64" s="437">
        <v>830.66087300000004</v>
      </c>
      <c r="D64" s="437">
        <v>127.632767</v>
      </c>
      <c r="E64" s="437">
        <v>1004.209033</v>
      </c>
      <c r="F64" s="436">
        <v>1199.13606</v>
      </c>
      <c r="G64" s="436">
        <v>2542.8241149999999</v>
      </c>
      <c r="H64" s="436">
        <v>5252.5774250000004</v>
      </c>
      <c r="I64" s="436">
        <v>4311.96</v>
      </c>
      <c r="J64" s="436">
        <v>2784.3818390000001</v>
      </c>
      <c r="K64" s="436">
        <v>3532.8136279999999</v>
      </c>
      <c r="L64" s="436">
        <v>3918.3132609999998</v>
      </c>
      <c r="M64" s="444"/>
    </row>
    <row r="65" spans="1:13">
      <c r="A65" s="439" t="s">
        <v>172</v>
      </c>
      <c r="B65" s="180">
        <v>0</v>
      </c>
      <c r="C65" s="437">
        <v>1449.5705419999999</v>
      </c>
      <c r="D65" s="437">
        <v>2365.5372779999998</v>
      </c>
      <c r="E65" s="437">
        <v>1476.1027750000001</v>
      </c>
      <c r="F65" s="436">
        <v>1277.790072</v>
      </c>
      <c r="G65" s="436">
        <v>1494.629776</v>
      </c>
      <c r="H65" s="436">
        <v>1579.961055</v>
      </c>
      <c r="I65" s="436">
        <v>1336.419598</v>
      </c>
      <c r="J65" s="436">
        <v>8266.8636999999999</v>
      </c>
      <c r="K65" s="436">
        <v>6448.6776829999999</v>
      </c>
      <c r="L65" s="436">
        <v>3286.5244670000002</v>
      </c>
      <c r="M65" s="444"/>
    </row>
    <row r="66" spans="1:13">
      <c r="A66" s="439" t="s">
        <v>173</v>
      </c>
      <c r="B66" s="180">
        <v>0</v>
      </c>
      <c r="C66" s="437">
        <v>0</v>
      </c>
      <c r="D66" s="437">
        <v>0</v>
      </c>
      <c r="E66" s="437">
        <v>0</v>
      </c>
      <c r="F66" s="436">
        <v>0</v>
      </c>
      <c r="G66" s="436">
        <v>0</v>
      </c>
      <c r="H66" s="436">
        <v>0</v>
      </c>
      <c r="I66" s="436">
        <v>0</v>
      </c>
      <c r="J66" s="436">
        <v>0</v>
      </c>
      <c r="K66" s="436">
        <v>0</v>
      </c>
      <c r="L66" s="436">
        <v>0</v>
      </c>
      <c r="M66" s="444"/>
    </row>
    <row r="67" spans="1:13">
      <c r="A67" s="439" t="s">
        <v>174</v>
      </c>
      <c r="B67" s="180">
        <v>0</v>
      </c>
      <c r="C67" s="437">
        <v>0</v>
      </c>
      <c r="D67" s="437">
        <v>0</v>
      </c>
      <c r="E67" s="437">
        <v>0</v>
      </c>
      <c r="F67" s="436">
        <v>0</v>
      </c>
      <c r="G67" s="436">
        <v>0</v>
      </c>
      <c r="H67" s="436">
        <v>0</v>
      </c>
      <c r="I67" s="436">
        <v>0</v>
      </c>
      <c r="J67" s="436">
        <v>0</v>
      </c>
      <c r="K67" s="436">
        <v>0</v>
      </c>
      <c r="L67" s="436">
        <v>0</v>
      </c>
      <c r="M67" s="444"/>
    </row>
    <row r="68" spans="1:13">
      <c r="A68" s="439" t="s">
        <v>175</v>
      </c>
      <c r="B68" s="180">
        <v>0</v>
      </c>
      <c r="C68" s="437">
        <v>1585.6816819999999</v>
      </c>
      <c r="D68" s="437">
        <v>655.71157600000004</v>
      </c>
      <c r="E68" s="437">
        <v>492.43045899999998</v>
      </c>
      <c r="F68" s="436">
        <v>639.52593999999999</v>
      </c>
      <c r="G68" s="436">
        <v>827.94952999999998</v>
      </c>
      <c r="H68" s="436">
        <v>912.31819099999996</v>
      </c>
      <c r="I68" s="436">
        <v>3325.8280220000001</v>
      </c>
      <c r="J68" s="436">
        <v>1477.288593</v>
      </c>
      <c r="K68" s="436">
        <v>1134.0043290000001</v>
      </c>
      <c r="L68" s="436">
        <v>1148.8109019999999</v>
      </c>
      <c r="M68" s="444"/>
    </row>
    <row r="69" spans="1:13">
      <c r="A69" s="439" t="s">
        <v>176</v>
      </c>
      <c r="B69" s="180">
        <v>0</v>
      </c>
      <c r="C69" s="437">
        <v>0</v>
      </c>
      <c r="D69" s="437">
        <v>0</v>
      </c>
      <c r="E69" s="437">
        <v>0</v>
      </c>
      <c r="F69" s="436">
        <v>0</v>
      </c>
      <c r="G69" s="436">
        <v>0</v>
      </c>
      <c r="H69" s="436">
        <v>0</v>
      </c>
      <c r="I69" s="436">
        <v>0</v>
      </c>
      <c r="J69" s="436">
        <v>0</v>
      </c>
      <c r="K69" s="436">
        <v>0</v>
      </c>
      <c r="L69" s="436">
        <v>0</v>
      </c>
      <c r="M69" s="444"/>
    </row>
    <row r="70" spans="1:13">
      <c r="A70" s="439" t="s">
        <v>200</v>
      </c>
      <c r="B70" s="180">
        <v>0</v>
      </c>
      <c r="C70" s="437">
        <v>0</v>
      </c>
      <c r="D70" s="437">
        <v>0</v>
      </c>
      <c r="E70" s="437">
        <v>0</v>
      </c>
      <c r="F70" s="436">
        <v>0</v>
      </c>
      <c r="G70" s="436">
        <v>0</v>
      </c>
      <c r="H70" s="436">
        <v>0</v>
      </c>
      <c r="I70" s="436">
        <v>0</v>
      </c>
      <c r="J70" s="436">
        <v>0</v>
      </c>
      <c r="K70" s="436">
        <v>0</v>
      </c>
      <c r="L70" s="436">
        <v>0</v>
      </c>
      <c r="M70" s="444"/>
    </row>
    <row r="71" spans="1:13" s="444" customFormat="1">
      <c r="A71" s="440" t="s">
        <v>177</v>
      </c>
      <c r="B71" s="443">
        <v>0</v>
      </c>
      <c r="C71" s="441">
        <v>1492.4111359999999</v>
      </c>
      <c r="D71" s="441">
        <v>1555.3252010000001</v>
      </c>
      <c r="E71" s="441">
        <v>1635.671891</v>
      </c>
      <c r="F71" s="442">
        <v>1701.2458730000001</v>
      </c>
      <c r="G71" s="442">
        <v>1790.5766149999999</v>
      </c>
      <c r="H71" s="442">
        <v>1856.690126</v>
      </c>
      <c r="I71" s="442">
        <v>2006.8447759999999</v>
      </c>
      <c r="J71" s="442">
        <v>0</v>
      </c>
      <c r="K71" s="442">
        <v>0</v>
      </c>
      <c r="L71" s="442">
        <v>0</v>
      </c>
    </row>
    <row r="72" spans="1:13">
      <c r="A72" s="439" t="s">
        <v>178</v>
      </c>
      <c r="B72" s="180">
        <v>0</v>
      </c>
      <c r="C72" s="437">
        <v>0</v>
      </c>
      <c r="D72" s="437">
        <v>0</v>
      </c>
      <c r="E72" s="437">
        <v>0</v>
      </c>
      <c r="F72" s="436">
        <v>0</v>
      </c>
      <c r="G72" s="436">
        <v>0</v>
      </c>
      <c r="H72" s="436">
        <v>0</v>
      </c>
      <c r="I72" s="436">
        <v>0</v>
      </c>
      <c r="J72" s="436">
        <v>0</v>
      </c>
      <c r="K72" s="436">
        <v>0</v>
      </c>
      <c r="L72" s="436">
        <v>0</v>
      </c>
      <c r="M72" s="444"/>
    </row>
    <row r="73" spans="1:13">
      <c r="A73" s="439" t="s">
        <v>179</v>
      </c>
      <c r="B73" s="180">
        <v>0</v>
      </c>
      <c r="C73" s="437">
        <v>0</v>
      </c>
      <c r="D73" s="437">
        <v>0</v>
      </c>
      <c r="E73" s="437">
        <v>0</v>
      </c>
      <c r="F73" s="436">
        <v>0</v>
      </c>
      <c r="G73" s="436">
        <v>0</v>
      </c>
      <c r="H73" s="436">
        <v>0</v>
      </c>
      <c r="I73" s="436">
        <v>0</v>
      </c>
      <c r="J73" s="436">
        <v>0</v>
      </c>
      <c r="K73" s="436">
        <v>0</v>
      </c>
      <c r="L73" s="436">
        <v>0</v>
      </c>
      <c r="M73" s="444"/>
    </row>
    <row r="74" spans="1:13">
      <c r="A74" s="439" t="s">
        <v>180</v>
      </c>
      <c r="B74" s="180">
        <v>0</v>
      </c>
      <c r="C74" s="437">
        <v>0</v>
      </c>
      <c r="D74" s="437">
        <v>0</v>
      </c>
      <c r="E74" s="437">
        <v>0</v>
      </c>
      <c r="F74" s="436">
        <v>0</v>
      </c>
      <c r="G74" s="436">
        <v>0</v>
      </c>
      <c r="H74" s="436">
        <v>0</v>
      </c>
      <c r="I74" s="436">
        <v>0</v>
      </c>
      <c r="J74" s="436">
        <v>0</v>
      </c>
      <c r="K74" s="436">
        <v>0</v>
      </c>
      <c r="L74" s="436">
        <v>0</v>
      </c>
      <c r="M74" s="444"/>
    </row>
    <row r="75" spans="1:13">
      <c r="A75" s="439" t="s">
        <v>181</v>
      </c>
      <c r="B75" s="180">
        <v>0</v>
      </c>
      <c r="C75" s="437">
        <v>0</v>
      </c>
      <c r="D75" s="437">
        <v>0</v>
      </c>
      <c r="E75" s="437">
        <v>0</v>
      </c>
      <c r="F75" s="436">
        <v>0</v>
      </c>
      <c r="G75" s="436">
        <v>0</v>
      </c>
      <c r="H75" s="436">
        <v>0</v>
      </c>
      <c r="I75" s="436">
        <v>0</v>
      </c>
      <c r="J75" s="436">
        <v>0</v>
      </c>
      <c r="K75" s="436">
        <v>0</v>
      </c>
      <c r="L75" s="436">
        <v>0</v>
      </c>
      <c r="M75" s="444"/>
    </row>
    <row r="76" spans="1:13">
      <c r="A76" s="439" t="s">
        <v>182</v>
      </c>
      <c r="B76" s="180">
        <v>0</v>
      </c>
      <c r="C76" s="437">
        <v>0</v>
      </c>
      <c r="D76" s="437">
        <v>0</v>
      </c>
      <c r="E76" s="437">
        <v>0</v>
      </c>
      <c r="F76" s="436">
        <v>0</v>
      </c>
      <c r="G76" s="436">
        <v>0</v>
      </c>
      <c r="H76" s="436">
        <v>0</v>
      </c>
      <c r="I76" s="436">
        <v>0</v>
      </c>
      <c r="J76" s="436">
        <v>0</v>
      </c>
      <c r="K76" s="436">
        <v>0</v>
      </c>
      <c r="L76" s="436">
        <v>0</v>
      </c>
      <c r="M76" s="444"/>
    </row>
    <row r="77" spans="1:13">
      <c r="A77" s="439" t="s">
        <v>183</v>
      </c>
      <c r="B77" s="180">
        <v>0</v>
      </c>
      <c r="C77" s="437">
        <v>1492.4111359999999</v>
      </c>
      <c r="D77" s="437">
        <v>1555.3252010000001</v>
      </c>
      <c r="E77" s="437">
        <v>1635.671891</v>
      </c>
      <c r="F77" s="436">
        <v>1701.2458730000001</v>
      </c>
      <c r="G77" s="436">
        <v>1790.5766149999999</v>
      </c>
      <c r="H77" s="436">
        <v>1856.690126</v>
      </c>
      <c r="I77" s="436">
        <v>2006.8447759999999</v>
      </c>
      <c r="J77" s="436">
        <v>0</v>
      </c>
      <c r="K77" s="436">
        <v>0</v>
      </c>
      <c r="L77" s="436">
        <v>0</v>
      </c>
      <c r="M77" s="444"/>
    </row>
    <row r="78" spans="1:13">
      <c r="A78" s="439" t="s">
        <v>184</v>
      </c>
      <c r="B78" s="180">
        <v>0</v>
      </c>
      <c r="C78" s="437">
        <v>0</v>
      </c>
      <c r="D78" s="437">
        <v>0</v>
      </c>
      <c r="E78" s="437">
        <v>0</v>
      </c>
      <c r="F78" s="436">
        <v>0</v>
      </c>
      <c r="G78" s="436">
        <v>0</v>
      </c>
      <c r="H78" s="436">
        <v>0</v>
      </c>
      <c r="I78" s="436">
        <v>0</v>
      </c>
      <c r="J78" s="436">
        <v>0</v>
      </c>
      <c r="K78" s="436">
        <v>0</v>
      </c>
      <c r="L78" s="436">
        <v>0</v>
      </c>
      <c r="M78" s="444"/>
    </row>
    <row r="79" spans="1:13">
      <c r="A79" s="439" t="s">
        <v>185</v>
      </c>
      <c r="B79" s="180">
        <v>0</v>
      </c>
      <c r="C79" s="437">
        <v>0</v>
      </c>
      <c r="D79" s="437">
        <v>0</v>
      </c>
      <c r="E79" s="437">
        <v>0</v>
      </c>
      <c r="F79" s="436">
        <v>0</v>
      </c>
      <c r="G79" s="436">
        <v>0</v>
      </c>
      <c r="H79" s="436">
        <v>0</v>
      </c>
      <c r="I79" s="436">
        <v>0</v>
      </c>
      <c r="J79" s="436">
        <v>0</v>
      </c>
      <c r="K79" s="436">
        <v>0</v>
      </c>
      <c r="L79" s="436">
        <v>0</v>
      </c>
      <c r="M79" s="444"/>
    </row>
    <row r="80" spans="1:13">
      <c r="A80" s="439" t="s">
        <v>787</v>
      </c>
      <c r="B80" s="180">
        <v>0</v>
      </c>
      <c r="C80" s="437">
        <v>0</v>
      </c>
      <c r="D80" s="437">
        <v>0</v>
      </c>
      <c r="E80" s="437">
        <v>0</v>
      </c>
      <c r="F80" s="436">
        <v>0</v>
      </c>
      <c r="G80" s="436">
        <v>0</v>
      </c>
      <c r="H80" s="436">
        <v>0</v>
      </c>
      <c r="I80" s="436">
        <v>0</v>
      </c>
      <c r="J80" s="436">
        <v>0</v>
      </c>
      <c r="K80" s="436">
        <v>0</v>
      </c>
      <c r="L80" s="436">
        <v>0</v>
      </c>
      <c r="M80" s="444"/>
    </row>
    <row r="81" spans="1:13">
      <c r="A81" s="439" t="s">
        <v>788</v>
      </c>
      <c r="B81" s="180">
        <v>0</v>
      </c>
      <c r="C81" s="437">
        <v>0</v>
      </c>
      <c r="D81" s="437">
        <v>0</v>
      </c>
      <c r="E81" s="437">
        <v>0</v>
      </c>
      <c r="F81" s="436">
        <v>0</v>
      </c>
      <c r="G81" s="436">
        <v>0</v>
      </c>
      <c r="H81" s="436">
        <v>0</v>
      </c>
      <c r="I81" s="436">
        <v>0</v>
      </c>
      <c r="J81" s="436">
        <v>0</v>
      </c>
      <c r="K81" s="436">
        <v>0</v>
      </c>
      <c r="L81" s="436">
        <v>0</v>
      </c>
      <c r="M81" s="444"/>
    </row>
    <row r="82" spans="1:13" s="444" customFormat="1">
      <c r="A82" s="440" t="s">
        <v>186</v>
      </c>
      <c r="B82" s="443">
        <v>0</v>
      </c>
      <c r="C82" s="441">
        <v>93592.611029000007</v>
      </c>
      <c r="D82" s="441">
        <v>184583.023743</v>
      </c>
      <c r="E82" s="441">
        <v>207253.604785</v>
      </c>
      <c r="F82" s="442">
        <v>277311.02043400001</v>
      </c>
      <c r="G82" s="442">
        <v>320243.420545</v>
      </c>
      <c r="H82" s="442">
        <v>318647.28737099998</v>
      </c>
      <c r="I82" s="442">
        <v>317419.37553199998</v>
      </c>
      <c r="J82" s="442">
        <v>312148.98926900001</v>
      </c>
      <c r="K82" s="442">
        <v>305531.51876299997</v>
      </c>
      <c r="L82" s="442">
        <v>311941.982441</v>
      </c>
    </row>
    <row r="83" spans="1:13" s="444" customFormat="1">
      <c r="A83" s="440" t="s">
        <v>187</v>
      </c>
      <c r="B83" s="443">
        <v>0</v>
      </c>
      <c r="C83" s="441">
        <v>93354.654955000005</v>
      </c>
      <c r="D83" s="441">
        <v>184581.48266899999</v>
      </c>
      <c r="E83" s="441">
        <v>207965.36963</v>
      </c>
      <c r="F83" s="442">
        <v>278916.13650000002</v>
      </c>
      <c r="G83" s="442">
        <v>320243.420545</v>
      </c>
      <c r="H83" s="442">
        <v>318647.28737099998</v>
      </c>
      <c r="I83" s="442">
        <v>317419.37553199998</v>
      </c>
      <c r="J83" s="442">
        <v>312148.98926900001</v>
      </c>
      <c r="K83" s="442">
        <v>305531.51876299997</v>
      </c>
      <c r="L83" s="442">
        <v>311941.982441</v>
      </c>
    </row>
    <row r="84" spans="1:13">
      <c r="A84" s="439" t="s">
        <v>188</v>
      </c>
      <c r="B84" s="180">
        <v>0</v>
      </c>
      <c r="C84" s="437">
        <v>38500</v>
      </c>
      <c r="D84" s="437">
        <v>67065</v>
      </c>
      <c r="E84" s="437">
        <v>67065</v>
      </c>
      <c r="F84" s="436">
        <v>100996.7</v>
      </c>
      <c r="G84" s="436">
        <v>100996.7</v>
      </c>
      <c r="H84" s="436">
        <v>151199.46</v>
      </c>
      <c r="I84" s="436">
        <v>151199.46</v>
      </c>
      <c r="J84" s="436">
        <v>151199.46</v>
      </c>
      <c r="K84" s="436">
        <v>151199.46</v>
      </c>
      <c r="L84" s="436">
        <v>151199.46</v>
      </c>
      <c r="M84" s="444"/>
    </row>
    <row r="85" spans="1:13">
      <c r="A85" s="439" t="s">
        <v>189</v>
      </c>
      <c r="B85" s="180">
        <v>0</v>
      </c>
      <c r="C85" s="437">
        <v>1889.4480000000001</v>
      </c>
      <c r="D85" s="437">
        <v>66871.207500000004</v>
      </c>
      <c r="E85" s="437">
        <v>66871.207500000004</v>
      </c>
      <c r="F85" s="436">
        <v>108601.17600000001</v>
      </c>
      <c r="G85" s="436">
        <v>108601.17600000001</v>
      </c>
      <c r="H85" s="436">
        <v>58398.415999999997</v>
      </c>
      <c r="I85" s="436">
        <v>58398.415999999997</v>
      </c>
      <c r="J85" s="436">
        <v>58398.415999999997</v>
      </c>
      <c r="K85" s="436">
        <v>58398.415999999997</v>
      </c>
      <c r="L85" s="436">
        <v>58398.415999999997</v>
      </c>
      <c r="M85" s="444"/>
    </row>
    <row r="86" spans="1:13">
      <c r="A86" s="439" t="s">
        <v>190</v>
      </c>
      <c r="B86" s="180">
        <v>0</v>
      </c>
      <c r="C86" s="437">
        <v>0</v>
      </c>
      <c r="D86" s="437">
        <v>0</v>
      </c>
      <c r="E86" s="437">
        <v>0</v>
      </c>
      <c r="F86" s="436">
        <v>0</v>
      </c>
      <c r="G86" s="436">
        <v>0</v>
      </c>
      <c r="H86" s="436">
        <v>0</v>
      </c>
      <c r="I86" s="436">
        <v>0</v>
      </c>
      <c r="J86" s="436">
        <v>0</v>
      </c>
      <c r="K86" s="436">
        <v>0</v>
      </c>
      <c r="L86" s="436">
        <v>0</v>
      </c>
      <c r="M86" s="444"/>
    </row>
    <row r="87" spans="1:13">
      <c r="A87" s="439" t="s">
        <v>191</v>
      </c>
      <c r="B87" s="180">
        <v>0</v>
      </c>
      <c r="C87" s="437">
        <v>0</v>
      </c>
      <c r="D87" s="437">
        <v>0</v>
      </c>
      <c r="E87" s="437">
        <v>0</v>
      </c>
      <c r="F87" s="436">
        <v>-1298.22</v>
      </c>
      <c r="G87" s="436">
        <v>-1298.22</v>
      </c>
      <c r="H87" s="436">
        <v>-1298.22</v>
      </c>
      <c r="I87" s="436">
        <v>-1298.22</v>
      </c>
      <c r="J87" s="436">
        <v>-1298.22</v>
      </c>
      <c r="K87" s="436">
        <v>-1298.22</v>
      </c>
      <c r="L87" s="436">
        <v>-1298.22</v>
      </c>
      <c r="M87" s="444"/>
    </row>
    <row r="88" spans="1:13">
      <c r="A88" s="439" t="s">
        <v>192</v>
      </c>
      <c r="B88" s="180">
        <v>0</v>
      </c>
      <c r="C88" s="437">
        <v>0</v>
      </c>
      <c r="D88" s="437">
        <v>0</v>
      </c>
      <c r="E88" s="437">
        <v>0</v>
      </c>
      <c r="F88" s="436">
        <v>0</v>
      </c>
      <c r="G88" s="436">
        <v>0</v>
      </c>
      <c r="H88" s="436">
        <v>0</v>
      </c>
      <c r="I88" s="436">
        <v>0</v>
      </c>
      <c r="J88" s="436">
        <v>0</v>
      </c>
      <c r="K88" s="436">
        <v>0</v>
      </c>
      <c r="L88" s="436">
        <v>0</v>
      </c>
      <c r="M88" s="444"/>
    </row>
    <row r="89" spans="1:13">
      <c r="A89" s="439" t="s">
        <v>193</v>
      </c>
      <c r="B89" s="180">
        <v>0</v>
      </c>
      <c r="C89" s="437">
        <v>0</v>
      </c>
      <c r="D89" s="437">
        <v>0</v>
      </c>
      <c r="E89" s="437">
        <v>0</v>
      </c>
      <c r="F89" s="436">
        <v>0</v>
      </c>
      <c r="G89" s="436">
        <v>0</v>
      </c>
      <c r="H89" s="436">
        <v>0</v>
      </c>
      <c r="I89" s="436">
        <v>0</v>
      </c>
      <c r="J89" s="436">
        <v>0</v>
      </c>
      <c r="K89" s="436">
        <v>0</v>
      </c>
      <c r="L89" s="436">
        <v>0</v>
      </c>
      <c r="M89" s="444"/>
    </row>
    <row r="90" spans="1:13">
      <c r="A90" s="439" t="s">
        <v>194</v>
      </c>
      <c r="B90" s="180">
        <v>0</v>
      </c>
      <c r="C90" s="437">
        <v>16429.501746000002</v>
      </c>
      <c r="D90" s="437">
        <v>26194.139606000001</v>
      </c>
      <c r="E90" s="437">
        <v>33986.813169000001</v>
      </c>
      <c r="F90" s="436">
        <v>27383.008693</v>
      </c>
      <c r="G90" s="436">
        <v>36351.468252999999</v>
      </c>
      <c r="H90" s="436">
        <v>60288.836191000002</v>
      </c>
      <c r="I90" s="436">
        <v>71848.959317000001</v>
      </c>
      <c r="J90" s="436">
        <v>73047.325628999999</v>
      </c>
      <c r="K90" s="436">
        <v>73695.293116000001</v>
      </c>
      <c r="L90" s="436">
        <v>73695.293116000001</v>
      </c>
      <c r="M90" s="444"/>
    </row>
    <row r="91" spans="1:13">
      <c r="A91" s="439" t="s">
        <v>195</v>
      </c>
      <c r="B91" s="180">
        <v>0</v>
      </c>
      <c r="C91" s="437">
        <v>3449.067</v>
      </c>
      <c r="D91" s="437">
        <v>3799.067</v>
      </c>
      <c r="E91" s="437">
        <v>4019.067</v>
      </c>
      <c r="F91" s="436">
        <v>5820.2310980000002</v>
      </c>
      <c r="G91" s="436">
        <v>7690.8931329999996</v>
      </c>
      <c r="H91" s="436">
        <v>11085.963291</v>
      </c>
      <c r="I91" s="436">
        <v>13772.939055000001</v>
      </c>
      <c r="J91" s="436">
        <v>15100</v>
      </c>
      <c r="K91" s="436">
        <v>15100</v>
      </c>
      <c r="L91" s="436">
        <v>15100</v>
      </c>
      <c r="M91" s="444"/>
    </row>
    <row r="92" spans="1:13">
      <c r="A92" s="439" t="s">
        <v>196</v>
      </c>
      <c r="B92" s="180">
        <v>0</v>
      </c>
      <c r="C92" s="437">
        <v>0</v>
      </c>
      <c r="D92" s="437">
        <v>0</v>
      </c>
      <c r="E92" s="437">
        <v>0</v>
      </c>
      <c r="F92" s="436">
        <v>0</v>
      </c>
      <c r="G92" s="436">
        <v>0</v>
      </c>
      <c r="H92" s="436">
        <v>0</v>
      </c>
      <c r="I92" s="436">
        <v>0</v>
      </c>
      <c r="J92" s="436">
        <v>0</v>
      </c>
      <c r="K92" s="436">
        <v>0</v>
      </c>
      <c r="L92" s="436">
        <v>0</v>
      </c>
      <c r="M92" s="444"/>
    </row>
    <row r="93" spans="1:13">
      <c r="A93" s="439" t="s">
        <v>197</v>
      </c>
      <c r="B93" s="180">
        <v>0</v>
      </c>
      <c r="C93" s="437">
        <v>33086.638208999997</v>
      </c>
      <c r="D93" s="437">
        <v>0</v>
      </c>
      <c r="E93" s="437">
        <v>0</v>
      </c>
      <c r="F93" s="436">
        <v>0</v>
      </c>
      <c r="G93" s="436">
        <v>0</v>
      </c>
      <c r="H93" s="436">
        <v>0</v>
      </c>
      <c r="I93" s="436">
        <v>0</v>
      </c>
      <c r="J93" s="436">
        <v>0</v>
      </c>
      <c r="K93" s="436">
        <v>0</v>
      </c>
      <c r="L93" s="436">
        <v>0</v>
      </c>
      <c r="M93" s="444"/>
    </row>
    <row r="94" spans="1:13">
      <c r="A94" s="439" t="s">
        <v>198</v>
      </c>
      <c r="B94" s="180">
        <v>0</v>
      </c>
      <c r="C94" s="437">
        <v>0</v>
      </c>
      <c r="D94" s="437">
        <v>20652.068563000001</v>
      </c>
      <c r="E94" s="437">
        <v>36023.281961000001</v>
      </c>
      <c r="F94" s="436">
        <v>37413.240708999998</v>
      </c>
      <c r="G94" s="436">
        <v>67901.403158999994</v>
      </c>
      <c r="H94" s="436">
        <v>38972.831889000001</v>
      </c>
      <c r="I94" s="436">
        <v>23497.82116</v>
      </c>
      <c r="J94" s="436">
        <v>15702.00764</v>
      </c>
      <c r="K94" s="436">
        <v>8436.5696470000003</v>
      </c>
      <c r="L94" s="436">
        <v>14847.033325</v>
      </c>
      <c r="M94" s="444"/>
    </row>
    <row r="95" spans="1:13">
      <c r="A95" s="439" t="s">
        <v>789</v>
      </c>
      <c r="B95" s="180">
        <v>0</v>
      </c>
      <c r="C95" s="437">
        <v>0</v>
      </c>
      <c r="D95" s="437">
        <v>0</v>
      </c>
      <c r="E95" s="437">
        <v>0</v>
      </c>
      <c r="F95" s="436">
        <v>0</v>
      </c>
      <c r="G95" s="436">
        <v>0</v>
      </c>
      <c r="H95" s="436">
        <v>0</v>
      </c>
      <c r="I95" s="436">
        <v>0</v>
      </c>
      <c r="J95" s="436">
        <v>0</v>
      </c>
      <c r="K95" s="436">
        <v>0</v>
      </c>
      <c r="L95" s="436">
        <v>0</v>
      </c>
      <c r="M95" s="444"/>
    </row>
    <row r="96" spans="1:13">
      <c r="A96" s="439" t="s">
        <v>199</v>
      </c>
      <c r="B96" s="180">
        <v>0</v>
      </c>
      <c r="C96" s="437">
        <v>237.956074</v>
      </c>
      <c r="D96" s="437">
        <v>1.5410740000000001</v>
      </c>
      <c r="E96" s="437">
        <v>-711.76484500000004</v>
      </c>
      <c r="F96" s="436">
        <v>-1605.116066</v>
      </c>
      <c r="G96" s="436">
        <v>0</v>
      </c>
      <c r="H96" s="436">
        <v>0</v>
      </c>
      <c r="I96" s="436">
        <v>0</v>
      </c>
      <c r="J96" s="436">
        <v>0</v>
      </c>
      <c r="K96" s="436">
        <v>0</v>
      </c>
      <c r="L96" s="436">
        <v>0</v>
      </c>
      <c r="M96" s="444"/>
    </row>
    <row r="97" spans="1:13">
      <c r="A97" s="439" t="s">
        <v>790</v>
      </c>
      <c r="B97" s="180">
        <v>0</v>
      </c>
      <c r="C97" s="437">
        <v>237.956074</v>
      </c>
      <c r="D97" s="437">
        <v>1.5410740000000001</v>
      </c>
      <c r="E97" s="437">
        <v>-711.76484500000004</v>
      </c>
      <c r="F97" s="436">
        <v>-1605.116066</v>
      </c>
      <c r="G97" s="436">
        <v>0</v>
      </c>
      <c r="H97" s="436">
        <v>0</v>
      </c>
      <c r="I97" s="436">
        <v>0</v>
      </c>
      <c r="J97" s="436">
        <v>0</v>
      </c>
      <c r="K97" s="436">
        <v>0</v>
      </c>
      <c r="L97" s="436">
        <v>0</v>
      </c>
      <c r="M97" s="444"/>
    </row>
    <row r="98" spans="1:13">
      <c r="A98" s="439" t="s">
        <v>201</v>
      </c>
      <c r="C98" s="437">
        <v>0</v>
      </c>
      <c r="D98" s="437">
        <v>0</v>
      </c>
      <c r="E98" s="437">
        <v>0</v>
      </c>
      <c r="F98" s="436">
        <v>0</v>
      </c>
      <c r="G98" s="436">
        <v>0</v>
      </c>
      <c r="H98" s="436">
        <v>0</v>
      </c>
      <c r="I98" s="436">
        <v>0</v>
      </c>
      <c r="J98" s="436">
        <v>0</v>
      </c>
      <c r="K98" s="436">
        <v>0</v>
      </c>
      <c r="L98" s="436">
        <v>0</v>
      </c>
      <c r="M98" s="444"/>
    </row>
    <row r="99" spans="1:13" s="444" customFormat="1">
      <c r="A99" s="440" t="s">
        <v>202</v>
      </c>
      <c r="C99" s="441">
        <v>0</v>
      </c>
      <c r="D99" s="441">
        <v>0</v>
      </c>
      <c r="E99" s="441">
        <v>0</v>
      </c>
      <c r="F99" s="442">
        <v>0</v>
      </c>
      <c r="G99" s="442">
        <v>0</v>
      </c>
      <c r="H99" s="442">
        <v>0</v>
      </c>
      <c r="I99" s="442">
        <v>0</v>
      </c>
      <c r="J99" s="442">
        <v>0</v>
      </c>
      <c r="K99" s="442">
        <v>0</v>
      </c>
      <c r="L99" s="442">
        <v>0</v>
      </c>
    </row>
    <row r="100" spans="1:13" s="444" customFormat="1">
      <c r="A100" s="440" t="s">
        <v>77</v>
      </c>
      <c r="C100" s="441">
        <v>103517.89872</v>
      </c>
      <c r="D100" s="441">
        <v>192381.26582199999</v>
      </c>
      <c r="E100" s="441">
        <v>236040.24393500001</v>
      </c>
      <c r="F100" s="442">
        <v>298545.60721799999</v>
      </c>
      <c r="G100" s="442">
        <v>348834.21992800001</v>
      </c>
      <c r="H100" s="442">
        <v>377072.19397099997</v>
      </c>
      <c r="I100" s="442">
        <v>381644.06778300001</v>
      </c>
      <c r="J100" s="442">
        <v>366192.39994099998</v>
      </c>
      <c r="K100" s="442">
        <v>340810.38156200002</v>
      </c>
      <c r="L100" s="442">
        <v>332515.67739099998</v>
      </c>
    </row>
  </sheetData>
  <pageMargins left="0.7" right="0.7" top="0.75" bottom="0.75" header="0.3" footer="0.3"/>
  <pageSetup orientation="portrait" horizontalDpi="1200" verticalDpi="1200" r:id="rId1"/>
  <drawing r:id="rId2"/>
</worksheet>
</file>

<file path=xl/worksheets/sheet21.xml><?xml version="1.0" encoding="utf-8"?>
<worksheet xmlns="http://schemas.openxmlformats.org/spreadsheetml/2006/main" xmlns:r="http://schemas.openxmlformats.org/officeDocument/2006/relationships">
  <dimension ref="A1:K28"/>
  <sheetViews>
    <sheetView topLeftCell="A2" workbookViewId="0">
      <selection activeCell="L2" sqref="L1:L1048576"/>
    </sheetView>
  </sheetViews>
  <sheetFormatPr defaultRowHeight="15"/>
  <cols>
    <col min="1" max="1" width="38.28515625" bestFit="1" customWidth="1"/>
    <col min="2" max="4" width="12.140625" style="185" customWidth="1"/>
    <col min="5" max="5" width="13.85546875" bestFit="1" customWidth="1"/>
    <col min="6" max="6" width="14.28515625" bestFit="1" customWidth="1"/>
    <col min="7" max="7" width="15" bestFit="1" customWidth="1"/>
    <col min="8" max="8" width="15" style="185" bestFit="1" customWidth="1"/>
    <col min="9" max="9" width="15" bestFit="1" customWidth="1"/>
    <col min="11" max="11" width="9.140625" style="185"/>
  </cols>
  <sheetData>
    <row r="1" spans="1:11" s="185" customFormat="1">
      <c r="A1" s="185">
        <f>ABS!A1</f>
        <v>0</v>
      </c>
    </row>
    <row r="2" spans="1:11" ht="18">
      <c r="A2" s="182" t="s">
        <v>87</v>
      </c>
      <c r="B2" s="187"/>
      <c r="C2" s="187"/>
      <c r="D2" s="187"/>
      <c r="E2" s="181"/>
      <c r="F2" s="181"/>
      <c r="G2" s="181"/>
    </row>
    <row r="3" spans="1:11">
      <c r="A3" s="179"/>
      <c r="E3" s="179"/>
      <c r="F3" s="179"/>
      <c r="G3" s="179"/>
    </row>
    <row r="4" spans="1:11">
      <c r="A4" s="183" t="s">
        <v>88</v>
      </c>
      <c r="B4" s="438">
        <v>2005</v>
      </c>
      <c r="C4" s="438">
        <v>2006</v>
      </c>
      <c r="D4" s="438">
        <v>2007</v>
      </c>
      <c r="E4" s="183">
        <v>2008</v>
      </c>
      <c r="F4" s="183">
        <v>2009</v>
      </c>
      <c r="G4" s="183">
        <v>2010</v>
      </c>
      <c r="H4" s="183">
        <v>2011</v>
      </c>
      <c r="I4" s="183">
        <v>2012</v>
      </c>
      <c r="J4" s="183">
        <v>2013</v>
      </c>
      <c r="K4" s="183">
        <v>2014</v>
      </c>
    </row>
    <row r="5" spans="1:11">
      <c r="A5" s="184" t="s">
        <v>94</v>
      </c>
      <c r="B5" s="437">
        <v>88426.981276000006</v>
      </c>
      <c r="C5" s="437">
        <v>83978.499263000005</v>
      </c>
      <c r="D5" s="437">
        <v>101352.39038700001</v>
      </c>
      <c r="E5" s="436">
        <v>158732.47951500001</v>
      </c>
      <c r="F5" s="436">
        <v>192606.700129</v>
      </c>
      <c r="G5" s="436">
        <v>236308.29508800001</v>
      </c>
      <c r="H5" s="436">
        <v>219475.614375</v>
      </c>
      <c r="I5" s="436">
        <v>215999.39709700001</v>
      </c>
      <c r="J5" s="541">
        <v>148128.420377</v>
      </c>
      <c r="K5" s="541">
        <v>171110.26989900001</v>
      </c>
    </row>
    <row r="6" spans="1:11">
      <c r="A6" s="184" t="s">
        <v>95</v>
      </c>
      <c r="B6" s="437">
        <v>253.08498700000001</v>
      </c>
      <c r="C6" s="437">
        <v>284.91852999999998</v>
      </c>
      <c r="D6" s="437">
        <v>0</v>
      </c>
      <c r="E6" s="436">
        <v>0</v>
      </c>
      <c r="F6" s="436">
        <v>0</v>
      </c>
      <c r="G6" s="436">
        <v>0</v>
      </c>
      <c r="H6" s="436">
        <v>0</v>
      </c>
      <c r="I6" s="436">
        <v>0</v>
      </c>
      <c r="J6" s="541">
        <v>0</v>
      </c>
      <c r="K6" s="541">
        <v>0</v>
      </c>
    </row>
    <row r="7" spans="1:11">
      <c r="A7" s="184" t="s">
        <v>96</v>
      </c>
      <c r="B7" s="437">
        <v>88173.896288999997</v>
      </c>
      <c r="C7" s="437">
        <v>83693.580732999995</v>
      </c>
      <c r="D7" s="437">
        <v>101352.39038700001</v>
      </c>
      <c r="E7" s="436">
        <v>158732.47951500001</v>
      </c>
      <c r="F7" s="436">
        <v>192606.700129</v>
      </c>
      <c r="G7" s="436">
        <v>236308.29508800001</v>
      </c>
      <c r="H7" s="436">
        <v>219475.614375</v>
      </c>
      <c r="I7" s="436">
        <v>215999.39709700001</v>
      </c>
      <c r="J7" s="541">
        <v>148128.420377</v>
      </c>
      <c r="K7" s="541">
        <v>171110.26989900001</v>
      </c>
    </row>
    <row r="8" spans="1:11">
      <c r="A8" s="184" t="s">
        <v>78</v>
      </c>
      <c r="B8" s="437">
        <v>49950.761716000001</v>
      </c>
      <c r="C8" s="437">
        <v>52513.551857999999</v>
      </c>
      <c r="D8" s="437">
        <v>62407.701096999997</v>
      </c>
      <c r="E8" s="436">
        <v>80908.564194999999</v>
      </c>
      <c r="F8" s="436">
        <v>112307.30192500001</v>
      </c>
      <c r="G8" s="436">
        <v>146492.52196700001</v>
      </c>
      <c r="H8" s="436">
        <v>137914.110698</v>
      </c>
      <c r="I8" s="436">
        <v>174783.657565</v>
      </c>
      <c r="J8" s="541">
        <v>-128199.049285</v>
      </c>
      <c r="K8" s="541">
        <v>-140667.34983200001</v>
      </c>
    </row>
    <row r="9" spans="1:11">
      <c r="A9" s="184" t="s">
        <v>97</v>
      </c>
      <c r="B9" s="437">
        <v>38223.134573000003</v>
      </c>
      <c r="C9" s="437">
        <v>31180.028875</v>
      </c>
      <c r="D9" s="437">
        <v>38944.689290000002</v>
      </c>
      <c r="E9" s="436">
        <v>77823.91532</v>
      </c>
      <c r="F9" s="436">
        <v>80299.398203999997</v>
      </c>
      <c r="G9" s="436">
        <v>89815.773121000006</v>
      </c>
      <c r="H9" s="436">
        <v>81561.503677000001</v>
      </c>
      <c r="I9" s="436">
        <v>41215.739532</v>
      </c>
      <c r="J9" s="541">
        <v>19929.371092000001</v>
      </c>
      <c r="K9" s="541">
        <v>30442.920066999999</v>
      </c>
    </row>
    <row r="10" spans="1:11">
      <c r="A10" s="184" t="s">
        <v>98</v>
      </c>
      <c r="B10" s="437">
        <v>6769.5003239999996</v>
      </c>
      <c r="C10" s="437">
        <v>7068.1400750000003</v>
      </c>
      <c r="D10" s="437">
        <v>23110.681438</v>
      </c>
      <c r="E10" s="436">
        <v>14975.589072999999</v>
      </c>
      <c r="F10" s="436">
        <v>8077.7138629999999</v>
      </c>
      <c r="G10" s="436">
        <v>10601.267393</v>
      </c>
      <c r="H10" s="436">
        <v>9037.655471</v>
      </c>
      <c r="I10" s="436">
        <v>3124.9562510000001</v>
      </c>
      <c r="J10" s="541">
        <v>4974.7517879999996</v>
      </c>
      <c r="K10" s="541">
        <v>1437.58177</v>
      </c>
    </row>
    <row r="11" spans="1:11">
      <c r="A11" s="184" t="s">
        <v>79</v>
      </c>
      <c r="B11" s="437">
        <v>177.10477299999999</v>
      </c>
      <c r="C11" s="437">
        <v>238.727</v>
      </c>
      <c r="D11" s="437">
        <v>4543.95244</v>
      </c>
      <c r="E11" s="436">
        <v>30364.305607999999</v>
      </c>
      <c r="F11" s="436">
        <v>13802.272322999999</v>
      </c>
      <c r="G11" s="436">
        <v>3079.331126</v>
      </c>
      <c r="H11" s="436">
        <v>13572.220249</v>
      </c>
      <c r="I11" s="436">
        <v>6684.653405</v>
      </c>
      <c r="J11" s="541">
        <v>-6835.4874289999998</v>
      </c>
      <c r="K11" s="541">
        <v>-2319.3397249999998</v>
      </c>
    </row>
    <row r="12" spans="1:11">
      <c r="A12" s="184" t="s">
        <v>99</v>
      </c>
      <c r="B12" s="437">
        <v>7.7</v>
      </c>
      <c r="C12" s="437">
        <v>204.19177400000001</v>
      </c>
      <c r="D12" s="437">
        <v>107.537215</v>
      </c>
      <c r="E12" s="436">
        <v>164.89819299999999</v>
      </c>
      <c r="F12" s="436">
        <v>614.61596299999997</v>
      </c>
      <c r="G12" s="436">
        <v>1283.5399990000001</v>
      </c>
      <c r="H12" s="436">
        <v>8090.7236329999996</v>
      </c>
      <c r="I12" s="436">
        <v>4019.591238</v>
      </c>
      <c r="J12" s="541">
        <v>-2645.4536149999999</v>
      </c>
      <c r="K12" s="541">
        <v>-774.53977799999996</v>
      </c>
    </row>
    <row r="13" spans="1:11">
      <c r="A13" s="184" t="s">
        <v>80</v>
      </c>
      <c r="B13" s="437">
        <v>3091.1400520000002</v>
      </c>
      <c r="C13" s="437">
        <v>3352.2324490000001</v>
      </c>
      <c r="D13" s="437">
        <v>4196.9246949999997</v>
      </c>
      <c r="E13" s="436">
        <v>6090.890856</v>
      </c>
      <c r="F13" s="436">
        <v>6792.0959249999996</v>
      </c>
      <c r="G13" s="436">
        <v>8542.2622790000005</v>
      </c>
      <c r="H13" s="436">
        <v>6528.2653300000002</v>
      </c>
      <c r="I13" s="436">
        <v>3817.5390520000001</v>
      </c>
      <c r="J13" s="541">
        <v>-1221.3484289999999</v>
      </c>
      <c r="K13" s="541">
        <v>-321.48605800000001</v>
      </c>
    </row>
    <row r="14" spans="1:11">
      <c r="A14" s="184" t="s">
        <v>100</v>
      </c>
      <c r="B14" s="437">
        <v>5091.8347910000002</v>
      </c>
      <c r="C14" s="437">
        <v>4933.543291</v>
      </c>
      <c r="D14" s="437">
        <v>5739.9459900000002</v>
      </c>
      <c r="E14" s="436">
        <v>7917.8678659999996</v>
      </c>
      <c r="F14" s="436">
        <v>13555.379512</v>
      </c>
      <c r="G14" s="436">
        <v>18302.965</v>
      </c>
      <c r="H14" s="436">
        <v>20905.802082999999</v>
      </c>
      <c r="I14" s="436">
        <v>16871.68778</v>
      </c>
      <c r="J14" s="541">
        <v>-7321.2759269999997</v>
      </c>
      <c r="K14" s="541">
        <v>-10559.548016000001</v>
      </c>
    </row>
    <row r="15" spans="1:11">
      <c r="A15" s="184" t="s">
        <v>101</v>
      </c>
      <c r="B15" s="437">
        <v>36632.555281000001</v>
      </c>
      <c r="C15" s="437">
        <v>29723.666209999999</v>
      </c>
      <c r="D15" s="437">
        <v>47574.547602999999</v>
      </c>
      <c r="E15" s="436">
        <v>48426.440063000002</v>
      </c>
      <c r="F15" s="436">
        <v>81831.908953000006</v>
      </c>
      <c r="G15" s="436">
        <v>70492.482109000004</v>
      </c>
      <c r="H15" s="436">
        <v>49592.871485999996</v>
      </c>
      <c r="I15" s="436">
        <v>16966.815546000002</v>
      </c>
      <c r="J15" s="541">
        <v>9526.0110949999998</v>
      </c>
      <c r="K15" s="541">
        <v>18680.128037999999</v>
      </c>
    </row>
    <row r="16" spans="1:11">
      <c r="A16" s="184" t="s">
        <v>81</v>
      </c>
      <c r="B16" s="437">
        <v>461.557143</v>
      </c>
      <c r="C16" s="437">
        <v>218.198182</v>
      </c>
      <c r="D16" s="437">
        <v>0</v>
      </c>
      <c r="E16" s="436">
        <v>120</v>
      </c>
      <c r="F16" s="436">
        <v>0</v>
      </c>
      <c r="G16" s="436">
        <v>0</v>
      </c>
      <c r="H16" s="436">
        <v>133.35718199999999</v>
      </c>
      <c r="I16" s="436">
        <v>1979.0279760000001</v>
      </c>
      <c r="J16" s="541">
        <v>1307.9475930000001</v>
      </c>
      <c r="K16" s="541">
        <v>618.18181800000002</v>
      </c>
    </row>
    <row r="17" spans="1:11">
      <c r="A17" s="184" t="s">
        <v>82</v>
      </c>
      <c r="B17" s="437">
        <v>13.585626</v>
      </c>
      <c r="C17" s="437">
        <v>12.616175</v>
      </c>
      <c r="D17" s="437">
        <v>0</v>
      </c>
      <c r="E17" s="436">
        <v>0</v>
      </c>
      <c r="F17" s="436">
        <v>0</v>
      </c>
      <c r="G17" s="436">
        <v>0</v>
      </c>
      <c r="H17" s="436">
        <v>2686.13915</v>
      </c>
      <c r="I17" s="436">
        <v>103.373361</v>
      </c>
      <c r="J17" s="541">
        <v>-103.266244</v>
      </c>
      <c r="K17" s="541">
        <v>-375.56659300000001</v>
      </c>
    </row>
    <row r="18" spans="1:11">
      <c r="A18" s="184" t="s">
        <v>102</v>
      </c>
      <c r="B18" s="437">
        <v>447.97151700000001</v>
      </c>
      <c r="C18" s="437">
        <v>205.582007</v>
      </c>
      <c r="D18" s="437">
        <v>0</v>
      </c>
      <c r="E18" s="436">
        <v>120</v>
      </c>
      <c r="F18" s="436">
        <v>0</v>
      </c>
      <c r="G18" s="436">
        <v>0</v>
      </c>
      <c r="H18" s="436">
        <v>2552.7819679999998</v>
      </c>
      <c r="I18" s="436">
        <v>1875.6546149999999</v>
      </c>
      <c r="J18" s="541">
        <v>1204.681349</v>
      </c>
      <c r="K18" s="541">
        <v>242.61522500000001</v>
      </c>
    </row>
    <row r="19" spans="1:11">
      <c r="A19" s="184" t="s">
        <v>103</v>
      </c>
      <c r="B19" s="437">
        <v>0</v>
      </c>
      <c r="C19" s="437">
        <v>0</v>
      </c>
      <c r="D19" s="437">
        <v>0</v>
      </c>
      <c r="E19" s="436">
        <v>0</v>
      </c>
      <c r="F19" s="436">
        <v>0</v>
      </c>
      <c r="G19" s="436">
        <v>0</v>
      </c>
      <c r="H19" s="436">
        <v>0</v>
      </c>
      <c r="I19" s="436">
        <v>0</v>
      </c>
      <c r="J19" s="541">
        <v>0</v>
      </c>
      <c r="K19" s="541">
        <v>0</v>
      </c>
    </row>
    <row r="20" spans="1:11">
      <c r="A20" s="184" t="s">
        <v>104</v>
      </c>
      <c r="B20" s="437">
        <v>37080.526797999999</v>
      </c>
      <c r="C20" s="437">
        <v>29929.248217</v>
      </c>
      <c r="D20" s="437">
        <v>47574.547602999999</v>
      </c>
      <c r="E20" s="436">
        <v>48546.440063000002</v>
      </c>
      <c r="F20" s="436">
        <v>81831.908953000006</v>
      </c>
      <c r="G20" s="436">
        <v>70492.482109000004</v>
      </c>
      <c r="H20" s="436">
        <v>47040.089518000001</v>
      </c>
      <c r="I20" s="436">
        <v>18842.470161000001</v>
      </c>
      <c r="J20" s="541">
        <v>10730.692444</v>
      </c>
      <c r="K20" s="541">
        <v>18922.743263</v>
      </c>
    </row>
    <row r="21" spans="1:11">
      <c r="A21" s="184" t="s">
        <v>105</v>
      </c>
      <c r="B21" s="437">
        <v>272.00058899999999</v>
      </c>
      <c r="C21" s="437">
        <v>7315.8796540000003</v>
      </c>
      <c r="D21" s="437">
        <v>11691.248755000001</v>
      </c>
      <c r="E21" s="436">
        <v>10993.216241</v>
      </c>
      <c r="F21" s="436">
        <v>13930.505794000001</v>
      </c>
      <c r="G21" s="436">
        <v>16522.659511000002</v>
      </c>
      <c r="H21" s="436">
        <v>8481.0443579999992</v>
      </c>
      <c r="I21" s="436">
        <v>3140.4625209999999</v>
      </c>
      <c r="J21" s="541">
        <v>-2294.122797</v>
      </c>
      <c r="K21" s="541">
        <v>-4075.709938</v>
      </c>
    </row>
    <row r="22" spans="1:11">
      <c r="A22" s="184" t="s">
        <v>106</v>
      </c>
      <c r="B22" s="437">
        <v>0</v>
      </c>
      <c r="C22" s="437">
        <v>0</v>
      </c>
      <c r="D22" s="437">
        <v>139.983113</v>
      </c>
      <c r="E22" s="436">
        <v>139.983113</v>
      </c>
      <c r="F22" s="436">
        <v>0</v>
      </c>
      <c r="G22" s="436">
        <v>0</v>
      </c>
      <c r="H22" s="436">
        <v>0</v>
      </c>
      <c r="I22" s="436">
        <v>0</v>
      </c>
      <c r="J22" s="541">
        <v>0</v>
      </c>
      <c r="K22" s="541">
        <v>0</v>
      </c>
    </row>
    <row r="23" spans="1:11">
      <c r="A23" s="184" t="s">
        <v>107</v>
      </c>
      <c r="B23" s="437">
        <v>272.00058899999999</v>
      </c>
      <c r="C23" s="437">
        <v>7315.8796540000003</v>
      </c>
      <c r="D23" s="437">
        <v>11551.265642</v>
      </c>
      <c r="E23" s="436">
        <v>11133.199354</v>
      </c>
      <c r="F23" s="436">
        <v>13930.505794000001</v>
      </c>
      <c r="G23" s="436">
        <v>16522.659511000002</v>
      </c>
      <c r="H23" s="436">
        <v>8481.0443579999992</v>
      </c>
      <c r="I23" s="436">
        <v>3140.4625209999999</v>
      </c>
      <c r="J23" s="541">
        <v>-2294.122797</v>
      </c>
      <c r="K23" s="541">
        <v>-4075.709938</v>
      </c>
    </row>
    <row r="24" spans="1:11">
      <c r="A24" s="184" t="s">
        <v>108</v>
      </c>
      <c r="B24" s="437">
        <v>36808.526209000003</v>
      </c>
      <c r="C24" s="437">
        <v>22613.368563</v>
      </c>
      <c r="D24" s="437">
        <v>36023.281961000001</v>
      </c>
      <c r="E24" s="436">
        <v>37413.240708999998</v>
      </c>
      <c r="F24" s="436">
        <v>67901.403158999994</v>
      </c>
      <c r="G24" s="436">
        <v>53969.822597999999</v>
      </c>
      <c r="H24" s="436">
        <v>38559.045160000001</v>
      </c>
      <c r="I24" s="436">
        <v>15702.00764</v>
      </c>
      <c r="J24" s="541">
        <v>8436.5696470000003</v>
      </c>
      <c r="K24" s="541">
        <v>14847.033325</v>
      </c>
    </row>
    <row r="25" spans="1:11">
      <c r="A25" s="184" t="s">
        <v>109</v>
      </c>
      <c r="B25" s="437">
        <v>0</v>
      </c>
      <c r="C25" s="437">
        <v>0</v>
      </c>
      <c r="D25" s="437">
        <v>0</v>
      </c>
      <c r="E25" s="436">
        <v>0</v>
      </c>
      <c r="F25" s="436">
        <v>0</v>
      </c>
      <c r="G25" s="436">
        <v>0</v>
      </c>
      <c r="H25" s="436">
        <v>0</v>
      </c>
      <c r="I25" s="436">
        <v>0</v>
      </c>
      <c r="J25" s="541">
        <v>0</v>
      </c>
      <c r="K25" s="541">
        <v>0</v>
      </c>
    </row>
    <row r="26" spans="1:11">
      <c r="A26" s="184" t="s">
        <v>110</v>
      </c>
      <c r="B26" s="437">
        <v>36808.526209000003</v>
      </c>
      <c r="C26" s="437">
        <v>22613.368563</v>
      </c>
      <c r="D26" s="437">
        <v>36023.281961000001</v>
      </c>
      <c r="E26" s="436">
        <v>37413.240708999998</v>
      </c>
      <c r="F26" s="436">
        <v>67901.403158999994</v>
      </c>
      <c r="G26" s="436">
        <v>53969.822597999999</v>
      </c>
      <c r="H26" s="436">
        <v>38559.045160000001</v>
      </c>
      <c r="I26" s="436">
        <v>15702.00764</v>
      </c>
      <c r="J26" s="541">
        <v>8436.5696470000003</v>
      </c>
      <c r="K26" s="541">
        <v>14847.033325</v>
      </c>
    </row>
    <row r="27" spans="1:11">
      <c r="A27" s="184" t="s">
        <v>111</v>
      </c>
      <c r="B27" s="437">
        <v>9.9430000000000004E-3</v>
      </c>
      <c r="C27" s="437">
        <v>5.091E-3</v>
      </c>
      <c r="D27" s="437">
        <v>5.3709999999999999E-3</v>
      </c>
      <c r="E27" s="436">
        <v>3.7369999999999999E-3</v>
      </c>
      <c r="F27" s="436">
        <v>6.7619999999999998E-3</v>
      </c>
      <c r="G27" s="436">
        <v>5.156E-3</v>
      </c>
      <c r="H27" s="436">
        <v>2.5600000000000002E-3</v>
      </c>
      <c r="I27" s="436">
        <v>1.0430000000000001E-3</v>
      </c>
      <c r="J27" s="541">
        <v>560</v>
      </c>
      <c r="K27" s="541">
        <v>9.859999999999999E-4</v>
      </c>
    </row>
    <row r="28" spans="1:11">
      <c r="A28" s="184" t="s">
        <v>112</v>
      </c>
      <c r="B28" s="437">
        <v>0</v>
      </c>
      <c r="C28" s="437">
        <v>2E-3</v>
      </c>
      <c r="D28" s="437">
        <v>0</v>
      </c>
      <c r="E28" s="436">
        <v>0</v>
      </c>
      <c r="F28" s="436">
        <v>0</v>
      </c>
      <c r="G28" s="436">
        <v>0</v>
      </c>
      <c r="H28" s="436">
        <v>0</v>
      </c>
      <c r="I28" s="436">
        <v>0</v>
      </c>
      <c r="J28" s="541">
        <v>0</v>
      </c>
      <c r="K28" s="541">
        <v>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K42"/>
  <sheetViews>
    <sheetView topLeftCell="A2" workbookViewId="0">
      <selection activeCell="G23" sqref="G23"/>
    </sheetView>
  </sheetViews>
  <sheetFormatPr defaultRowHeight="15"/>
  <cols>
    <col min="1" max="1" width="47.140625" customWidth="1"/>
    <col min="6" max="6" width="10.42578125" customWidth="1"/>
    <col min="7" max="7" width="11" customWidth="1"/>
    <col min="8" max="8" width="11.42578125" style="185" customWidth="1"/>
    <col min="9" max="11" width="13.28515625" style="185" customWidth="1"/>
  </cols>
  <sheetData>
    <row r="1" spans="1:11" s="185" customFormat="1">
      <c r="A1" s="185">
        <f>APL!A1</f>
        <v>0</v>
      </c>
    </row>
    <row r="2" spans="1:11" ht="18">
      <c r="A2" s="186" t="s">
        <v>345</v>
      </c>
      <c r="B2" s="185"/>
      <c r="C2" s="185"/>
      <c r="D2" s="185"/>
      <c r="E2" s="185"/>
      <c r="F2" s="185"/>
      <c r="G2" s="185"/>
      <c r="H2" s="187"/>
      <c r="I2" s="187"/>
      <c r="J2" s="187"/>
      <c r="K2" s="187"/>
    </row>
    <row r="3" spans="1:11">
      <c r="A3" s="181"/>
      <c r="B3" s="181"/>
      <c r="C3" s="181"/>
      <c r="D3" s="181"/>
      <c r="E3" s="181"/>
      <c r="F3" s="181"/>
      <c r="G3" s="181"/>
    </row>
    <row r="4" spans="1:11">
      <c r="A4" s="193" t="s">
        <v>381</v>
      </c>
      <c r="B4" s="193">
        <v>2005</v>
      </c>
      <c r="C4" s="193">
        <v>2006</v>
      </c>
      <c r="D4" s="193">
        <v>2007</v>
      </c>
      <c r="E4" s="193">
        <v>2008</v>
      </c>
      <c r="F4" s="193">
        <v>2009</v>
      </c>
      <c r="G4" s="193">
        <v>2010</v>
      </c>
      <c r="H4" s="193">
        <v>2011</v>
      </c>
      <c r="I4" s="193">
        <v>2012</v>
      </c>
      <c r="J4" s="193">
        <v>2013</v>
      </c>
      <c r="K4" s="193">
        <v>2014</v>
      </c>
    </row>
    <row r="5" spans="1:11">
      <c r="A5" s="188" t="s">
        <v>346</v>
      </c>
      <c r="B5" s="437">
        <v>36787.586797999997</v>
      </c>
      <c r="C5" s="437">
        <v>29929.248217</v>
      </c>
      <c r="D5" s="437">
        <v>47574.547602999999</v>
      </c>
      <c r="E5" s="436">
        <v>48546.440063000002</v>
      </c>
      <c r="F5" s="436">
        <v>81831.908953000006</v>
      </c>
      <c r="G5" s="436">
        <v>69587.135345000002</v>
      </c>
      <c r="H5" s="436">
        <v>47040.089518000001</v>
      </c>
      <c r="I5" s="436">
        <v>18842.470161000001</v>
      </c>
      <c r="J5" s="436">
        <v>10730.692444</v>
      </c>
      <c r="K5" s="436">
        <v>0</v>
      </c>
    </row>
    <row r="6" spans="1:11">
      <c r="A6" s="188" t="s">
        <v>380</v>
      </c>
      <c r="B6" s="437">
        <v>1052.388627</v>
      </c>
      <c r="C6" s="437">
        <v>1651.1077310000001</v>
      </c>
      <c r="D6" s="437">
        <v>2438.149715</v>
      </c>
      <c r="E6" s="436">
        <v>2606.8362860000002</v>
      </c>
      <c r="F6" s="436">
        <v>2355.2017070000002</v>
      </c>
      <c r="G6" s="436">
        <v>3493.4532760000002</v>
      </c>
      <c r="H6" s="436">
        <v>7952.5981869999996</v>
      </c>
      <c r="I6" s="436">
        <v>16059.227774000001</v>
      </c>
      <c r="J6" s="436">
        <v>11980.664847</v>
      </c>
      <c r="K6" s="436">
        <v>0</v>
      </c>
    </row>
    <row r="7" spans="1:11">
      <c r="A7" s="188" t="s">
        <v>347</v>
      </c>
      <c r="B7" s="437">
        <v>956.83057299999996</v>
      </c>
      <c r="C7" s="437">
        <v>382.84047500000003</v>
      </c>
      <c r="D7" s="437">
        <v>4243.0519100000001</v>
      </c>
      <c r="E7" s="436">
        <v>14572.818316000001</v>
      </c>
      <c r="F7" s="436">
        <v>-14824.007885000001</v>
      </c>
      <c r="G7" s="436">
        <v>1859.2595759999999</v>
      </c>
      <c r="H7" s="436">
        <v>8160.8602780000001</v>
      </c>
      <c r="I7" s="436">
        <v>1663.6724200000001</v>
      </c>
      <c r="J7" s="436">
        <v>3381.6562269999999</v>
      </c>
      <c r="K7" s="436">
        <v>0</v>
      </c>
    </row>
    <row r="8" spans="1:11">
      <c r="A8" s="188" t="s">
        <v>348</v>
      </c>
      <c r="B8" s="437">
        <v>0</v>
      </c>
      <c r="C8" s="437">
        <v>0</v>
      </c>
      <c r="D8" s="437">
        <v>0</v>
      </c>
      <c r="E8" s="436">
        <v>0</v>
      </c>
      <c r="F8" s="436">
        <v>0</v>
      </c>
      <c r="G8" s="436">
        <v>0</v>
      </c>
      <c r="H8" s="436">
        <v>0</v>
      </c>
      <c r="I8" s="436">
        <v>0</v>
      </c>
      <c r="J8" s="436">
        <v>0</v>
      </c>
      <c r="K8" s="436">
        <v>0</v>
      </c>
    </row>
    <row r="9" spans="1:11">
      <c r="A9" s="188" t="s">
        <v>349</v>
      </c>
      <c r="B9" s="437">
        <v>0</v>
      </c>
      <c r="C9" s="437">
        <v>0</v>
      </c>
      <c r="D9" s="437">
        <v>0</v>
      </c>
      <c r="E9" s="436">
        <v>0</v>
      </c>
      <c r="F9" s="436">
        <v>0</v>
      </c>
      <c r="G9" s="436">
        <v>0</v>
      </c>
      <c r="H9" s="436">
        <v>0</v>
      </c>
      <c r="I9" s="436">
        <v>0</v>
      </c>
      <c r="J9" s="436">
        <v>0</v>
      </c>
      <c r="K9" s="436">
        <v>0</v>
      </c>
    </row>
    <row r="10" spans="1:11">
      <c r="A10" s="188" t="s">
        <v>350</v>
      </c>
      <c r="B10" s="437">
        <v>-7520.2381070000001</v>
      </c>
      <c r="C10" s="437">
        <v>-7070.9715059999999</v>
      </c>
      <c r="D10" s="437">
        <v>-3661.6203679999999</v>
      </c>
      <c r="E10" s="436">
        <v>1532.2413469999999</v>
      </c>
      <c r="F10" s="436">
        <v>-6863.2409449999996</v>
      </c>
      <c r="G10" s="436">
        <v>-3793.5073240000002</v>
      </c>
      <c r="H10" s="436">
        <v>-8184.4152430000004</v>
      </c>
      <c r="I10" s="436">
        <v>-3124.9562510000001</v>
      </c>
      <c r="J10" s="436">
        <v>-2770.5120459999998</v>
      </c>
      <c r="K10" s="436">
        <v>0</v>
      </c>
    </row>
    <row r="11" spans="1:11">
      <c r="A11" s="188" t="s">
        <v>351</v>
      </c>
      <c r="B11" s="437">
        <v>7.7</v>
      </c>
      <c r="C11" s="437">
        <v>204.19177400000001</v>
      </c>
      <c r="D11" s="437">
        <v>107.537215</v>
      </c>
      <c r="E11" s="436">
        <v>164.89819299999999</v>
      </c>
      <c r="F11" s="436">
        <v>614.61596399999996</v>
      </c>
      <c r="G11" s="436">
        <v>1283.5399990000001</v>
      </c>
      <c r="H11" s="436">
        <v>8090.7236329999996</v>
      </c>
      <c r="I11" s="436">
        <v>4019.591238</v>
      </c>
      <c r="J11" s="436">
        <v>2645.4536149999999</v>
      </c>
      <c r="K11" s="436">
        <v>0</v>
      </c>
    </row>
    <row r="12" spans="1:11">
      <c r="A12" s="188" t="s">
        <v>352</v>
      </c>
      <c r="B12" s="437">
        <v>0</v>
      </c>
      <c r="C12" s="437">
        <v>0</v>
      </c>
      <c r="D12" s="437">
        <v>0</v>
      </c>
      <c r="E12" s="436">
        <v>0</v>
      </c>
      <c r="F12" s="436">
        <v>0</v>
      </c>
      <c r="G12" s="436">
        <v>0</v>
      </c>
      <c r="H12" s="436">
        <v>0</v>
      </c>
      <c r="I12" s="436">
        <v>0</v>
      </c>
      <c r="J12" s="436">
        <v>0</v>
      </c>
      <c r="K12" s="436">
        <v>0</v>
      </c>
    </row>
    <row r="13" spans="1:11">
      <c r="A13" s="188" t="s">
        <v>353</v>
      </c>
      <c r="B13" s="437">
        <v>31284.267891</v>
      </c>
      <c r="C13" s="437">
        <v>25096.416690999999</v>
      </c>
      <c r="D13" s="437">
        <v>50701.666075000001</v>
      </c>
      <c r="E13" s="436">
        <v>67423.234205000001</v>
      </c>
      <c r="F13" s="436">
        <v>63114.477793999999</v>
      </c>
      <c r="G13" s="436">
        <v>72429.880871999994</v>
      </c>
      <c r="H13" s="436">
        <v>63059.856373000002</v>
      </c>
      <c r="I13" s="436">
        <v>37460.005341999997</v>
      </c>
      <c r="J13" s="436">
        <v>25967.955086999998</v>
      </c>
      <c r="K13" s="436">
        <v>0</v>
      </c>
    </row>
    <row r="14" spans="1:11">
      <c r="A14" s="188" t="s">
        <v>354</v>
      </c>
      <c r="B14" s="437">
        <v>-11007.269822</v>
      </c>
      <c r="C14" s="437">
        <v>1966.2685289999999</v>
      </c>
      <c r="D14" s="437">
        <v>-6942.7529960000002</v>
      </c>
      <c r="E14" s="436">
        <v>-7963.3323959999998</v>
      </c>
      <c r="F14" s="436">
        <v>3397.7156110000001</v>
      </c>
      <c r="G14" s="436">
        <v>-6718.2526109999999</v>
      </c>
      <c r="H14" s="436">
        <v>-9405.5127869999997</v>
      </c>
      <c r="I14" s="436">
        <v>-1130.6606280000001</v>
      </c>
      <c r="J14" s="436">
        <v>-1277.457085</v>
      </c>
      <c r="K14" s="436">
        <v>0</v>
      </c>
    </row>
    <row r="15" spans="1:11">
      <c r="A15" s="188" t="s">
        <v>355</v>
      </c>
      <c r="B15" s="437">
        <v>-347.00158699999997</v>
      </c>
      <c r="C15" s="437">
        <v>78.166353999999998</v>
      </c>
      <c r="D15" s="437">
        <v>473.86918700000001</v>
      </c>
      <c r="E15" s="436">
        <v>-13289.446419</v>
      </c>
      <c r="F15" s="436">
        <v>-11359.944127999999</v>
      </c>
      <c r="G15" s="436">
        <v>-14398.221829</v>
      </c>
      <c r="H15" s="436">
        <v>6201.7251370000004</v>
      </c>
      <c r="I15" s="436">
        <v>19678.225516999999</v>
      </c>
      <c r="J15" s="436">
        <v>10280.392775</v>
      </c>
      <c r="K15" s="436">
        <v>0</v>
      </c>
    </row>
    <row r="16" spans="1:11">
      <c r="A16" s="188" t="s">
        <v>356</v>
      </c>
      <c r="B16" s="437">
        <v>-41.552247000000001</v>
      </c>
      <c r="C16" s="437">
        <v>-157.89411200000001</v>
      </c>
      <c r="D16" s="437">
        <v>8948.0609060000006</v>
      </c>
      <c r="E16" s="436">
        <v>-2865.9857470000002</v>
      </c>
      <c r="F16" s="436">
        <v>5232.8479790000001</v>
      </c>
      <c r="G16" s="436">
        <v>13503.283357</v>
      </c>
      <c r="H16" s="436">
        <v>12550.151540999999</v>
      </c>
      <c r="I16" s="436">
        <v>-1323.6314890000001</v>
      </c>
      <c r="J16" s="436">
        <v>-6668.9655400000001</v>
      </c>
      <c r="K16" s="436">
        <v>0</v>
      </c>
    </row>
    <row r="17" spans="1:11">
      <c r="A17" s="188" t="s">
        <v>357</v>
      </c>
      <c r="B17" s="437">
        <v>62.168686000000001</v>
      </c>
      <c r="C17" s="437">
        <v>-327.12520000000001</v>
      </c>
      <c r="D17" s="437">
        <v>-500.335419</v>
      </c>
      <c r="E17" s="436">
        <v>-1599.0862830000001</v>
      </c>
      <c r="F17" s="436">
        <v>941.27393099999995</v>
      </c>
      <c r="G17" s="436">
        <v>3847.2657330000002</v>
      </c>
      <c r="H17" s="436">
        <v>1256.94022</v>
      </c>
      <c r="I17" s="436">
        <v>-9265.1959360000001</v>
      </c>
      <c r="J17" s="436">
        <v>-6063.5364410000002</v>
      </c>
      <c r="K17" s="436">
        <v>0</v>
      </c>
    </row>
    <row r="18" spans="1:11">
      <c r="A18" s="188" t="s">
        <v>358</v>
      </c>
      <c r="B18" s="437">
        <v>0</v>
      </c>
      <c r="C18" s="437">
        <v>-211.89477400000001</v>
      </c>
      <c r="D18" s="437">
        <v>-80.277000000000001</v>
      </c>
      <c r="E18" s="436">
        <v>-192.15840800000001</v>
      </c>
      <c r="F18" s="436">
        <v>-614.61596299999997</v>
      </c>
      <c r="G18" s="436">
        <v>-1283.5399990000001</v>
      </c>
      <c r="H18" s="436">
        <v>-8090.7236329999996</v>
      </c>
      <c r="I18" s="436">
        <v>-3976.0929339999998</v>
      </c>
      <c r="J18" s="436">
        <v>-2688.9519190000001</v>
      </c>
      <c r="K18" s="436">
        <v>0</v>
      </c>
    </row>
    <row r="19" spans="1:11">
      <c r="A19" s="188" t="s">
        <v>359</v>
      </c>
      <c r="B19" s="437">
        <v>-272.00058899999999</v>
      </c>
      <c r="C19" s="437">
        <v>-7120.5075370000004</v>
      </c>
      <c r="D19" s="437">
        <v>-9689.9786920000006</v>
      </c>
      <c r="E19" s="436">
        <v>-10914.071647000001</v>
      </c>
      <c r="F19" s="436">
        <v>-940.64139899999998</v>
      </c>
      <c r="G19" s="436">
        <v>-25446.804536</v>
      </c>
      <c r="H19" s="436">
        <v>-5114.8990229999999</v>
      </c>
      <c r="I19" s="436">
        <v>-11403.231698</v>
      </c>
      <c r="J19" s="436">
        <v>-2454.0623660000001</v>
      </c>
      <c r="K19" s="436">
        <v>0</v>
      </c>
    </row>
    <row r="20" spans="1:11">
      <c r="A20" s="188" t="s">
        <v>360</v>
      </c>
      <c r="B20" s="437">
        <v>0</v>
      </c>
      <c r="C20" s="437">
        <v>0.3</v>
      </c>
      <c r="D20" s="437">
        <v>0</v>
      </c>
      <c r="E20" s="436">
        <v>0</v>
      </c>
      <c r="F20" s="436">
        <v>0</v>
      </c>
      <c r="G20" s="436">
        <v>0</v>
      </c>
      <c r="H20" s="436">
        <v>0</v>
      </c>
      <c r="I20" s="436">
        <v>0</v>
      </c>
      <c r="J20" s="436">
        <v>0</v>
      </c>
      <c r="K20" s="436">
        <v>0</v>
      </c>
    </row>
    <row r="21" spans="1:11">
      <c r="A21" s="188" t="s">
        <v>361</v>
      </c>
      <c r="B21" s="437">
        <v>-2540.3641550000002</v>
      </c>
      <c r="C21" s="437">
        <v>-4212.1886839999997</v>
      </c>
      <c r="D21" s="437">
        <v>-2413.3059189999999</v>
      </c>
      <c r="E21" s="436">
        <v>-2753.3512209999999</v>
      </c>
      <c r="F21" s="436">
        <v>-4044.5250000000001</v>
      </c>
      <c r="G21" s="436">
        <v>-6970.4535830000004</v>
      </c>
      <c r="H21" s="436">
        <v>-7598.9095900000002</v>
      </c>
      <c r="I21" s="436">
        <v>-3510.2820969999998</v>
      </c>
      <c r="J21" s="436">
        <v>-3875.3020750000001</v>
      </c>
      <c r="K21" s="436">
        <v>0</v>
      </c>
    </row>
    <row r="22" spans="1:11" s="444" customFormat="1">
      <c r="A22" s="446" t="s">
        <v>362</v>
      </c>
      <c r="B22" s="441">
        <v>17138.248177000001</v>
      </c>
      <c r="C22" s="441">
        <v>15111.541267000001</v>
      </c>
      <c r="D22" s="441">
        <v>40496.946142000001</v>
      </c>
      <c r="E22" s="442">
        <v>27845.802083999999</v>
      </c>
      <c r="F22" s="442">
        <v>55726.588824999999</v>
      </c>
      <c r="G22" s="442">
        <v>34963.157403999998</v>
      </c>
      <c r="H22" s="442">
        <v>52858.628237999998</v>
      </c>
      <c r="I22" s="442">
        <v>26529.136076999999</v>
      </c>
      <c r="J22" s="442">
        <v>13220.072436</v>
      </c>
      <c r="K22" s="442">
        <v>75093.899818000005</v>
      </c>
    </row>
    <row r="23" spans="1:11">
      <c r="A23" s="188" t="s">
        <v>363</v>
      </c>
      <c r="B23" s="437">
        <v>-17746.429593000001</v>
      </c>
      <c r="C23" s="437">
        <v>-8820.054365</v>
      </c>
      <c r="D23" s="437">
        <v>-30741.335859999999</v>
      </c>
      <c r="E23" s="436">
        <v>-59744.746249000003</v>
      </c>
      <c r="F23" s="436">
        <v>-39821.251641000003</v>
      </c>
      <c r="G23" s="436">
        <v>-55783.612544000003</v>
      </c>
      <c r="H23" s="436">
        <v>-22996.713102999998</v>
      </c>
      <c r="I23" s="436">
        <v>-9315.1896610000003</v>
      </c>
      <c r="J23" s="436">
        <v>-1399.3706999999999</v>
      </c>
      <c r="K23" s="436">
        <v>-4693.615119</v>
      </c>
    </row>
    <row r="24" spans="1:11">
      <c r="A24" s="188" t="s">
        <v>364</v>
      </c>
      <c r="B24" s="437">
        <v>4052.917281</v>
      </c>
      <c r="C24" s="437">
        <v>10546.807661999999</v>
      </c>
      <c r="D24" s="437">
        <v>0</v>
      </c>
      <c r="E24" s="436">
        <v>1169.49</v>
      </c>
      <c r="F24" s="436">
        <v>0</v>
      </c>
      <c r="G24" s="436">
        <v>0</v>
      </c>
      <c r="H24" s="436">
        <v>0</v>
      </c>
      <c r="I24" s="436">
        <v>0</v>
      </c>
      <c r="J24" s="436">
        <v>555.35454600000003</v>
      </c>
      <c r="K24" s="436">
        <v>100</v>
      </c>
    </row>
    <row r="25" spans="1:11">
      <c r="A25" s="188" t="s">
        <v>365</v>
      </c>
      <c r="B25" s="437">
        <v>-30542.108533999999</v>
      </c>
      <c r="C25" s="437">
        <v>-31278.357599999999</v>
      </c>
      <c r="D25" s="437">
        <v>0</v>
      </c>
      <c r="E25" s="436">
        <v>-31757.32</v>
      </c>
      <c r="F25" s="436">
        <v>-8842.375</v>
      </c>
      <c r="G25" s="436">
        <v>-6100</v>
      </c>
      <c r="H25" s="436">
        <v>-20849</v>
      </c>
      <c r="I25" s="436">
        <v>-1750</v>
      </c>
      <c r="J25" s="436">
        <v>0</v>
      </c>
      <c r="K25" s="436">
        <v>0</v>
      </c>
    </row>
    <row r="26" spans="1:11">
      <c r="A26" s="188" t="s">
        <v>366</v>
      </c>
      <c r="B26" s="437">
        <v>31918.766136999999</v>
      </c>
      <c r="C26" s="437">
        <v>9890.8545200000008</v>
      </c>
      <c r="D26" s="437">
        <v>0</v>
      </c>
      <c r="E26" s="436">
        <v>29975.605511000002</v>
      </c>
      <c r="F26" s="436">
        <v>38086.844862999998</v>
      </c>
      <c r="G26" s="436">
        <v>22619.283724000001</v>
      </c>
      <c r="H26" s="436">
        <v>21400</v>
      </c>
      <c r="I26" s="436">
        <v>2122</v>
      </c>
      <c r="J26" s="436">
        <v>1652.4280000000001</v>
      </c>
      <c r="K26" s="436">
        <v>0</v>
      </c>
    </row>
    <row r="27" spans="1:11">
      <c r="A27" s="188" t="s">
        <v>367</v>
      </c>
      <c r="B27" s="437">
        <v>-7766.4561190000004</v>
      </c>
      <c r="C27" s="437">
        <v>-17577.213506</v>
      </c>
      <c r="D27" s="437">
        <v>-129486.500375</v>
      </c>
      <c r="E27" s="436">
        <v>-14364.550467999999</v>
      </c>
      <c r="F27" s="436">
        <v>0</v>
      </c>
      <c r="G27" s="436">
        <v>-6224.9080000000004</v>
      </c>
      <c r="H27" s="436">
        <v>-796</v>
      </c>
      <c r="I27" s="436">
        <v>0</v>
      </c>
      <c r="J27" s="436">
        <v>0</v>
      </c>
      <c r="K27" s="436">
        <v>-7108.74</v>
      </c>
    </row>
    <row r="28" spans="1:11">
      <c r="A28" s="188" t="s">
        <v>368</v>
      </c>
      <c r="B28" s="437">
        <v>0</v>
      </c>
      <c r="C28" s="437">
        <v>0</v>
      </c>
      <c r="D28" s="437">
        <v>67999.124087999997</v>
      </c>
      <c r="E28" s="436">
        <v>14038.353999999999</v>
      </c>
      <c r="F28" s="436">
        <v>0</v>
      </c>
      <c r="G28" s="436">
        <v>0</v>
      </c>
      <c r="H28" s="436">
        <v>2829.9055250000001</v>
      </c>
      <c r="I28" s="436">
        <v>396.654585</v>
      </c>
      <c r="J28" s="436">
        <v>860.35653400000001</v>
      </c>
      <c r="K28" s="436">
        <v>14327.897793</v>
      </c>
    </row>
    <row r="29" spans="1:11">
      <c r="A29" s="188" t="s">
        <v>369</v>
      </c>
      <c r="B29" s="437">
        <v>1904.7227889999999</v>
      </c>
      <c r="C29" s="437">
        <v>1314.9869839999999</v>
      </c>
      <c r="D29" s="437">
        <v>2648.3849340000002</v>
      </c>
      <c r="E29" s="436">
        <v>8052.0209729999997</v>
      </c>
      <c r="F29" s="436">
        <v>4527.2362830000002</v>
      </c>
      <c r="G29" s="436">
        <v>-1835.5978</v>
      </c>
      <c r="H29" s="436">
        <v>3257.4305340000001</v>
      </c>
      <c r="I29" s="436">
        <v>1607.4859610000001</v>
      </c>
      <c r="J29" s="436">
        <v>4268.4419520000001</v>
      </c>
      <c r="K29" s="436">
        <v>498.40717000000001</v>
      </c>
    </row>
    <row r="30" spans="1:11" s="444" customFormat="1">
      <c r="A30" s="446" t="s">
        <v>370</v>
      </c>
      <c r="B30" s="441">
        <v>-18178.588038999998</v>
      </c>
      <c r="C30" s="441">
        <v>-35922.976304999997</v>
      </c>
      <c r="D30" s="441">
        <v>-89580.327212999997</v>
      </c>
      <c r="E30" s="442">
        <v>-52631.146232999999</v>
      </c>
      <c r="F30" s="442">
        <v>-6049.5454950000003</v>
      </c>
      <c r="G30" s="442">
        <v>-47324.834620000001</v>
      </c>
      <c r="H30" s="442">
        <v>-17154.377044000001</v>
      </c>
      <c r="I30" s="442">
        <v>-6939.0491149999998</v>
      </c>
      <c r="J30" s="442">
        <v>5937.2103319999997</v>
      </c>
      <c r="K30" s="442">
        <v>3123.9498440000002</v>
      </c>
    </row>
    <row r="31" spans="1:11">
      <c r="A31" s="188" t="s">
        <v>371</v>
      </c>
      <c r="B31" s="437">
        <v>2690.92</v>
      </c>
      <c r="C31" s="437">
        <v>81996.7595</v>
      </c>
      <c r="D31" s="437">
        <v>0</v>
      </c>
      <c r="E31" s="436">
        <v>55545.198499999999</v>
      </c>
      <c r="F31" s="436">
        <v>0</v>
      </c>
      <c r="G31" s="436">
        <v>0</v>
      </c>
      <c r="H31" s="436">
        <v>0</v>
      </c>
      <c r="I31" s="436">
        <v>0</v>
      </c>
      <c r="J31" s="436">
        <v>0</v>
      </c>
      <c r="K31" s="436">
        <v>0</v>
      </c>
    </row>
    <row r="32" spans="1:11">
      <c r="A32" s="188" t="s">
        <v>372</v>
      </c>
      <c r="B32" s="437">
        <v>0</v>
      </c>
      <c r="C32" s="437">
        <v>0</v>
      </c>
      <c r="D32" s="437">
        <v>0</v>
      </c>
      <c r="E32" s="436">
        <v>-1298.22</v>
      </c>
      <c r="F32" s="436">
        <v>0</v>
      </c>
      <c r="G32" s="436">
        <v>0</v>
      </c>
      <c r="H32" s="436">
        <v>0</v>
      </c>
      <c r="I32" s="436">
        <v>0</v>
      </c>
      <c r="J32" s="436">
        <v>0</v>
      </c>
      <c r="K32" s="436">
        <v>0</v>
      </c>
    </row>
    <row r="33" spans="1:11">
      <c r="A33" s="188" t="s">
        <v>373</v>
      </c>
      <c r="B33" s="437">
        <v>2000</v>
      </c>
      <c r="C33" s="437">
        <v>13700</v>
      </c>
      <c r="D33" s="437">
        <v>44760</v>
      </c>
      <c r="E33" s="436">
        <v>11147.272498</v>
      </c>
      <c r="F33" s="436">
        <v>25207.940320000002</v>
      </c>
      <c r="G33" s="436">
        <v>38300</v>
      </c>
      <c r="H33" s="436">
        <v>83342.949550999998</v>
      </c>
      <c r="I33" s="436">
        <v>101240.611149</v>
      </c>
      <c r="J33" s="436">
        <v>77597.760108999995</v>
      </c>
      <c r="K33" s="436">
        <v>2831.1572879999999</v>
      </c>
    </row>
    <row r="34" spans="1:11">
      <c r="A34" s="188" t="s">
        <v>374</v>
      </c>
      <c r="B34" s="437">
        <v>0</v>
      </c>
      <c r="C34" s="437">
        <v>-15700</v>
      </c>
      <c r="D34" s="437">
        <v>-26760</v>
      </c>
      <c r="E34" s="436">
        <v>-18000</v>
      </c>
      <c r="F34" s="436">
        <v>-36355.212818</v>
      </c>
      <c r="G34" s="436">
        <v>-8300</v>
      </c>
      <c r="H34" s="436">
        <v>-79105</v>
      </c>
      <c r="I34" s="436">
        <v>-104551.62717199999</v>
      </c>
      <c r="J34" s="436">
        <v>-91004.258222000004</v>
      </c>
      <c r="K34" s="436">
        <v>-73663.638653000002</v>
      </c>
    </row>
    <row r="35" spans="1:11">
      <c r="A35" s="188" t="s">
        <v>375</v>
      </c>
      <c r="B35" s="437">
        <v>0</v>
      </c>
      <c r="C35" s="437">
        <v>0</v>
      </c>
      <c r="D35" s="437">
        <v>0</v>
      </c>
      <c r="E35" s="436">
        <v>0</v>
      </c>
      <c r="F35" s="436">
        <v>0</v>
      </c>
      <c r="G35" s="436">
        <v>0</v>
      </c>
      <c r="H35" s="436">
        <v>0</v>
      </c>
      <c r="I35" s="436">
        <v>0</v>
      </c>
      <c r="J35" s="436">
        <v>0</v>
      </c>
      <c r="K35" s="436">
        <v>0</v>
      </c>
    </row>
    <row r="36" spans="1:11">
      <c r="A36" s="188" t="s">
        <v>376</v>
      </c>
      <c r="B36" s="437">
        <v>-5175.4989999999998</v>
      </c>
      <c r="C36" s="437">
        <v>-9586.4514999999992</v>
      </c>
      <c r="D36" s="437">
        <v>-16787.606</v>
      </c>
      <c r="E36" s="436">
        <v>-20154.136999999999</v>
      </c>
      <c r="F36" s="436">
        <v>-20081.874</v>
      </c>
      <c r="G36" s="436">
        <v>-35134.284599999999</v>
      </c>
      <c r="H36" s="436">
        <v>-30131.239399999999</v>
      </c>
      <c r="I36" s="436">
        <v>-15061.213</v>
      </c>
      <c r="J36" s="436">
        <v>-10539.6865</v>
      </c>
      <c r="K36" s="436">
        <v>0</v>
      </c>
    </row>
    <row r="37" spans="1:11">
      <c r="A37" s="188" t="s">
        <v>377</v>
      </c>
      <c r="B37" s="437">
        <v>0</v>
      </c>
      <c r="C37" s="437">
        <v>0</v>
      </c>
      <c r="D37" s="437">
        <v>0</v>
      </c>
      <c r="E37" s="436">
        <v>0</v>
      </c>
      <c r="F37" s="436">
        <v>0</v>
      </c>
      <c r="G37" s="436">
        <v>0</v>
      </c>
      <c r="H37" s="436">
        <v>0</v>
      </c>
      <c r="I37" s="436">
        <v>0</v>
      </c>
      <c r="J37" s="436">
        <v>0</v>
      </c>
      <c r="K37" s="436">
        <v>0</v>
      </c>
    </row>
    <row r="38" spans="1:11" s="444" customFormat="1">
      <c r="A38" s="446" t="s">
        <v>378</v>
      </c>
      <c r="B38" s="441">
        <v>-484.57900000000001</v>
      </c>
      <c r="C38" s="441">
        <v>70410.308000000005</v>
      </c>
      <c r="D38" s="441">
        <v>1212.394</v>
      </c>
      <c r="E38" s="442">
        <v>27240.113998000001</v>
      </c>
      <c r="F38" s="442">
        <v>-31229.146497999998</v>
      </c>
      <c r="G38" s="442">
        <v>-5134.2846</v>
      </c>
      <c r="H38" s="442">
        <v>-25893.289849000001</v>
      </c>
      <c r="I38" s="442">
        <v>-18372.229023</v>
      </c>
      <c r="J38" s="442">
        <v>-23946.184613000001</v>
      </c>
      <c r="K38" s="442">
        <v>-70832.481365</v>
      </c>
    </row>
    <row r="39" spans="1:11">
      <c r="A39" s="188" t="s">
        <v>84</v>
      </c>
      <c r="B39" s="437">
        <v>-1524.918862</v>
      </c>
      <c r="C39" s="437">
        <v>49598.872962000001</v>
      </c>
      <c r="D39" s="437">
        <v>-47870.987071000003</v>
      </c>
      <c r="E39" s="436">
        <v>2454.7698489999998</v>
      </c>
      <c r="F39" s="436">
        <v>18447.896831999999</v>
      </c>
      <c r="G39" s="436">
        <v>-17495.961815999999</v>
      </c>
      <c r="H39" s="436">
        <v>9810.9613449999997</v>
      </c>
      <c r="I39" s="436">
        <v>1217.857939</v>
      </c>
      <c r="J39" s="436">
        <v>-4788.9018450000003</v>
      </c>
      <c r="K39" s="436">
        <v>7385.368297</v>
      </c>
    </row>
    <row r="40" spans="1:11">
      <c r="A40" s="188" t="s">
        <v>85</v>
      </c>
      <c r="B40" s="437">
        <v>4220.5881200000003</v>
      </c>
      <c r="C40" s="437">
        <v>2695.6692579999999</v>
      </c>
      <c r="D40" s="437">
        <v>52294.54522</v>
      </c>
      <c r="E40" s="436">
        <v>4423.5581490000004</v>
      </c>
      <c r="F40" s="436">
        <v>6878.3279979999998</v>
      </c>
      <c r="G40" s="436">
        <v>25326.224829999999</v>
      </c>
      <c r="H40" s="436">
        <v>7830.2630140000001</v>
      </c>
      <c r="I40" s="436">
        <v>17641.224359</v>
      </c>
      <c r="J40" s="436">
        <v>18859.082298000001</v>
      </c>
      <c r="K40" s="436">
        <v>14070.180453000001</v>
      </c>
    </row>
    <row r="41" spans="1:11">
      <c r="A41" s="188" t="s">
        <v>379</v>
      </c>
      <c r="B41" s="437">
        <v>0</v>
      </c>
      <c r="C41" s="437">
        <v>0</v>
      </c>
      <c r="D41" s="437">
        <v>0</v>
      </c>
      <c r="E41" s="436">
        <v>0</v>
      </c>
      <c r="F41" s="436">
        <v>0</v>
      </c>
      <c r="G41" s="436">
        <v>0</v>
      </c>
      <c r="H41" s="436">
        <v>0</v>
      </c>
      <c r="I41" s="436">
        <v>0</v>
      </c>
      <c r="J41" s="436">
        <v>0</v>
      </c>
      <c r="K41" s="436">
        <v>0</v>
      </c>
    </row>
    <row r="42" spans="1:11">
      <c r="A42" s="188" t="s">
        <v>86</v>
      </c>
      <c r="B42" s="437">
        <v>2695.6692579999999</v>
      </c>
      <c r="C42" s="437">
        <v>52294.542220000003</v>
      </c>
      <c r="D42" s="437">
        <v>4423.5581490000004</v>
      </c>
      <c r="E42" s="436">
        <v>6878.3279979999998</v>
      </c>
      <c r="F42" s="436">
        <v>25326.224829999999</v>
      </c>
      <c r="G42" s="436">
        <v>7830.2630140000001</v>
      </c>
      <c r="H42" s="436">
        <v>17641.224359</v>
      </c>
      <c r="I42" s="436">
        <v>18859.082298000001</v>
      </c>
      <c r="J42" s="436">
        <v>14070.180453000001</v>
      </c>
      <c r="K42" s="436">
        <v>21455.548750000002</v>
      </c>
    </row>
  </sheetData>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dimension ref="A1:R28"/>
  <sheetViews>
    <sheetView workbookViewId="0">
      <pane xSplit="1" ySplit="4" topLeftCell="L5" activePane="bottomRight" state="frozen"/>
      <selection pane="topRight" activeCell="B1" sqref="B1"/>
      <selection pane="bottomLeft" activeCell="A5" sqref="A5"/>
      <selection pane="bottomRight" activeCell="Q10" sqref="Q10"/>
    </sheetView>
  </sheetViews>
  <sheetFormatPr defaultRowHeight="15"/>
  <cols>
    <col min="1" max="1" width="38.28515625" bestFit="1" customWidth="1"/>
    <col min="2" max="8" width="13.85546875" bestFit="1" customWidth="1"/>
    <col min="9" max="13" width="13.85546875" style="185" bestFit="1" customWidth="1"/>
    <col min="14" max="14" width="13.28515625" bestFit="1" customWidth="1"/>
    <col min="16" max="18" width="9.140625" style="185"/>
  </cols>
  <sheetData>
    <row r="1" spans="1:16" s="185" customFormat="1">
      <c r="A1" s="185">
        <f>ACF!A1</f>
        <v>0</v>
      </c>
    </row>
    <row r="2" spans="1:16" ht="18">
      <c r="A2" s="174" t="s">
        <v>87</v>
      </c>
      <c r="B2" s="173"/>
      <c r="C2" s="173"/>
      <c r="D2" s="173"/>
      <c r="E2" s="173"/>
      <c r="F2" s="173"/>
      <c r="G2" s="173"/>
      <c r="H2" s="173"/>
    </row>
    <row r="4" spans="1:16">
      <c r="A4" s="175" t="s">
        <v>88</v>
      </c>
      <c r="B4" s="175" t="s">
        <v>343</v>
      </c>
      <c r="C4" s="175" t="s">
        <v>344</v>
      </c>
      <c r="D4" s="175" t="s">
        <v>89</v>
      </c>
      <c r="E4" s="175" t="s">
        <v>90</v>
      </c>
      <c r="F4" s="175" t="s">
        <v>91</v>
      </c>
      <c r="G4" s="175" t="s">
        <v>92</v>
      </c>
      <c r="H4" s="175" t="s">
        <v>93</v>
      </c>
      <c r="I4" s="183" t="s">
        <v>768</v>
      </c>
      <c r="J4" s="183" t="s">
        <v>767</v>
      </c>
      <c r="K4" s="183" t="s">
        <v>766</v>
      </c>
      <c r="L4" s="183" t="s">
        <v>557</v>
      </c>
      <c r="M4" s="183" t="s">
        <v>556</v>
      </c>
      <c r="N4" s="183" t="s">
        <v>786</v>
      </c>
      <c r="O4" s="183" t="s">
        <v>791</v>
      </c>
      <c r="P4" s="183" t="s">
        <v>849</v>
      </c>
    </row>
    <row r="5" spans="1:16">
      <c r="A5" s="176" t="s">
        <v>94</v>
      </c>
      <c r="B5" s="436">
        <v>45375.073319000003</v>
      </c>
      <c r="C5" s="436">
        <v>71912.688922999994</v>
      </c>
      <c r="D5" s="436">
        <v>61651.204873000002</v>
      </c>
      <c r="E5" s="436">
        <v>57369.327972999999</v>
      </c>
      <c r="F5" s="436">
        <v>46858.499459999999</v>
      </c>
      <c r="G5" s="436">
        <v>69951.840935999993</v>
      </c>
      <c r="H5" s="436">
        <v>53796.027313999999</v>
      </c>
      <c r="I5" s="436">
        <v>48869.246664999999</v>
      </c>
      <c r="J5" s="436">
        <v>49244.882944999998</v>
      </c>
      <c r="K5" s="436">
        <v>61649.498106999999</v>
      </c>
      <c r="L5" s="436">
        <v>54967.471674</v>
      </c>
      <c r="M5" s="436">
        <v>50137.544371000004</v>
      </c>
      <c r="N5" s="436">
        <v>36665.519331000003</v>
      </c>
      <c r="O5" s="436">
        <v>35732.990695</v>
      </c>
      <c r="P5" s="436">
        <v>35147.747498999997</v>
      </c>
    </row>
    <row r="6" spans="1:16">
      <c r="A6" s="176" t="s">
        <v>95</v>
      </c>
      <c r="B6" s="436">
        <v>0</v>
      </c>
      <c r="C6" s="436">
        <v>0</v>
      </c>
      <c r="D6" s="436">
        <v>0</v>
      </c>
      <c r="E6" s="436">
        <v>0</v>
      </c>
      <c r="F6" s="436">
        <v>0</v>
      </c>
      <c r="G6" s="436">
        <v>0</v>
      </c>
      <c r="H6" s="436">
        <v>0</v>
      </c>
      <c r="I6" s="436">
        <v>0</v>
      </c>
      <c r="J6" s="436">
        <v>0</v>
      </c>
      <c r="K6" s="436">
        <v>0</v>
      </c>
      <c r="L6" s="436">
        <v>0</v>
      </c>
      <c r="M6" s="436">
        <v>0</v>
      </c>
      <c r="N6" s="436">
        <v>0</v>
      </c>
      <c r="O6" s="436">
        <v>0</v>
      </c>
      <c r="P6" s="436">
        <v>0</v>
      </c>
    </row>
    <row r="7" spans="1:16">
      <c r="A7" s="176" t="s">
        <v>96</v>
      </c>
      <c r="B7" s="436">
        <v>45375.073319000003</v>
      </c>
      <c r="C7" s="436">
        <v>71912.688922999994</v>
      </c>
      <c r="D7" s="436">
        <v>61651.204873000002</v>
      </c>
      <c r="E7" s="436">
        <v>57369.327972999999</v>
      </c>
      <c r="F7" s="436">
        <v>46858.499459999999</v>
      </c>
      <c r="G7" s="436">
        <v>69951.840935999993</v>
      </c>
      <c r="H7" s="436">
        <v>53796.027313999999</v>
      </c>
      <c r="I7" s="436">
        <v>48869.246664999999</v>
      </c>
      <c r="J7" s="436">
        <v>49244.882944999998</v>
      </c>
      <c r="K7" s="436">
        <v>61649.498106999999</v>
      </c>
      <c r="L7" s="436">
        <v>54967.471674</v>
      </c>
      <c r="M7" s="436">
        <v>50137.544371000004</v>
      </c>
      <c r="N7" s="436">
        <v>36665.519331000003</v>
      </c>
      <c r="O7" s="436">
        <v>35732.990695</v>
      </c>
      <c r="P7" s="436">
        <v>35147.747498999997</v>
      </c>
    </row>
    <row r="8" spans="1:16">
      <c r="A8" s="176" t="s">
        <v>78</v>
      </c>
      <c r="B8" s="436">
        <v>24166.220152000002</v>
      </c>
      <c r="C8" s="436">
        <v>41957.882691999999</v>
      </c>
      <c r="D8" s="436">
        <v>40016.356269999997</v>
      </c>
      <c r="E8" s="436">
        <v>41158.626142000001</v>
      </c>
      <c r="F8" s="436">
        <v>28022.630875999999</v>
      </c>
      <c r="G8" s="436">
        <v>43389.506101999999</v>
      </c>
      <c r="H8" s="436">
        <v>37349.294994000003</v>
      </c>
      <c r="I8" s="436">
        <v>30140.188461000002</v>
      </c>
      <c r="J8" s="436">
        <v>43129.529168000001</v>
      </c>
      <c r="K8" s="436">
        <v>47957.975272000003</v>
      </c>
      <c r="L8" s="436">
        <v>44716.675249</v>
      </c>
      <c r="M8" s="436">
        <v>47787.667877</v>
      </c>
      <c r="N8" s="436">
        <v>30621.324099000001</v>
      </c>
      <c r="O8" s="436">
        <v>-36561.490038999997</v>
      </c>
      <c r="P8" s="436">
        <v>-25888.264854000001</v>
      </c>
    </row>
    <row r="9" spans="1:16">
      <c r="A9" s="176" t="s">
        <v>97</v>
      </c>
      <c r="B9" s="436">
        <v>21208.853167000001</v>
      </c>
      <c r="C9" s="436">
        <v>29954.806230999999</v>
      </c>
      <c r="D9" s="436">
        <v>21634.848602999999</v>
      </c>
      <c r="E9" s="436">
        <v>16210.701831</v>
      </c>
      <c r="F9" s="436">
        <v>18835.868584</v>
      </c>
      <c r="G9" s="436">
        <v>26562.334834000001</v>
      </c>
      <c r="H9" s="436">
        <v>16446.732319999999</v>
      </c>
      <c r="I9" s="436">
        <v>18729.058204000001</v>
      </c>
      <c r="J9" s="436">
        <v>6115.3537770000003</v>
      </c>
      <c r="K9" s="436">
        <v>13691.522835</v>
      </c>
      <c r="L9" s="436">
        <v>10250.796425</v>
      </c>
      <c r="M9" s="436">
        <v>2349.8764940000001</v>
      </c>
      <c r="N9" s="436">
        <v>6044.195232</v>
      </c>
      <c r="O9" s="436">
        <v>-828.49934399999995</v>
      </c>
      <c r="P9" s="436">
        <v>9259.482645</v>
      </c>
    </row>
    <row r="10" spans="1:16">
      <c r="A10" s="176" t="s">
        <v>98</v>
      </c>
      <c r="B10" s="436">
        <v>793.27857800000004</v>
      </c>
      <c r="C10" s="436">
        <v>7669.597186</v>
      </c>
      <c r="D10" s="436">
        <v>1050.999354</v>
      </c>
      <c r="E10" s="436">
        <v>1087.3922749999999</v>
      </c>
      <c r="F10" s="436">
        <v>2277.1279</v>
      </c>
      <c r="G10" s="436">
        <v>3392.030557</v>
      </c>
      <c r="H10" s="436">
        <v>1538.6548399999999</v>
      </c>
      <c r="I10" s="436">
        <v>1829.8421739999999</v>
      </c>
      <c r="J10" s="436">
        <v>419.57266499999997</v>
      </c>
      <c r="K10" s="436">
        <v>901.70128299999999</v>
      </c>
      <c r="L10" s="436">
        <v>890.490635</v>
      </c>
      <c r="M10" s="436">
        <v>914.65545699999996</v>
      </c>
      <c r="N10" s="436">
        <v>1263.8697999999999</v>
      </c>
      <c r="O10" s="436">
        <v>895.15780099999995</v>
      </c>
      <c r="P10" s="436">
        <v>1462.8569849999999</v>
      </c>
    </row>
    <row r="11" spans="1:16">
      <c r="A11" s="176" t="s">
        <v>79</v>
      </c>
      <c r="B11" s="436">
        <v>0</v>
      </c>
      <c r="C11" s="436">
        <v>1075.7504160000001</v>
      </c>
      <c r="D11" s="436">
        <v>393.96727800000002</v>
      </c>
      <c r="E11" s="436">
        <v>1609.6134320000001</v>
      </c>
      <c r="F11" s="436">
        <v>1597.5611429999999</v>
      </c>
      <c r="G11" s="436">
        <v>3120.0564979999999</v>
      </c>
      <c r="H11" s="436">
        <v>2458.6218359999998</v>
      </c>
      <c r="I11" s="436">
        <v>2577.721403</v>
      </c>
      <c r="J11" s="436">
        <v>1323.1563510000001</v>
      </c>
      <c r="K11" s="436">
        <v>547.04597100000001</v>
      </c>
      <c r="L11" s="436">
        <v>1416.7469140000001</v>
      </c>
      <c r="M11" s="436">
        <v>728.13343099999997</v>
      </c>
      <c r="N11" s="436">
        <v>2525.2130200000001</v>
      </c>
      <c r="O11" s="436">
        <v>-1737.6673579999999</v>
      </c>
      <c r="P11" s="436">
        <v>-492.76418200000001</v>
      </c>
    </row>
    <row r="12" spans="1:16">
      <c r="A12" s="176" t="s">
        <v>99</v>
      </c>
      <c r="B12" s="436">
        <v>0</v>
      </c>
      <c r="C12" s="436">
        <v>0</v>
      </c>
      <c r="D12" s="436">
        <v>0</v>
      </c>
      <c r="E12" s="436">
        <v>885.97222099999999</v>
      </c>
      <c r="F12" s="436">
        <v>1594.1666680000001</v>
      </c>
      <c r="G12" s="436">
        <v>2162.1290979999999</v>
      </c>
      <c r="H12" s="436">
        <v>2456.387025</v>
      </c>
      <c r="I12" s="436">
        <v>2385.4611399999999</v>
      </c>
      <c r="J12" s="436">
        <v>1316.467067</v>
      </c>
      <c r="K12" s="436">
        <v>1286.3569620000001</v>
      </c>
      <c r="L12" s="436">
        <v>1415.3841030000001</v>
      </c>
      <c r="M12" s="436">
        <v>152.980763</v>
      </c>
      <c r="N12" s="436">
        <v>889.84662700000001</v>
      </c>
      <c r="O12" s="436">
        <v>-927.52747199999999</v>
      </c>
      <c r="P12" s="436">
        <v>-483.41521499999999</v>
      </c>
    </row>
    <row r="13" spans="1:16">
      <c r="A13" s="176" t="s">
        <v>80</v>
      </c>
      <c r="B13" s="436">
        <v>1989.1643630000001</v>
      </c>
      <c r="C13" s="436">
        <v>2547.0555730000001</v>
      </c>
      <c r="D13" s="436">
        <v>1986.1069210000001</v>
      </c>
      <c r="E13" s="436">
        <v>2019.935422</v>
      </c>
      <c r="F13" s="436">
        <v>1360.3542629999999</v>
      </c>
      <c r="G13" s="436">
        <v>2235.5278979999998</v>
      </c>
      <c r="H13" s="436">
        <v>1510.08998</v>
      </c>
      <c r="I13" s="436">
        <v>1422.293189</v>
      </c>
      <c r="J13" s="436">
        <v>1094.561406</v>
      </c>
      <c r="K13" s="436">
        <v>1219.7867940000001</v>
      </c>
      <c r="L13" s="436">
        <v>872.76149499999997</v>
      </c>
      <c r="M13" s="436">
        <v>630.42935699999998</v>
      </c>
      <c r="N13" s="436">
        <v>699.73728800000004</v>
      </c>
      <c r="O13" s="436">
        <v>-412.240341</v>
      </c>
      <c r="P13" s="436">
        <v>-1.818182</v>
      </c>
    </row>
    <row r="14" spans="1:16">
      <c r="A14" s="176" t="s">
        <v>100</v>
      </c>
      <c r="B14" s="436">
        <v>2899.0846110000002</v>
      </c>
      <c r="C14" s="436">
        <v>5032.5884470000001</v>
      </c>
      <c r="D14" s="436">
        <v>4103.2710319999996</v>
      </c>
      <c r="E14" s="436">
        <v>5231.6112540000004</v>
      </c>
      <c r="F14" s="436">
        <v>3588.708842</v>
      </c>
      <c r="G14" s="436">
        <v>6568.9543249999997</v>
      </c>
      <c r="H14" s="436">
        <v>4265.1486779999996</v>
      </c>
      <c r="I14" s="436">
        <v>3149.9408060000001</v>
      </c>
      <c r="J14" s="436">
        <v>2369.2594180000001</v>
      </c>
      <c r="K14" s="436">
        <v>3508.3826089999998</v>
      </c>
      <c r="L14" s="436">
        <v>1856.2408350000001</v>
      </c>
      <c r="M14" s="436">
        <v>4029.7642740000001</v>
      </c>
      <c r="N14" s="436">
        <v>1679.7226760000001</v>
      </c>
      <c r="O14" s="436">
        <v>-2299.9888019999999</v>
      </c>
      <c r="P14" s="436">
        <v>-1745.8568600000001</v>
      </c>
    </row>
    <row r="15" spans="1:16">
      <c r="A15" s="176" t="s">
        <v>101</v>
      </c>
      <c r="B15" s="436">
        <v>17113.882771000001</v>
      </c>
      <c r="C15" s="436">
        <v>28969.008980999999</v>
      </c>
      <c r="D15" s="436">
        <v>16202.502726000001</v>
      </c>
      <c r="E15" s="436">
        <v>8436.9339980000004</v>
      </c>
      <c r="F15" s="436">
        <v>14566.372235999999</v>
      </c>
      <c r="G15" s="436">
        <v>18029.826669999999</v>
      </c>
      <c r="H15" s="436">
        <v>9751.5266659999998</v>
      </c>
      <c r="I15" s="436">
        <v>13408.94498</v>
      </c>
      <c r="J15" s="436">
        <v>1747.949267</v>
      </c>
      <c r="K15" s="436">
        <v>9318.0087440000007</v>
      </c>
      <c r="L15" s="436">
        <v>6995.537816</v>
      </c>
      <c r="M15" s="436">
        <v>667.52824899999996</v>
      </c>
      <c r="N15" s="436">
        <v>2403.3920480000002</v>
      </c>
      <c r="O15" s="436">
        <v>-4383.2380439999997</v>
      </c>
      <c r="P15" s="436">
        <v>8481.9004060000007</v>
      </c>
    </row>
    <row r="16" spans="1:16">
      <c r="A16" s="176" t="s">
        <v>81</v>
      </c>
      <c r="B16" s="436">
        <v>0</v>
      </c>
      <c r="C16" s="436">
        <v>0</v>
      </c>
      <c r="D16" s="436">
        <v>0</v>
      </c>
      <c r="E16" s="436">
        <v>0</v>
      </c>
      <c r="F16" s="436">
        <v>0</v>
      </c>
      <c r="G16" s="436">
        <v>0</v>
      </c>
      <c r="H16" s="436">
        <v>0</v>
      </c>
      <c r="I16" s="436">
        <v>133.35718199999999</v>
      </c>
      <c r="J16" s="436">
        <v>0</v>
      </c>
      <c r="K16" s="436">
        <v>0</v>
      </c>
      <c r="L16" s="436">
        <v>0</v>
      </c>
      <c r="M16" s="436">
        <v>1979.0279760000001</v>
      </c>
      <c r="N16" s="436">
        <v>0</v>
      </c>
      <c r="O16" s="436">
        <v>2817.8184769999998</v>
      </c>
      <c r="P16" s="436">
        <v>0</v>
      </c>
    </row>
    <row r="17" spans="1:16">
      <c r="A17" s="176" t="s">
        <v>82</v>
      </c>
      <c r="B17" s="436">
        <v>0</v>
      </c>
      <c r="C17" s="436">
        <v>0</v>
      </c>
      <c r="D17" s="436">
        <v>0</v>
      </c>
      <c r="E17" s="436">
        <v>0</v>
      </c>
      <c r="F17" s="436">
        <v>0</v>
      </c>
      <c r="G17" s="436">
        <v>1681.7680580000001</v>
      </c>
      <c r="H17" s="436">
        <v>0</v>
      </c>
      <c r="I17" s="436">
        <v>0</v>
      </c>
      <c r="J17" s="436">
        <v>0</v>
      </c>
      <c r="K17" s="436">
        <v>36.087899999999998</v>
      </c>
      <c r="L17" s="436">
        <v>0</v>
      </c>
      <c r="M17" s="436">
        <v>0</v>
      </c>
      <c r="N17" s="436">
        <v>0</v>
      </c>
      <c r="O17" s="436">
        <v>0</v>
      </c>
      <c r="P17" s="436">
        <v>0</v>
      </c>
    </row>
    <row r="18" spans="1:16">
      <c r="A18" s="176" t="s">
        <v>102</v>
      </c>
      <c r="B18" s="436">
        <v>0</v>
      </c>
      <c r="C18" s="436">
        <v>0</v>
      </c>
      <c r="D18" s="436">
        <v>0</v>
      </c>
      <c r="E18" s="436">
        <v>0</v>
      </c>
      <c r="F18" s="436">
        <v>0</v>
      </c>
      <c r="G18" s="436">
        <v>1681.7680580000001</v>
      </c>
      <c r="H18" s="436">
        <v>0</v>
      </c>
      <c r="I18" s="436">
        <v>133.35718199999999</v>
      </c>
      <c r="J18" s="436">
        <v>0</v>
      </c>
      <c r="K18" s="436">
        <v>36.087899999999998</v>
      </c>
      <c r="L18" s="436">
        <v>0</v>
      </c>
      <c r="M18" s="436">
        <v>1979.0279760000001</v>
      </c>
      <c r="N18" s="436">
        <v>0</v>
      </c>
      <c r="O18" s="436">
        <v>2817.8184769999998</v>
      </c>
      <c r="P18" s="436">
        <v>0</v>
      </c>
    </row>
    <row r="19" spans="1:16">
      <c r="A19" s="176" t="s">
        <v>103</v>
      </c>
      <c r="B19" s="436">
        <v>0</v>
      </c>
      <c r="C19" s="436">
        <v>0</v>
      </c>
      <c r="D19" s="436">
        <v>0</v>
      </c>
      <c r="E19" s="436">
        <v>0</v>
      </c>
      <c r="F19" s="436">
        <v>0</v>
      </c>
      <c r="G19" s="436">
        <v>0</v>
      </c>
      <c r="H19" s="436">
        <v>0</v>
      </c>
      <c r="I19" s="436">
        <v>0</v>
      </c>
      <c r="J19" s="436">
        <v>0</v>
      </c>
      <c r="K19" s="436">
        <v>0</v>
      </c>
      <c r="L19" s="436">
        <v>0</v>
      </c>
      <c r="M19" s="436">
        <v>0</v>
      </c>
      <c r="N19" s="436">
        <v>0</v>
      </c>
      <c r="O19" s="436">
        <v>0</v>
      </c>
      <c r="P19" s="436">
        <v>0</v>
      </c>
    </row>
    <row r="20" spans="1:16">
      <c r="A20" s="176" t="s">
        <v>104</v>
      </c>
      <c r="B20" s="436">
        <v>17113.882771000001</v>
      </c>
      <c r="C20" s="436">
        <v>28969.008980999999</v>
      </c>
      <c r="D20" s="436">
        <v>16202.502726000001</v>
      </c>
      <c r="E20" s="436">
        <v>8436.9339980000004</v>
      </c>
      <c r="F20" s="436">
        <v>14566.372235999999</v>
      </c>
      <c r="G20" s="436">
        <v>16348.058612000001</v>
      </c>
      <c r="H20" s="436">
        <v>9751.5266659999998</v>
      </c>
      <c r="I20" s="436">
        <v>13542.302162</v>
      </c>
      <c r="J20" s="436">
        <v>1747.949267</v>
      </c>
      <c r="K20" s="436">
        <v>9281.9208440000002</v>
      </c>
      <c r="L20" s="436">
        <v>6995.537816</v>
      </c>
      <c r="M20" s="436">
        <v>1311.4997269999999</v>
      </c>
      <c r="N20" s="436">
        <v>2403.3920480000002</v>
      </c>
      <c r="O20" s="436">
        <v>-1565.4195669999999</v>
      </c>
      <c r="P20" s="436">
        <v>8481.9004060000007</v>
      </c>
    </row>
    <row r="21" spans="1:16">
      <c r="A21" s="176" t="s">
        <v>105</v>
      </c>
      <c r="B21" s="436">
        <v>4236.5093669999997</v>
      </c>
      <c r="C21" s="436">
        <v>7171.2511699999995</v>
      </c>
      <c r="D21" s="436">
        <v>3945.561181</v>
      </c>
      <c r="E21" s="436">
        <v>1996.2874509999999</v>
      </c>
      <c r="F21" s="436">
        <v>3527.2341710000001</v>
      </c>
      <c r="G21" s="436">
        <v>4686.2179400000005</v>
      </c>
      <c r="H21" s="436">
        <v>2437.8770420000001</v>
      </c>
      <c r="I21" s="436">
        <v>1385.9293680000001</v>
      </c>
      <c r="J21" s="436">
        <v>436.98731700000002</v>
      </c>
      <c r="K21" s="436">
        <v>1439.2050099999999</v>
      </c>
      <c r="L21" s="436">
        <v>1138.195768</v>
      </c>
      <c r="M21" s="436">
        <v>200.826032</v>
      </c>
      <c r="N21" s="436">
        <v>427.626262</v>
      </c>
      <c r="O21" s="436">
        <v>427.626262</v>
      </c>
      <c r="P21" s="436">
        <v>-2027.1659709999999</v>
      </c>
    </row>
    <row r="22" spans="1:16">
      <c r="A22" s="176" t="s">
        <v>106</v>
      </c>
      <c r="B22" s="436">
        <v>0</v>
      </c>
      <c r="C22" s="436">
        <v>0</v>
      </c>
      <c r="D22" s="436">
        <v>0</v>
      </c>
      <c r="E22" s="436">
        <v>0</v>
      </c>
      <c r="F22" s="436">
        <v>0</v>
      </c>
      <c r="G22" s="436">
        <v>0</v>
      </c>
      <c r="H22" s="436">
        <v>0</v>
      </c>
      <c r="I22" s="436">
        <v>0</v>
      </c>
      <c r="J22" s="436">
        <v>0</v>
      </c>
      <c r="K22" s="436">
        <v>0</v>
      </c>
      <c r="L22" s="436">
        <v>0</v>
      </c>
      <c r="M22" s="436">
        <v>0</v>
      </c>
      <c r="N22" s="436">
        <v>0</v>
      </c>
      <c r="O22" s="436">
        <v>0</v>
      </c>
      <c r="P22" s="436">
        <v>0</v>
      </c>
    </row>
    <row r="23" spans="1:16">
      <c r="A23" s="176" t="s">
        <v>107</v>
      </c>
      <c r="B23" s="436">
        <v>4236.5093669999997</v>
      </c>
      <c r="C23" s="436">
        <v>7171.2511699999995</v>
      </c>
      <c r="D23" s="436">
        <v>3945.561181</v>
      </c>
      <c r="E23" s="436">
        <v>1996.2874509999999</v>
      </c>
      <c r="F23" s="436">
        <v>3527.2341710000001</v>
      </c>
      <c r="G23" s="436">
        <v>4686.2179400000005</v>
      </c>
      <c r="H23" s="436">
        <v>2437.8770420000001</v>
      </c>
      <c r="I23" s="436">
        <v>1385.9293680000001</v>
      </c>
      <c r="J23" s="436">
        <v>436.98731700000002</v>
      </c>
      <c r="K23" s="436">
        <v>1439.2050099999999</v>
      </c>
      <c r="L23" s="436">
        <v>1138.195768</v>
      </c>
      <c r="M23" s="436">
        <v>200.826032</v>
      </c>
      <c r="N23" s="436">
        <v>427.626262</v>
      </c>
      <c r="O23" s="436">
        <v>427.626262</v>
      </c>
      <c r="P23" s="436">
        <v>-2027.1659709999999</v>
      </c>
    </row>
    <row r="24" spans="1:16">
      <c r="A24" s="176" t="s">
        <v>108</v>
      </c>
      <c r="B24" s="436">
        <v>12877.373404</v>
      </c>
      <c r="C24" s="436">
        <v>21797.757810999999</v>
      </c>
      <c r="D24" s="436">
        <v>12256.941545</v>
      </c>
      <c r="E24" s="436">
        <v>6440.6465470000003</v>
      </c>
      <c r="F24" s="436">
        <v>11039.138064999999</v>
      </c>
      <c r="G24" s="436">
        <v>11661.840672</v>
      </c>
      <c r="H24" s="436">
        <v>7313.6496239999997</v>
      </c>
      <c r="I24" s="436">
        <v>14928.231529999999</v>
      </c>
      <c r="J24" s="436">
        <v>1310.9619499999999</v>
      </c>
      <c r="K24" s="436">
        <v>7842.7158339999996</v>
      </c>
      <c r="L24" s="436">
        <v>5857.3420480000004</v>
      </c>
      <c r="M24" s="436">
        <v>1110.673695</v>
      </c>
      <c r="N24" s="436">
        <v>1975.7657859999999</v>
      </c>
      <c r="O24" s="436">
        <v>-1137.7933049999999</v>
      </c>
      <c r="P24" s="436">
        <v>6454.7344350000003</v>
      </c>
    </row>
    <row r="25" spans="1:16">
      <c r="A25" s="176" t="s">
        <v>109</v>
      </c>
      <c r="B25" s="436">
        <v>0</v>
      </c>
      <c r="C25" s="436">
        <v>0</v>
      </c>
      <c r="D25" s="436">
        <v>0</v>
      </c>
      <c r="E25" s="436">
        <v>0</v>
      </c>
      <c r="F25" s="436">
        <v>0</v>
      </c>
      <c r="G25" s="436">
        <v>0</v>
      </c>
      <c r="H25" s="436">
        <v>0</v>
      </c>
      <c r="I25" s="436">
        <v>0</v>
      </c>
      <c r="J25" s="436">
        <v>0</v>
      </c>
      <c r="K25" s="436">
        <v>0</v>
      </c>
      <c r="L25" s="436">
        <v>0</v>
      </c>
      <c r="M25" s="436">
        <v>0</v>
      </c>
      <c r="N25" s="436">
        <v>0</v>
      </c>
      <c r="O25" s="436">
        <v>0</v>
      </c>
      <c r="P25" s="436">
        <v>0</v>
      </c>
    </row>
    <row r="26" spans="1:16">
      <c r="A26" s="176" t="s">
        <v>110</v>
      </c>
      <c r="B26" s="436">
        <v>12877.373404</v>
      </c>
      <c r="C26" s="436">
        <v>21797.757810999999</v>
      </c>
      <c r="D26" s="436">
        <v>12256.941545</v>
      </c>
      <c r="E26" s="436">
        <v>6440.6465470000003</v>
      </c>
      <c r="F26" s="436">
        <v>11039.138064999999</v>
      </c>
      <c r="G26" s="436">
        <v>11661.840672</v>
      </c>
      <c r="H26" s="436">
        <v>7313.6496239999997</v>
      </c>
      <c r="I26" s="436">
        <v>14928.231529999999</v>
      </c>
      <c r="J26" s="436">
        <v>1310.9619499999999</v>
      </c>
      <c r="K26" s="436">
        <v>7842.7158339999996</v>
      </c>
      <c r="L26" s="436">
        <v>5857.3420480000004</v>
      </c>
      <c r="M26" s="436">
        <v>1110.673695</v>
      </c>
      <c r="N26" s="436">
        <v>1975.7657859999999</v>
      </c>
      <c r="O26" s="436">
        <v>-1137.7933049999999</v>
      </c>
      <c r="P26" s="436">
        <v>6454.7344350000003</v>
      </c>
    </row>
    <row r="27" spans="1:16">
      <c r="A27" s="176" t="s">
        <v>111</v>
      </c>
      <c r="B27" s="436">
        <v>1.2819999999999999E-3</v>
      </c>
      <c r="C27" s="436">
        <v>2.1710000000000002E-3</v>
      </c>
      <c r="D27" s="436">
        <v>1.2210000000000001E-3</v>
      </c>
      <c r="E27" s="436">
        <v>4.28E-4</v>
      </c>
      <c r="F27" s="436">
        <v>7.3300000000000004E-4</v>
      </c>
      <c r="G27" s="436">
        <v>7.7399999999999995E-4</v>
      </c>
      <c r="H27" s="436">
        <v>5.8600000000000004E-4</v>
      </c>
      <c r="I27" s="436">
        <v>9.9099999999999991E-4</v>
      </c>
      <c r="J27" s="436">
        <v>8.7000000000000001E-5</v>
      </c>
      <c r="K27" s="436">
        <v>5.2099999999999998E-4</v>
      </c>
      <c r="L27" s="436">
        <v>3.8900000000000002E-4</v>
      </c>
      <c r="M27" s="436">
        <v>7.3999999999999996E-5</v>
      </c>
      <c r="N27" s="436">
        <v>1.3100000000000001E-4</v>
      </c>
      <c r="O27" s="436">
        <v>-7.4999999999999993E-5</v>
      </c>
      <c r="P27" s="436">
        <v>4.2900000000000002E-4</v>
      </c>
    </row>
    <row r="28" spans="1:16">
      <c r="A28" s="176" t="s">
        <v>112</v>
      </c>
      <c r="B28" s="436">
        <v>0</v>
      </c>
      <c r="C28" s="436">
        <v>0</v>
      </c>
      <c r="D28" s="436">
        <v>0</v>
      </c>
      <c r="E28" s="436">
        <v>0</v>
      </c>
      <c r="F28" s="436">
        <v>0</v>
      </c>
      <c r="G28" s="436">
        <v>0</v>
      </c>
      <c r="H28" s="436">
        <v>0</v>
      </c>
      <c r="I28" s="436">
        <v>0</v>
      </c>
      <c r="J28" s="436">
        <v>0</v>
      </c>
      <c r="K28" s="436">
        <v>0</v>
      </c>
      <c r="L28" s="436">
        <v>0</v>
      </c>
      <c r="M28" s="436">
        <v>0</v>
      </c>
      <c r="N28" s="436">
        <v>0</v>
      </c>
      <c r="O28" s="436">
        <v>0</v>
      </c>
      <c r="P28" s="436">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P100"/>
  <sheetViews>
    <sheetView workbookViewId="0">
      <pane xSplit="1" ySplit="4" topLeftCell="I5" activePane="bottomRight" state="frozen"/>
      <selection pane="topRight" activeCell="B1" sqref="B1"/>
      <selection pane="bottomLeft" activeCell="A5" sqref="A5"/>
      <selection pane="bottomRight" activeCell="P1" sqref="P1:P1048576"/>
    </sheetView>
  </sheetViews>
  <sheetFormatPr defaultRowHeight="15"/>
  <cols>
    <col min="1" max="1" width="29.7109375" style="185" customWidth="1"/>
    <col min="2" max="8" width="14.5703125" customWidth="1"/>
    <col min="9" max="13" width="14.5703125" style="185" customWidth="1"/>
    <col min="15" max="15" width="9.140625" style="185"/>
    <col min="16" max="16" width="12" style="185" customWidth="1"/>
  </cols>
  <sheetData>
    <row r="1" spans="1:16" s="185" customFormat="1">
      <c r="A1" s="185">
        <f>[1]Multiple!A1</f>
        <v>0</v>
      </c>
    </row>
    <row r="2" spans="1:16" ht="18">
      <c r="A2" s="187" t="s">
        <v>113</v>
      </c>
      <c r="B2" s="177"/>
      <c r="C2" s="177"/>
      <c r="D2" s="177"/>
      <c r="E2" s="177"/>
      <c r="F2" s="177"/>
      <c r="G2" s="177"/>
      <c r="H2" s="177"/>
    </row>
    <row r="4" spans="1:16">
      <c r="A4" s="183" t="s">
        <v>88</v>
      </c>
      <c r="B4" s="178" t="s">
        <v>343</v>
      </c>
      <c r="C4" s="178" t="s">
        <v>344</v>
      </c>
      <c r="D4" s="178" t="s">
        <v>89</v>
      </c>
      <c r="E4" s="178" t="s">
        <v>90</v>
      </c>
      <c r="F4" s="178" t="s">
        <v>91</v>
      </c>
      <c r="G4" s="178" t="s">
        <v>92</v>
      </c>
      <c r="H4" s="178" t="s">
        <v>93</v>
      </c>
      <c r="I4" s="183" t="s">
        <v>768</v>
      </c>
      <c r="J4" s="183" t="s">
        <v>767</v>
      </c>
      <c r="K4" s="183" t="s">
        <v>766</v>
      </c>
      <c r="L4" s="183" t="s">
        <v>557</v>
      </c>
      <c r="M4" s="183" t="s">
        <v>556</v>
      </c>
      <c r="N4" s="183" t="s">
        <v>786</v>
      </c>
      <c r="O4" s="183" t="s">
        <v>791</v>
      </c>
      <c r="P4" s="183" t="s">
        <v>849</v>
      </c>
    </row>
    <row r="5" spans="1:16">
      <c r="A5" s="440" t="s">
        <v>114</v>
      </c>
      <c r="B5" s="442">
        <v>149057.298542</v>
      </c>
      <c r="C5" s="442">
        <v>135314.54943799999</v>
      </c>
      <c r="D5" s="442">
        <v>123992.293233</v>
      </c>
      <c r="E5" s="442">
        <v>134239.773051</v>
      </c>
      <c r="F5" s="442">
        <v>128852.49017799999</v>
      </c>
      <c r="G5" s="442">
        <v>158453.08199899999</v>
      </c>
      <c r="H5" s="442">
        <v>134491.266638</v>
      </c>
      <c r="I5" s="442">
        <v>148487.88136999999</v>
      </c>
      <c r="J5" s="442">
        <v>127675.446536</v>
      </c>
      <c r="K5" s="442">
        <v>114067.013173</v>
      </c>
      <c r="L5" s="442">
        <v>109571.407227</v>
      </c>
      <c r="M5" s="442">
        <v>112610.713581</v>
      </c>
      <c r="N5" s="442">
        <v>119077.492383</v>
      </c>
      <c r="O5" s="442">
        <v>96025.730966000003</v>
      </c>
      <c r="P5" s="442">
        <v>88769.066221000001</v>
      </c>
    </row>
    <row r="6" spans="1:16">
      <c r="A6" s="439" t="s">
        <v>115</v>
      </c>
      <c r="B6" s="442">
        <v>25393.911988</v>
      </c>
      <c r="C6" s="442">
        <v>18628.560022000001</v>
      </c>
      <c r="D6" s="442">
        <v>16934.014331999999</v>
      </c>
      <c r="E6" s="442">
        <v>7830.2630140000001</v>
      </c>
      <c r="F6" s="442">
        <v>13764.108785</v>
      </c>
      <c r="G6" s="442">
        <v>23094.325461</v>
      </c>
      <c r="H6" s="442">
        <v>3491.4767870000001</v>
      </c>
      <c r="I6" s="442">
        <v>17641.224359</v>
      </c>
      <c r="J6" s="442">
        <v>8617.7745570000006</v>
      </c>
      <c r="K6" s="442">
        <v>11920.487399</v>
      </c>
      <c r="L6" s="442">
        <v>11744.425682999999</v>
      </c>
      <c r="M6" s="442">
        <v>18860.546086999999</v>
      </c>
      <c r="N6" s="442">
        <v>24263.878058999999</v>
      </c>
      <c r="O6" s="442">
        <v>9209.0169249999999</v>
      </c>
      <c r="P6" s="442">
        <v>6807.467138</v>
      </c>
    </row>
    <row r="7" spans="1:16">
      <c r="A7" s="439" t="s">
        <v>116</v>
      </c>
      <c r="B7" s="436">
        <v>13544.777741</v>
      </c>
      <c r="C7" s="436">
        <v>14128.560022</v>
      </c>
      <c r="D7" s="436">
        <v>16934.014331999999</v>
      </c>
      <c r="E7" s="436">
        <v>7830.2630140000001</v>
      </c>
      <c r="F7" s="436">
        <v>13764.108785</v>
      </c>
      <c r="G7" s="436">
        <v>18894.325461</v>
      </c>
      <c r="H7" s="436">
        <v>3491.2491500000001</v>
      </c>
      <c r="I7" s="436">
        <v>6641.2243589999998</v>
      </c>
      <c r="J7" s="436">
        <v>8617.7745570000006</v>
      </c>
      <c r="K7" s="436">
        <v>11920.487399</v>
      </c>
      <c r="L7" s="436">
        <v>11744.425682999999</v>
      </c>
      <c r="M7" s="436">
        <v>18860.546086999999</v>
      </c>
      <c r="N7" s="436">
        <v>14263.878059000001</v>
      </c>
      <c r="O7" s="436">
        <v>9209.0169249999999</v>
      </c>
      <c r="P7" s="436">
        <v>6807.467138</v>
      </c>
    </row>
    <row r="8" spans="1:16">
      <c r="A8" s="439" t="s">
        <v>117</v>
      </c>
      <c r="B8" s="436">
        <v>11849.134247</v>
      </c>
      <c r="C8" s="436">
        <v>4500</v>
      </c>
      <c r="D8" s="436">
        <v>0</v>
      </c>
      <c r="E8" s="436">
        <v>0</v>
      </c>
      <c r="F8" s="436">
        <v>0</v>
      </c>
      <c r="G8" s="436">
        <v>4200</v>
      </c>
      <c r="H8" s="436">
        <v>0.22763700000000001</v>
      </c>
      <c r="I8" s="436">
        <v>11000</v>
      </c>
      <c r="J8" s="436">
        <v>0</v>
      </c>
      <c r="K8" s="436">
        <v>0</v>
      </c>
      <c r="L8" s="436">
        <v>0</v>
      </c>
      <c r="M8" s="436">
        <v>0</v>
      </c>
      <c r="N8" s="436">
        <v>10000</v>
      </c>
      <c r="O8" s="436">
        <v>0</v>
      </c>
      <c r="P8" s="436">
        <v>0</v>
      </c>
    </row>
    <row r="9" spans="1:16">
      <c r="A9" s="439" t="s">
        <v>118</v>
      </c>
      <c r="B9" s="442">
        <v>44372.567432999997</v>
      </c>
      <c r="C9" s="442">
        <v>34891.985433000002</v>
      </c>
      <c r="D9" s="442">
        <v>33383.059433000002</v>
      </c>
      <c r="E9" s="442">
        <v>33990.059433000002</v>
      </c>
      <c r="F9" s="442">
        <v>33463.559433000002</v>
      </c>
      <c r="G9" s="442">
        <v>51809.109432999998</v>
      </c>
      <c r="H9" s="442">
        <v>50473.109432999998</v>
      </c>
      <c r="I9" s="442">
        <v>30281.625156999999</v>
      </c>
      <c r="J9" s="442">
        <v>27008.748533999998</v>
      </c>
      <c r="K9" s="442">
        <v>27335.756384</v>
      </c>
      <c r="L9" s="442">
        <v>26944.756384</v>
      </c>
      <c r="M9" s="442">
        <v>27399.206384000001</v>
      </c>
      <c r="N9" s="442">
        <v>24965.998533999998</v>
      </c>
      <c r="O9" s="442">
        <v>22632.068533999998</v>
      </c>
      <c r="P9" s="442">
        <v>19258.899534</v>
      </c>
    </row>
    <row r="10" spans="1:16">
      <c r="A10" s="439" t="s">
        <v>119</v>
      </c>
      <c r="B10" s="436">
        <v>44725.692432999997</v>
      </c>
      <c r="C10" s="436">
        <v>34891.985433000002</v>
      </c>
      <c r="D10" s="436">
        <v>33383.059433000002</v>
      </c>
      <c r="E10" s="436">
        <v>33990.059433000002</v>
      </c>
      <c r="F10" s="436">
        <v>33719.059433000002</v>
      </c>
      <c r="G10" s="436">
        <v>53022.059433000002</v>
      </c>
      <c r="H10" s="436">
        <v>51686.059433000002</v>
      </c>
      <c r="I10" s="436">
        <v>31494.575156999999</v>
      </c>
      <c r="J10" s="436">
        <v>32204.575156999999</v>
      </c>
      <c r="K10" s="436">
        <v>31791.575156999999</v>
      </c>
      <c r="L10" s="436">
        <v>31400.575156999999</v>
      </c>
      <c r="M10" s="436">
        <v>31122.575156999999</v>
      </c>
      <c r="N10" s="436">
        <v>28368.375156999999</v>
      </c>
      <c r="O10" s="436">
        <v>26752.445156999998</v>
      </c>
      <c r="P10" s="436">
        <v>22599.276157</v>
      </c>
    </row>
    <row r="11" spans="1:16">
      <c r="A11" s="439" t="s">
        <v>120</v>
      </c>
      <c r="B11" s="436">
        <v>-353.125</v>
      </c>
      <c r="C11" s="436">
        <v>0</v>
      </c>
      <c r="D11" s="436">
        <v>0</v>
      </c>
      <c r="E11" s="436">
        <v>0</v>
      </c>
      <c r="F11" s="436">
        <v>-255.5</v>
      </c>
      <c r="G11" s="436">
        <v>-1212.95</v>
      </c>
      <c r="H11" s="436">
        <v>-1212.95</v>
      </c>
      <c r="I11" s="436">
        <v>-1212.95</v>
      </c>
      <c r="J11" s="436">
        <v>-5195.8266229999999</v>
      </c>
      <c r="K11" s="436">
        <v>-4455.818773</v>
      </c>
      <c r="L11" s="436">
        <v>-4455.818773</v>
      </c>
      <c r="M11" s="436">
        <v>-3723.3687730000001</v>
      </c>
      <c r="N11" s="436">
        <v>-3402.3766230000001</v>
      </c>
      <c r="O11" s="436">
        <v>-4120.3766230000001</v>
      </c>
      <c r="P11" s="436">
        <v>-3340.3766230000001</v>
      </c>
    </row>
    <row r="12" spans="1:16">
      <c r="A12" s="439" t="s">
        <v>121</v>
      </c>
      <c r="B12" s="442">
        <v>36013.415495000001</v>
      </c>
      <c r="C12" s="442">
        <v>33062.171987000002</v>
      </c>
      <c r="D12" s="442">
        <v>28853.464689</v>
      </c>
      <c r="E12" s="442">
        <v>46793.558283999999</v>
      </c>
      <c r="F12" s="442">
        <v>34783.006535</v>
      </c>
      <c r="G12" s="442">
        <v>36588.398147</v>
      </c>
      <c r="H12" s="442">
        <v>36727.030602999999</v>
      </c>
      <c r="I12" s="442">
        <v>56385.772663999996</v>
      </c>
      <c r="J12" s="442">
        <v>47473.731508999997</v>
      </c>
      <c r="K12" s="442">
        <v>41369.181110999998</v>
      </c>
      <c r="L12" s="442">
        <v>42154.337099999997</v>
      </c>
      <c r="M12" s="442">
        <v>41532.548672999998</v>
      </c>
      <c r="N12" s="442">
        <v>49813.873892000003</v>
      </c>
      <c r="O12" s="442">
        <v>53560.820502000002</v>
      </c>
      <c r="P12" s="442">
        <v>51087.022666999997</v>
      </c>
    </row>
    <row r="13" spans="1:16">
      <c r="A13" s="439" t="s">
        <v>122</v>
      </c>
      <c r="B13" s="436">
        <v>14824.339362999999</v>
      </c>
      <c r="C13" s="436">
        <v>20340.388714000001</v>
      </c>
      <c r="D13" s="436">
        <v>16630.779595</v>
      </c>
      <c r="E13" s="436">
        <v>17647.565831</v>
      </c>
      <c r="F13" s="436">
        <v>27296.605866999998</v>
      </c>
      <c r="G13" s="436">
        <v>20587.416421000002</v>
      </c>
      <c r="H13" s="436">
        <v>23014.873548</v>
      </c>
      <c r="I13" s="436">
        <v>18205.359715999999</v>
      </c>
      <c r="J13" s="436">
        <v>24087.972005</v>
      </c>
      <c r="K13" s="436">
        <v>23006.779639</v>
      </c>
      <c r="L13" s="436">
        <v>21438.22609</v>
      </c>
      <c r="M13" s="436">
        <v>20158.676141</v>
      </c>
      <c r="N13" s="436">
        <v>25779.896604000001</v>
      </c>
      <c r="O13" s="436">
        <v>28087.859688</v>
      </c>
      <c r="P13" s="436">
        <v>27368.515766</v>
      </c>
    </row>
    <row r="14" spans="1:16">
      <c r="A14" s="439" t="s">
        <v>123</v>
      </c>
      <c r="B14" s="436">
        <v>7634.4913420000003</v>
      </c>
      <c r="C14" s="436">
        <v>8151.9448270000003</v>
      </c>
      <c r="D14" s="436">
        <v>9829.081021</v>
      </c>
      <c r="E14" s="436">
        <v>9190.7982539999994</v>
      </c>
      <c r="F14" s="436">
        <v>3959.3248549999998</v>
      </c>
      <c r="G14" s="436">
        <v>12587.944812</v>
      </c>
      <c r="H14" s="436">
        <v>11657.865107</v>
      </c>
      <c r="I14" s="436">
        <v>11308.339099000001</v>
      </c>
      <c r="J14" s="436">
        <v>15182.103574000001</v>
      </c>
      <c r="K14" s="436">
        <v>13599.530102000001</v>
      </c>
      <c r="L14" s="436">
        <v>15813.545735</v>
      </c>
      <c r="M14" s="436">
        <v>12487.348884999999</v>
      </c>
      <c r="N14" s="436">
        <v>16765.76886</v>
      </c>
      <c r="O14" s="436">
        <v>17866.669243</v>
      </c>
      <c r="P14" s="436">
        <v>16111.726097999999</v>
      </c>
    </row>
    <row r="15" spans="1:16">
      <c r="A15" s="439" t="s">
        <v>124</v>
      </c>
      <c r="B15" s="436">
        <v>0</v>
      </c>
      <c r="C15" s="436">
        <v>0</v>
      </c>
      <c r="D15" s="436">
        <v>0</v>
      </c>
      <c r="E15" s="436">
        <v>0</v>
      </c>
      <c r="F15" s="436">
        <v>0</v>
      </c>
      <c r="G15" s="436">
        <v>0</v>
      </c>
      <c r="H15" s="436">
        <v>0</v>
      </c>
      <c r="I15" s="436">
        <v>0</v>
      </c>
      <c r="J15" s="436">
        <v>0</v>
      </c>
      <c r="K15" s="436">
        <v>0</v>
      </c>
      <c r="L15" s="436">
        <v>0</v>
      </c>
      <c r="M15" s="436">
        <v>0</v>
      </c>
      <c r="N15" s="436">
        <v>0</v>
      </c>
      <c r="O15" s="436">
        <v>0</v>
      </c>
      <c r="P15" s="436">
        <v>0</v>
      </c>
    </row>
    <row r="16" spans="1:16">
      <c r="A16" s="439" t="s">
        <v>125</v>
      </c>
      <c r="B16" s="436">
        <v>0</v>
      </c>
      <c r="C16" s="436">
        <v>0</v>
      </c>
      <c r="D16" s="436">
        <v>0</v>
      </c>
      <c r="E16" s="436">
        <v>0</v>
      </c>
      <c r="F16" s="436">
        <v>0</v>
      </c>
      <c r="G16" s="436">
        <v>0</v>
      </c>
      <c r="H16" s="436">
        <v>0</v>
      </c>
      <c r="I16" s="436">
        <v>0</v>
      </c>
      <c r="J16" s="436">
        <v>0</v>
      </c>
      <c r="K16" s="436">
        <v>0</v>
      </c>
      <c r="L16" s="436">
        <v>0</v>
      </c>
      <c r="M16" s="436">
        <v>0</v>
      </c>
      <c r="N16" s="436">
        <v>0</v>
      </c>
      <c r="O16" s="436">
        <v>0</v>
      </c>
      <c r="P16" s="436">
        <v>0</v>
      </c>
    </row>
    <row r="17" spans="1:16">
      <c r="A17" s="439" t="s">
        <v>126</v>
      </c>
      <c r="B17" s="436">
        <v>15976.537973</v>
      </c>
      <c r="C17" s="436">
        <v>6991.7916290000003</v>
      </c>
      <c r="D17" s="436">
        <v>4815.5572560000001</v>
      </c>
      <c r="E17" s="436">
        <v>22377.147381999999</v>
      </c>
      <c r="F17" s="436">
        <v>6985.4386519999998</v>
      </c>
      <c r="G17" s="436">
        <v>8234.5487030000004</v>
      </c>
      <c r="H17" s="436">
        <v>6875.8037370000002</v>
      </c>
      <c r="I17" s="436">
        <v>30217.920911000001</v>
      </c>
      <c r="J17" s="436">
        <v>14882.552424</v>
      </c>
      <c r="K17" s="436">
        <v>12438.501187</v>
      </c>
      <c r="L17" s="436">
        <v>12578.195092</v>
      </c>
      <c r="M17" s="436">
        <v>13969.528904000001</v>
      </c>
      <c r="N17" s="436">
        <v>12212.613443</v>
      </c>
      <c r="O17" s="436">
        <v>12596.955722999999</v>
      </c>
      <c r="P17" s="436">
        <v>12597.444955000001</v>
      </c>
    </row>
    <row r="18" spans="1:16">
      <c r="A18" s="439" t="s">
        <v>127</v>
      </c>
      <c r="B18" s="436">
        <v>-2421.9531830000001</v>
      </c>
      <c r="C18" s="436">
        <v>-2421.9531830000001</v>
      </c>
      <c r="D18" s="436">
        <v>-2421.9531830000001</v>
      </c>
      <c r="E18" s="436">
        <v>-2421.9531830000001</v>
      </c>
      <c r="F18" s="436">
        <v>-3458.3628389999999</v>
      </c>
      <c r="G18" s="436">
        <v>-4821.5117890000001</v>
      </c>
      <c r="H18" s="436">
        <v>-4821.5117890000001</v>
      </c>
      <c r="I18" s="436">
        <v>-3345.8470619999998</v>
      </c>
      <c r="J18" s="436">
        <v>-6678.8964939999996</v>
      </c>
      <c r="K18" s="436">
        <v>-7675.629817</v>
      </c>
      <c r="L18" s="436">
        <v>-7675.629817</v>
      </c>
      <c r="M18" s="436">
        <v>-5083.0052569999998</v>
      </c>
      <c r="N18" s="436">
        <v>-4944.4050150000003</v>
      </c>
      <c r="O18" s="436">
        <v>-4990.6641520000003</v>
      </c>
      <c r="P18" s="436">
        <v>-4990.6641520000003</v>
      </c>
    </row>
    <row r="19" spans="1:16">
      <c r="A19" s="439" t="s">
        <v>128</v>
      </c>
      <c r="B19" s="442">
        <v>32603.480530000001</v>
      </c>
      <c r="C19" s="442">
        <v>36091.630089999999</v>
      </c>
      <c r="D19" s="442">
        <v>36285.728905999997</v>
      </c>
      <c r="E19" s="442">
        <v>38327.660928999998</v>
      </c>
      <c r="F19" s="442">
        <v>38719.085147999998</v>
      </c>
      <c r="G19" s="442">
        <v>38814.411655999997</v>
      </c>
      <c r="H19" s="442">
        <v>33445.382874000003</v>
      </c>
      <c r="I19" s="442">
        <v>31764.793709000001</v>
      </c>
      <c r="J19" s="442">
        <v>28442.188886</v>
      </c>
      <c r="K19" s="442">
        <v>24100.777649</v>
      </c>
      <c r="L19" s="442">
        <v>17677.74049</v>
      </c>
      <c r="M19" s="442">
        <v>14167.202520000001</v>
      </c>
      <c r="N19" s="442">
        <v>9280.4111909999992</v>
      </c>
      <c r="O19" s="442">
        <v>0</v>
      </c>
      <c r="P19" s="442">
        <v>19.100000000000001</v>
      </c>
    </row>
    <row r="20" spans="1:16">
      <c r="A20" s="439" t="s">
        <v>129</v>
      </c>
      <c r="B20" s="436">
        <v>33024.310639000003</v>
      </c>
      <c r="C20" s="436">
        <v>36512.460199000001</v>
      </c>
      <c r="D20" s="436">
        <v>36706.559014999999</v>
      </c>
      <c r="E20" s="436">
        <v>38748.491038</v>
      </c>
      <c r="F20" s="436">
        <v>39139.915257000001</v>
      </c>
      <c r="G20" s="436">
        <v>39235.241764999999</v>
      </c>
      <c r="H20" s="436">
        <v>33866.212982999998</v>
      </c>
      <c r="I20" s="436">
        <v>32185.623818</v>
      </c>
      <c r="J20" s="436">
        <v>28863.018994999999</v>
      </c>
      <c r="K20" s="436">
        <v>25266.391907000001</v>
      </c>
      <c r="L20" s="436">
        <v>18843.354748000002</v>
      </c>
      <c r="M20" s="436">
        <v>15332.816778</v>
      </c>
      <c r="N20" s="436">
        <v>10446.025449000001</v>
      </c>
      <c r="O20" s="436">
        <v>1165.6142580000001</v>
      </c>
      <c r="P20" s="436">
        <v>1184.714258</v>
      </c>
    </row>
    <row r="21" spans="1:16">
      <c r="A21" s="439" t="s">
        <v>130</v>
      </c>
      <c r="B21" s="436">
        <v>-420.83010899999999</v>
      </c>
      <c r="C21" s="436">
        <v>-420.83010899999999</v>
      </c>
      <c r="D21" s="436">
        <v>-420.83010899999999</v>
      </c>
      <c r="E21" s="436">
        <v>-420.83010899999999</v>
      </c>
      <c r="F21" s="436">
        <v>-420.83010899999999</v>
      </c>
      <c r="G21" s="436">
        <v>-420.83010899999999</v>
      </c>
      <c r="H21" s="436">
        <v>-420.83010899999999</v>
      </c>
      <c r="I21" s="436">
        <v>-420.83010899999999</v>
      </c>
      <c r="J21" s="436">
        <v>-420.83010899999999</v>
      </c>
      <c r="K21" s="436">
        <v>-1165.6142580000001</v>
      </c>
      <c r="L21" s="436">
        <v>-1165.6142580000001</v>
      </c>
      <c r="M21" s="436">
        <v>-1165.6142580000001</v>
      </c>
      <c r="N21" s="436">
        <v>-1165.6142580000001</v>
      </c>
      <c r="O21" s="436">
        <v>-1165.6142580000001</v>
      </c>
      <c r="P21" s="436">
        <v>-1165.6142580000001</v>
      </c>
    </row>
    <row r="22" spans="1:16">
      <c r="A22" s="439" t="s">
        <v>131</v>
      </c>
      <c r="B22" s="442">
        <v>10673.923096</v>
      </c>
      <c r="C22" s="442">
        <v>12640.201906</v>
      </c>
      <c r="D22" s="442">
        <v>8536.0258730000005</v>
      </c>
      <c r="E22" s="442">
        <v>7298.2313910000003</v>
      </c>
      <c r="F22" s="442">
        <v>8122.7302769999997</v>
      </c>
      <c r="G22" s="442">
        <v>8146.8373019999999</v>
      </c>
      <c r="H22" s="442">
        <v>10354.266941</v>
      </c>
      <c r="I22" s="442">
        <v>12414.465480999999</v>
      </c>
      <c r="J22" s="442">
        <v>16133.003049999999</v>
      </c>
      <c r="K22" s="442">
        <v>9340.8106299999999</v>
      </c>
      <c r="L22" s="442">
        <v>11050.147569999999</v>
      </c>
      <c r="M22" s="442">
        <v>10651.209917</v>
      </c>
      <c r="N22" s="442">
        <v>10753.330706999999</v>
      </c>
      <c r="O22" s="442">
        <v>10623.825005000001</v>
      </c>
      <c r="P22" s="442">
        <v>11596.576881999999</v>
      </c>
    </row>
    <row r="23" spans="1:16">
      <c r="A23" s="439" t="s">
        <v>132</v>
      </c>
      <c r="B23" s="436">
        <v>552.21785899999998</v>
      </c>
      <c r="C23" s="436">
        <v>498.65859999999998</v>
      </c>
      <c r="D23" s="436">
        <v>871.26845900000001</v>
      </c>
      <c r="E23" s="436">
        <v>0</v>
      </c>
      <c r="F23" s="436">
        <v>0</v>
      </c>
      <c r="G23" s="436">
        <v>0</v>
      </c>
      <c r="H23" s="436">
        <v>0</v>
      </c>
      <c r="I23" s="436">
        <v>0</v>
      </c>
      <c r="J23" s="436">
        <v>169.779909</v>
      </c>
      <c r="K23" s="436">
        <v>63.106664000000002</v>
      </c>
      <c r="L23" s="436">
        <v>177.15664200000001</v>
      </c>
      <c r="M23" s="436">
        <v>0</v>
      </c>
      <c r="N23" s="436">
        <v>0</v>
      </c>
      <c r="O23" s="436">
        <v>376.23095899999998</v>
      </c>
      <c r="P23" s="436">
        <v>184.60773</v>
      </c>
    </row>
    <row r="24" spans="1:16">
      <c r="A24" s="439" t="s">
        <v>133</v>
      </c>
      <c r="B24" s="436">
        <v>0.83906000000000003</v>
      </c>
      <c r="C24" s="436">
        <v>37.798628999999998</v>
      </c>
      <c r="D24" s="436">
        <v>723.69273699999997</v>
      </c>
      <c r="E24" s="436">
        <v>21.166713999999999</v>
      </c>
      <c r="F24" s="436">
        <v>651.13985000000002</v>
      </c>
      <c r="G24" s="436">
        <v>261.236875</v>
      </c>
      <c r="H24" s="436">
        <v>984.26651400000003</v>
      </c>
      <c r="I24" s="436">
        <v>2422.9650539999998</v>
      </c>
      <c r="J24" s="436">
        <v>5079.4757140000002</v>
      </c>
      <c r="K24" s="436">
        <v>716.95371899999998</v>
      </c>
      <c r="L24" s="436">
        <v>0</v>
      </c>
      <c r="M24" s="436">
        <v>0</v>
      </c>
      <c r="N24" s="436">
        <v>1146.3574000000001</v>
      </c>
      <c r="O24" s="436">
        <v>788.45555899999999</v>
      </c>
      <c r="P24" s="436">
        <v>0</v>
      </c>
    </row>
    <row r="25" spans="1:16">
      <c r="A25" s="439" t="s">
        <v>134</v>
      </c>
      <c r="B25" s="436">
        <v>0</v>
      </c>
      <c r="C25" s="436">
        <v>0</v>
      </c>
      <c r="D25" s="436">
        <v>0</v>
      </c>
      <c r="E25" s="436">
        <v>0</v>
      </c>
      <c r="F25" s="436">
        <v>0</v>
      </c>
      <c r="G25" s="436">
        <v>0</v>
      </c>
      <c r="H25" s="436">
        <v>0</v>
      </c>
      <c r="I25" s="436">
        <v>0</v>
      </c>
      <c r="J25" s="436">
        <v>0</v>
      </c>
      <c r="K25" s="436">
        <v>0</v>
      </c>
      <c r="L25" s="436">
        <v>1060.748951</v>
      </c>
      <c r="M25" s="436">
        <v>1139.37843</v>
      </c>
      <c r="N25" s="436">
        <v>0</v>
      </c>
      <c r="O25" s="436">
        <v>0</v>
      </c>
      <c r="P25" s="436">
        <v>2104.1716649999998</v>
      </c>
    </row>
    <row r="26" spans="1:16">
      <c r="A26" s="439" t="s">
        <v>131</v>
      </c>
      <c r="B26" s="436">
        <v>10120.866177</v>
      </c>
      <c r="C26" s="436">
        <v>12103.744677000001</v>
      </c>
      <c r="D26" s="436">
        <v>6941.0646770000003</v>
      </c>
      <c r="E26" s="436">
        <v>7277.0646770000003</v>
      </c>
      <c r="F26" s="436">
        <v>7471.5904270000001</v>
      </c>
      <c r="G26" s="436">
        <v>7885.6004270000003</v>
      </c>
      <c r="H26" s="436">
        <v>9370.0004270000009</v>
      </c>
      <c r="I26" s="436">
        <v>9991.5004270000009</v>
      </c>
      <c r="J26" s="436">
        <v>10883.747427</v>
      </c>
      <c r="K26" s="436">
        <v>8560.7502469999999</v>
      </c>
      <c r="L26" s="436">
        <v>9812.2419769999997</v>
      </c>
      <c r="M26" s="436">
        <v>9511.8314869999995</v>
      </c>
      <c r="N26" s="436">
        <v>9606.9733070000002</v>
      </c>
      <c r="O26" s="436">
        <v>9459.1384870000002</v>
      </c>
      <c r="P26" s="436">
        <v>9307.7974869999998</v>
      </c>
    </row>
    <row r="27" spans="1:16">
      <c r="A27" s="440" t="s">
        <v>135</v>
      </c>
      <c r="B27" s="442">
        <v>215073.01409099999</v>
      </c>
      <c r="C27" s="442">
        <v>242975.135244</v>
      </c>
      <c r="D27" s="442">
        <v>260770.66177400001</v>
      </c>
      <c r="E27" s="442">
        <v>257554.719423</v>
      </c>
      <c r="F27" s="442">
        <v>260027.253833</v>
      </c>
      <c r="G27" s="442">
        <v>255287.150627</v>
      </c>
      <c r="H27" s="442">
        <v>262896.77972400002</v>
      </c>
      <c r="I27" s="442">
        <v>254526.46774200001</v>
      </c>
      <c r="J27" s="442">
        <v>251624.45555099999</v>
      </c>
      <c r="K27" s="442">
        <v>254530.630814</v>
      </c>
      <c r="L27" s="442">
        <v>251442.09748500001</v>
      </c>
      <c r="M27" s="442">
        <v>254220.437837</v>
      </c>
      <c r="N27" s="442">
        <v>249645.95519499999</v>
      </c>
      <c r="O27" s="442">
        <v>242200.52948100001</v>
      </c>
      <c r="P27" s="442">
        <v>248005.954876</v>
      </c>
    </row>
    <row r="28" spans="1:16">
      <c r="A28" s="439" t="s">
        <v>136</v>
      </c>
      <c r="B28" s="442">
        <v>0</v>
      </c>
      <c r="C28" s="442">
        <v>0</v>
      </c>
      <c r="D28" s="442">
        <v>0</v>
      </c>
      <c r="E28" s="442">
        <v>0</v>
      </c>
      <c r="F28" s="442">
        <v>0</v>
      </c>
      <c r="G28" s="442">
        <v>0</v>
      </c>
      <c r="H28" s="442">
        <v>0</v>
      </c>
      <c r="I28" s="442">
        <v>0</v>
      </c>
      <c r="J28" s="442">
        <v>0</v>
      </c>
      <c r="K28" s="442">
        <v>1168.9849999999999</v>
      </c>
      <c r="L28" s="442">
        <v>1168.9849999999999</v>
      </c>
      <c r="M28" s="442">
        <v>1168.9849999999999</v>
      </c>
      <c r="N28" s="442">
        <v>0</v>
      </c>
      <c r="O28" s="442">
        <v>0</v>
      </c>
      <c r="P28" s="442">
        <v>0</v>
      </c>
    </row>
    <row r="29" spans="1:16">
      <c r="A29" s="439" t="s">
        <v>137</v>
      </c>
      <c r="B29" s="436">
        <v>0</v>
      </c>
      <c r="C29" s="436">
        <v>0</v>
      </c>
      <c r="D29" s="436">
        <v>0</v>
      </c>
      <c r="E29" s="436">
        <v>0</v>
      </c>
      <c r="F29" s="436">
        <v>0</v>
      </c>
      <c r="G29" s="436">
        <v>0</v>
      </c>
      <c r="H29" s="436">
        <v>0</v>
      </c>
      <c r="I29" s="436">
        <v>0</v>
      </c>
      <c r="J29" s="436">
        <v>0</v>
      </c>
      <c r="K29" s="436">
        <v>0</v>
      </c>
      <c r="L29" s="436">
        <v>0</v>
      </c>
      <c r="M29" s="436">
        <v>0</v>
      </c>
      <c r="N29" s="436">
        <v>0</v>
      </c>
      <c r="O29" s="436">
        <v>0</v>
      </c>
      <c r="P29" s="436">
        <v>0</v>
      </c>
    </row>
    <row r="30" spans="1:16">
      <c r="A30" s="439" t="s">
        <v>138</v>
      </c>
      <c r="B30" s="436">
        <v>0</v>
      </c>
      <c r="C30" s="436">
        <v>0</v>
      </c>
      <c r="D30" s="436">
        <v>0</v>
      </c>
      <c r="E30" s="436">
        <v>0</v>
      </c>
      <c r="F30" s="436">
        <v>0</v>
      </c>
      <c r="G30" s="436">
        <v>0</v>
      </c>
      <c r="H30" s="436">
        <v>0</v>
      </c>
      <c r="I30" s="436">
        <v>0</v>
      </c>
      <c r="J30" s="436">
        <v>0</v>
      </c>
      <c r="K30" s="436">
        <v>0</v>
      </c>
      <c r="L30" s="436">
        <v>0</v>
      </c>
      <c r="M30" s="436">
        <v>0</v>
      </c>
      <c r="N30" s="436">
        <v>0</v>
      </c>
      <c r="O30" s="436">
        <v>0</v>
      </c>
      <c r="P30" s="436">
        <v>0</v>
      </c>
    </row>
    <row r="31" spans="1:16">
      <c r="A31" s="439" t="s">
        <v>139</v>
      </c>
      <c r="B31" s="436">
        <v>0</v>
      </c>
      <c r="C31" s="436">
        <v>0</v>
      </c>
      <c r="D31" s="436">
        <v>0</v>
      </c>
      <c r="E31" s="436">
        <v>0</v>
      </c>
      <c r="F31" s="436">
        <v>0</v>
      </c>
      <c r="G31" s="436">
        <v>0</v>
      </c>
      <c r="H31" s="436">
        <v>0</v>
      </c>
      <c r="I31" s="436">
        <v>0</v>
      </c>
      <c r="J31" s="436">
        <v>0</v>
      </c>
      <c r="K31" s="436">
        <v>1168.9849999999999</v>
      </c>
      <c r="L31" s="436">
        <v>1168.9849999999999</v>
      </c>
      <c r="M31" s="436">
        <v>1168.9849999999999</v>
      </c>
      <c r="N31" s="436">
        <v>0</v>
      </c>
      <c r="O31" s="436">
        <v>0</v>
      </c>
      <c r="P31" s="436">
        <v>0</v>
      </c>
    </row>
    <row r="32" spans="1:16">
      <c r="A32" s="439" t="s">
        <v>140</v>
      </c>
      <c r="B32" s="436">
        <v>0</v>
      </c>
      <c r="C32" s="436">
        <v>0</v>
      </c>
      <c r="D32" s="436">
        <v>0</v>
      </c>
      <c r="E32" s="436">
        <v>0</v>
      </c>
      <c r="F32" s="436">
        <v>0</v>
      </c>
      <c r="G32" s="436">
        <v>0</v>
      </c>
      <c r="H32" s="436">
        <v>0</v>
      </c>
      <c r="I32" s="436">
        <v>0</v>
      </c>
      <c r="J32" s="436">
        <v>0</v>
      </c>
      <c r="K32" s="436">
        <v>0</v>
      </c>
      <c r="L32" s="436">
        <v>0</v>
      </c>
      <c r="M32" s="436">
        <v>0</v>
      </c>
      <c r="N32" s="436">
        <v>0</v>
      </c>
      <c r="O32" s="436">
        <v>0</v>
      </c>
      <c r="P32" s="436">
        <v>0</v>
      </c>
    </row>
    <row r="33" spans="1:16">
      <c r="A33" s="439" t="s">
        <v>141</v>
      </c>
      <c r="B33" s="442">
        <v>157896.93140999999</v>
      </c>
      <c r="C33" s="442">
        <v>167997.479586</v>
      </c>
      <c r="D33" s="442">
        <v>183233.06761599999</v>
      </c>
      <c r="E33" s="442">
        <v>181247.65074099999</v>
      </c>
      <c r="F33" s="442">
        <v>180892.345612</v>
      </c>
      <c r="G33" s="442">
        <v>180140.236023</v>
      </c>
      <c r="H33" s="442">
        <v>187981.51873400001</v>
      </c>
      <c r="I33" s="442">
        <v>185327.23834499999</v>
      </c>
      <c r="J33" s="442">
        <v>183851.66232900001</v>
      </c>
      <c r="K33" s="442">
        <v>186428.95463399999</v>
      </c>
      <c r="L33" s="442">
        <v>183103.40336299999</v>
      </c>
      <c r="M33" s="442">
        <v>179213.60208899999</v>
      </c>
      <c r="N33" s="442">
        <v>174357.767785</v>
      </c>
      <c r="O33" s="442">
        <v>169845.216293</v>
      </c>
      <c r="P33" s="442">
        <v>169384.03411199999</v>
      </c>
    </row>
    <row r="34" spans="1:16">
      <c r="A34" s="439" t="s">
        <v>142</v>
      </c>
      <c r="B34" s="436">
        <v>16974.482739999999</v>
      </c>
      <c r="C34" s="436">
        <v>16613.951421999998</v>
      </c>
      <c r="D34" s="436">
        <v>16886.921146000001</v>
      </c>
      <c r="E34" s="436">
        <v>16109.282552000001</v>
      </c>
      <c r="F34" s="436">
        <v>14846.832348</v>
      </c>
      <c r="G34" s="436">
        <v>30030.611270000001</v>
      </c>
      <c r="H34" s="436">
        <v>29139.765915</v>
      </c>
      <c r="I34" s="436">
        <v>28779.906760999998</v>
      </c>
      <c r="J34" s="436">
        <v>42216.253167000003</v>
      </c>
      <c r="K34" s="436">
        <v>45844.311593999999</v>
      </c>
      <c r="L34" s="436">
        <v>45142.638615999997</v>
      </c>
      <c r="M34" s="436">
        <v>43643.296270999999</v>
      </c>
      <c r="N34" s="436">
        <v>42995.786333999997</v>
      </c>
      <c r="O34" s="436">
        <v>41018.216253999999</v>
      </c>
      <c r="P34" s="436">
        <v>39787.743068000003</v>
      </c>
    </row>
    <row r="35" spans="1:16">
      <c r="A35" s="439" t="s">
        <v>143</v>
      </c>
      <c r="B35" s="436">
        <v>45792.385793000001</v>
      </c>
      <c r="C35" s="436">
        <v>46144.885793000001</v>
      </c>
      <c r="D35" s="436">
        <v>47184.164519999998</v>
      </c>
      <c r="E35" s="436">
        <v>47184.164519999998</v>
      </c>
      <c r="F35" s="436">
        <v>46684.164519999998</v>
      </c>
      <c r="G35" s="436">
        <v>62781.016422000001</v>
      </c>
      <c r="H35" s="436">
        <v>63106.475511999997</v>
      </c>
      <c r="I35" s="436">
        <v>64000.368512000001</v>
      </c>
      <c r="J35" s="436">
        <v>79130.321465000001</v>
      </c>
      <c r="K35" s="436">
        <v>84454.607455999998</v>
      </c>
      <c r="L35" s="436">
        <v>85441.170761000001</v>
      </c>
      <c r="M35" s="436">
        <v>85610.372325000004</v>
      </c>
      <c r="N35" s="436">
        <v>86677.308025000006</v>
      </c>
      <c r="O35" s="436">
        <v>85886.064564999993</v>
      </c>
      <c r="P35" s="436">
        <v>85926.734565000006</v>
      </c>
    </row>
    <row r="36" spans="1:16">
      <c r="A36" s="439" t="s">
        <v>144</v>
      </c>
      <c r="B36" s="436">
        <v>-28817.903053000002</v>
      </c>
      <c r="C36" s="436">
        <v>-29530.934370999999</v>
      </c>
      <c r="D36" s="436">
        <v>-30297.243374000001</v>
      </c>
      <c r="E36" s="436">
        <v>-31074.881968000002</v>
      </c>
      <c r="F36" s="436">
        <v>-31837.332171999999</v>
      </c>
      <c r="G36" s="436">
        <v>-32750.405151999999</v>
      </c>
      <c r="H36" s="436">
        <v>-33966.709597000001</v>
      </c>
      <c r="I36" s="436">
        <v>-35220.461751000003</v>
      </c>
      <c r="J36" s="436">
        <v>-36914.068297999998</v>
      </c>
      <c r="K36" s="436">
        <v>-38610.295861999999</v>
      </c>
      <c r="L36" s="436">
        <v>-40298.532144999997</v>
      </c>
      <c r="M36" s="436">
        <v>-41967.076053999997</v>
      </c>
      <c r="N36" s="436">
        <v>-43681.521691000002</v>
      </c>
      <c r="O36" s="436">
        <v>-44867.848311000002</v>
      </c>
      <c r="P36" s="436">
        <v>-46138.991497000003</v>
      </c>
    </row>
    <row r="37" spans="1:16">
      <c r="A37" s="439" t="s">
        <v>145</v>
      </c>
      <c r="B37" s="436">
        <v>0</v>
      </c>
      <c r="C37" s="436">
        <v>0</v>
      </c>
      <c r="D37" s="436">
        <v>0</v>
      </c>
      <c r="E37" s="436">
        <v>0</v>
      </c>
      <c r="F37" s="436">
        <v>0</v>
      </c>
      <c r="G37" s="436">
        <v>0</v>
      </c>
      <c r="H37" s="436">
        <v>0</v>
      </c>
      <c r="I37" s="436">
        <v>0</v>
      </c>
      <c r="J37" s="436">
        <v>0</v>
      </c>
      <c r="K37" s="436">
        <v>0</v>
      </c>
      <c r="L37" s="436">
        <v>0</v>
      </c>
      <c r="M37" s="436">
        <v>0</v>
      </c>
      <c r="N37" s="436">
        <v>0</v>
      </c>
      <c r="O37" s="436">
        <v>0</v>
      </c>
      <c r="P37" s="436">
        <v>0</v>
      </c>
    </row>
    <row r="38" spans="1:16">
      <c r="A38" s="439" t="s">
        <v>146</v>
      </c>
      <c r="B38" s="436">
        <v>0</v>
      </c>
      <c r="C38" s="436">
        <v>0</v>
      </c>
      <c r="D38" s="436">
        <v>0</v>
      </c>
      <c r="E38" s="436">
        <v>0</v>
      </c>
      <c r="F38" s="436">
        <v>0</v>
      </c>
      <c r="G38" s="436">
        <v>0</v>
      </c>
      <c r="H38" s="436">
        <v>0</v>
      </c>
      <c r="I38" s="436">
        <v>0</v>
      </c>
      <c r="J38" s="436">
        <v>0</v>
      </c>
      <c r="K38" s="436">
        <v>0</v>
      </c>
      <c r="L38" s="436">
        <v>0</v>
      </c>
      <c r="M38" s="436">
        <v>0</v>
      </c>
      <c r="N38" s="436">
        <v>0</v>
      </c>
      <c r="O38" s="436">
        <v>0</v>
      </c>
      <c r="P38" s="436">
        <v>0</v>
      </c>
    </row>
    <row r="39" spans="1:16">
      <c r="A39" s="439" t="s">
        <v>147</v>
      </c>
      <c r="B39" s="436">
        <v>0</v>
      </c>
      <c r="C39" s="436">
        <v>0</v>
      </c>
      <c r="D39" s="436">
        <v>0</v>
      </c>
      <c r="E39" s="436">
        <v>0</v>
      </c>
      <c r="F39" s="436">
        <v>0</v>
      </c>
      <c r="G39" s="436">
        <v>0</v>
      </c>
      <c r="H39" s="436">
        <v>0</v>
      </c>
      <c r="I39" s="436">
        <v>0</v>
      </c>
      <c r="J39" s="436">
        <v>0</v>
      </c>
      <c r="K39" s="436">
        <v>0</v>
      </c>
      <c r="L39" s="436">
        <v>0</v>
      </c>
      <c r="M39" s="436">
        <v>0</v>
      </c>
      <c r="N39" s="436">
        <v>0</v>
      </c>
      <c r="O39" s="436">
        <v>0</v>
      </c>
      <c r="P39" s="436">
        <v>0</v>
      </c>
    </row>
    <row r="40" spans="1:16">
      <c r="A40" s="439" t="s">
        <v>148</v>
      </c>
      <c r="B40" s="436">
        <v>13211.458049000001</v>
      </c>
      <c r="C40" s="436">
        <v>13073.671049</v>
      </c>
      <c r="D40" s="436">
        <v>12935.884049</v>
      </c>
      <c r="E40" s="436">
        <v>12798.097049</v>
      </c>
      <c r="F40" s="436">
        <v>12660.310049</v>
      </c>
      <c r="G40" s="436">
        <v>54610.541259999998</v>
      </c>
      <c r="H40" s="436">
        <v>54421.808251000002</v>
      </c>
      <c r="I40" s="436">
        <v>52563.659044</v>
      </c>
      <c r="J40" s="436">
        <v>99414.047743999996</v>
      </c>
      <c r="K40" s="436">
        <v>98371.281621999995</v>
      </c>
      <c r="L40" s="436">
        <v>95991.226634000006</v>
      </c>
      <c r="M40" s="436">
        <v>93600.767705000006</v>
      </c>
      <c r="N40" s="436">
        <v>98049.436293000006</v>
      </c>
      <c r="O40" s="436">
        <v>95514.454880999998</v>
      </c>
      <c r="P40" s="436">
        <v>96283.745886000004</v>
      </c>
    </row>
    <row r="41" spans="1:16">
      <c r="A41" s="439" t="s">
        <v>149</v>
      </c>
      <c r="B41" s="436">
        <v>17452.939542</v>
      </c>
      <c r="C41" s="436">
        <v>17452.939542</v>
      </c>
      <c r="D41" s="436">
        <v>17452.939542</v>
      </c>
      <c r="E41" s="436">
        <v>17452.939542</v>
      </c>
      <c r="F41" s="436">
        <v>17452.939542</v>
      </c>
      <c r="G41" s="436">
        <v>60017.374315000001</v>
      </c>
      <c r="H41" s="436">
        <v>61663.921798000003</v>
      </c>
      <c r="I41" s="436">
        <v>61663.921798000003</v>
      </c>
      <c r="J41" s="436">
        <v>109627.38007299999</v>
      </c>
      <c r="K41" s="436">
        <v>111375.242073</v>
      </c>
      <c r="L41" s="436">
        <v>111375.242073</v>
      </c>
      <c r="M41" s="436">
        <v>111375.242073</v>
      </c>
      <c r="N41" s="436">
        <v>118358.892073</v>
      </c>
      <c r="O41" s="436">
        <v>118358.892073</v>
      </c>
      <c r="P41" s="436">
        <v>118358.892073</v>
      </c>
    </row>
    <row r="42" spans="1:16">
      <c r="A42" s="439" t="s">
        <v>150</v>
      </c>
      <c r="B42" s="436">
        <v>-4241.4814930000002</v>
      </c>
      <c r="C42" s="436">
        <v>-4379.2684929999996</v>
      </c>
      <c r="D42" s="436">
        <v>-4517.0554929999998</v>
      </c>
      <c r="E42" s="436">
        <v>-4654.8424930000001</v>
      </c>
      <c r="F42" s="436">
        <v>-4792.6294930000004</v>
      </c>
      <c r="G42" s="436">
        <v>-5406.8330550000001</v>
      </c>
      <c r="H42" s="436">
        <v>-7242.1135469999999</v>
      </c>
      <c r="I42" s="436">
        <v>-9100.2627539999994</v>
      </c>
      <c r="J42" s="436">
        <v>-10213.332329000001</v>
      </c>
      <c r="K42" s="436">
        <v>-13003.960451000001</v>
      </c>
      <c r="L42" s="436">
        <v>-15384.015439000001</v>
      </c>
      <c r="M42" s="436">
        <v>-17774.474367999999</v>
      </c>
      <c r="N42" s="436">
        <v>-20309.45578</v>
      </c>
      <c r="O42" s="436">
        <v>-22844.437192000001</v>
      </c>
      <c r="P42" s="436">
        <v>-22075.146186999998</v>
      </c>
    </row>
    <row r="43" spans="1:16">
      <c r="A43" s="439" t="s">
        <v>151</v>
      </c>
      <c r="B43" s="436">
        <v>127710.990621</v>
      </c>
      <c r="C43" s="436">
        <v>138309.85711499999</v>
      </c>
      <c r="D43" s="436">
        <v>153410.26242099999</v>
      </c>
      <c r="E43" s="436">
        <v>152340.27114</v>
      </c>
      <c r="F43" s="436">
        <v>153385.20321499999</v>
      </c>
      <c r="G43" s="436">
        <v>95499.083492999998</v>
      </c>
      <c r="H43" s="436">
        <v>104419.94456800001</v>
      </c>
      <c r="I43" s="436">
        <v>103983.67254</v>
      </c>
      <c r="J43" s="436">
        <v>42221.361418</v>
      </c>
      <c r="K43" s="436">
        <v>42213.361418</v>
      </c>
      <c r="L43" s="436">
        <v>41969.538113000002</v>
      </c>
      <c r="M43" s="436">
        <v>41969.538113000002</v>
      </c>
      <c r="N43" s="436">
        <v>33312.545158000001</v>
      </c>
      <c r="O43" s="436">
        <v>33312.545158000001</v>
      </c>
      <c r="P43" s="436">
        <v>33312.545158000001</v>
      </c>
    </row>
    <row r="44" spans="1:16">
      <c r="A44" s="439" t="s">
        <v>152</v>
      </c>
      <c r="B44" s="442">
        <v>0</v>
      </c>
      <c r="C44" s="442">
        <v>0</v>
      </c>
      <c r="D44" s="442">
        <v>0</v>
      </c>
      <c r="E44" s="442">
        <v>0</v>
      </c>
      <c r="F44" s="442">
        <v>0</v>
      </c>
      <c r="G44" s="442">
        <v>0</v>
      </c>
      <c r="H44" s="442">
        <v>0</v>
      </c>
      <c r="I44" s="442">
        <v>0</v>
      </c>
      <c r="J44" s="442">
        <v>0</v>
      </c>
      <c r="K44" s="442">
        <v>0</v>
      </c>
      <c r="L44" s="442">
        <v>0</v>
      </c>
      <c r="M44" s="442">
        <v>0</v>
      </c>
      <c r="N44" s="442">
        <v>0</v>
      </c>
      <c r="O44" s="442">
        <v>0</v>
      </c>
      <c r="P44" s="442">
        <v>0</v>
      </c>
    </row>
    <row r="45" spans="1:16">
      <c r="A45" s="439" t="s">
        <v>153</v>
      </c>
      <c r="B45" s="436">
        <v>0</v>
      </c>
      <c r="C45" s="436">
        <v>0</v>
      </c>
      <c r="D45" s="436">
        <v>0</v>
      </c>
      <c r="E45" s="436">
        <v>0</v>
      </c>
      <c r="F45" s="436">
        <v>0</v>
      </c>
      <c r="G45" s="436">
        <v>0</v>
      </c>
      <c r="H45" s="436">
        <v>0</v>
      </c>
      <c r="I45" s="436">
        <v>0</v>
      </c>
      <c r="J45" s="436">
        <v>0</v>
      </c>
      <c r="K45" s="436">
        <v>0</v>
      </c>
      <c r="L45" s="436">
        <v>0</v>
      </c>
      <c r="M45" s="436">
        <v>0</v>
      </c>
      <c r="N45" s="436">
        <v>0</v>
      </c>
      <c r="O45" s="436">
        <v>0</v>
      </c>
      <c r="P45" s="436">
        <v>0</v>
      </c>
    </row>
    <row r="46" spans="1:16">
      <c r="A46" s="439" t="s">
        <v>154</v>
      </c>
      <c r="B46" s="436">
        <v>0</v>
      </c>
      <c r="C46" s="436">
        <v>0</v>
      </c>
      <c r="D46" s="436">
        <v>0</v>
      </c>
      <c r="E46" s="436">
        <v>0</v>
      </c>
      <c r="F46" s="436">
        <v>0</v>
      </c>
      <c r="G46" s="436">
        <v>0</v>
      </c>
      <c r="H46" s="436">
        <v>0</v>
      </c>
      <c r="I46" s="436">
        <v>0</v>
      </c>
      <c r="J46" s="436">
        <v>0</v>
      </c>
      <c r="K46" s="436">
        <v>0</v>
      </c>
      <c r="L46" s="436">
        <v>0</v>
      </c>
      <c r="M46" s="436">
        <v>0</v>
      </c>
      <c r="N46" s="436">
        <v>0</v>
      </c>
      <c r="O46" s="436">
        <v>0</v>
      </c>
      <c r="P46" s="436">
        <v>0</v>
      </c>
    </row>
    <row r="47" spans="1:16">
      <c r="A47" s="439" t="s">
        <v>155</v>
      </c>
      <c r="B47" s="442">
        <v>55804.740353000001</v>
      </c>
      <c r="C47" s="442">
        <v>58475.120813000001</v>
      </c>
      <c r="D47" s="442">
        <v>59075.120813000001</v>
      </c>
      <c r="E47" s="442">
        <v>60808.423433000004</v>
      </c>
      <c r="F47" s="442">
        <v>60954.727433</v>
      </c>
      <c r="G47" s="442">
        <v>58473.655433</v>
      </c>
      <c r="H47" s="442">
        <v>59682.655433</v>
      </c>
      <c r="I47" s="442">
        <v>54957.524367999999</v>
      </c>
      <c r="J47" s="442">
        <v>54957.524367999999</v>
      </c>
      <c r="K47" s="442">
        <v>54957.524367999999</v>
      </c>
      <c r="L47" s="442">
        <v>54884.754654999997</v>
      </c>
      <c r="M47" s="442">
        <v>50330.949782999996</v>
      </c>
      <c r="N47" s="442">
        <v>50102.215339000002</v>
      </c>
      <c r="O47" s="442">
        <v>48330.332639</v>
      </c>
      <c r="P47" s="442">
        <v>47698.710549000003</v>
      </c>
    </row>
    <row r="48" spans="1:16">
      <c r="A48" s="439" t="s">
        <v>156</v>
      </c>
      <c r="B48" s="436">
        <v>0</v>
      </c>
      <c r="C48" s="436">
        <v>0</v>
      </c>
      <c r="D48" s="436">
        <v>0</v>
      </c>
      <c r="E48" s="436">
        <v>0</v>
      </c>
      <c r="F48" s="436">
        <v>0</v>
      </c>
      <c r="G48" s="436">
        <v>0</v>
      </c>
      <c r="H48" s="436">
        <v>0</v>
      </c>
      <c r="I48" s="436">
        <v>0</v>
      </c>
      <c r="J48" s="436">
        <v>0</v>
      </c>
      <c r="K48" s="436">
        <v>0</v>
      </c>
      <c r="L48" s="436">
        <v>0</v>
      </c>
      <c r="M48" s="436">
        <v>0</v>
      </c>
      <c r="N48" s="436">
        <v>0</v>
      </c>
      <c r="O48" s="436">
        <v>0</v>
      </c>
      <c r="P48" s="436">
        <v>0</v>
      </c>
    </row>
    <row r="49" spans="1:16">
      <c r="A49" s="439" t="s">
        <v>157</v>
      </c>
      <c r="B49" s="436">
        <v>244.63046800000001</v>
      </c>
      <c r="C49" s="436">
        <v>244.63046800000001</v>
      </c>
      <c r="D49" s="436">
        <v>244.63046800000001</v>
      </c>
      <c r="E49" s="436">
        <v>244.63046800000001</v>
      </c>
      <c r="F49" s="436">
        <v>244.63046800000001</v>
      </c>
      <c r="G49" s="436">
        <v>244.63046800000001</v>
      </c>
      <c r="H49" s="436">
        <v>244.63046800000001</v>
      </c>
      <c r="I49" s="436">
        <v>244.63046800000001</v>
      </c>
      <c r="J49" s="436">
        <v>8704.4704679999995</v>
      </c>
      <c r="K49" s="436">
        <v>8704.4704679999995</v>
      </c>
      <c r="L49" s="436">
        <v>8704.4704679999995</v>
      </c>
      <c r="M49" s="436">
        <v>8704.4704679999995</v>
      </c>
      <c r="N49" s="436">
        <v>8554.4704679999995</v>
      </c>
      <c r="O49" s="436">
        <v>8554.4704679999995</v>
      </c>
      <c r="P49" s="436">
        <v>8554.4704679999995</v>
      </c>
    </row>
    <row r="50" spans="1:16">
      <c r="A50" s="439" t="s">
        <v>158</v>
      </c>
      <c r="B50" s="436">
        <v>58231.004981999999</v>
      </c>
      <c r="C50" s="436">
        <v>61355.912982000002</v>
      </c>
      <c r="D50" s="436">
        <v>61955.912982000002</v>
      </c>
      <c r="E50" s="436">
        <v>64410.662982000002</v>
      </c>
      <c r="F50" s="436">
        <v>64301.466981999998</v>
      </c>
      <c r="G50" s="436">
        <v>61820.394981999998</v>
      </c>
      <c r="H50" s="436">
        <v>63029.394981999998</v>
      </c>
      <c r="I50" s="436">
        <v>54712.893900000003</v>
      </c>
      <c r="J50" s="436">
        <v>46253.053899999999</v>
      </c>
      <c r="K50" s="436">
        <v>46253.053899999999</v>
      </c>
      <c r="L50" s="436">
        <v>46180.284186999997</v>
      </c>
      <c r="M50" s="436">
        <v>45856.399315000002</v>
      </c>
      <c r="N50" s="436">
        <v>45777.664871000001</v>
      </c>
      <c r="O50" s="436">
        <v>45777.664871000001</v>
      </c>
      <c r="P50" s="436">
        <v>45146.042780999996</v>
      </c>
    </row>
    <row r="51" spans="1:16">
      <c r="A51" s="439" t="s">
        <v>159</v>
      </c>
      <c r="B51" s="436">
        <v>-2670.8950970000001</v>
      </c>
      <c r="C51" s="436">
        <v>-3125.4226370000001</v>
      </c>
      <c r="D51" s="436">
        <v>-3125.4226370000001</v>
      </c>
      <c r="E51" s="436">
        <v>-3846.8700170000002</v>
      </c>
      <c r="F51" s="436">
        <v>-3591.3700170000002</v>
      </c>
      <c r="G51" s="436">
        <v>-3591.3700170000002</v>
      </c>
      <c r="H51" s="436">
        <v>-3591.3700170000002</v>
      </c>
      <c r="I51" s="436">
        <v>0</v>
      </c>
      <c r="J51" s="436">
        <v>0</v>
      </c>
      <c r="K51" s="436">
        <v>0</v>
      </c>
      <c r="L51" s="436">
        <v>0</v>
      </c>
      <c r="M51" s="436">
        <v>-4229.92</v>
      </c>
      <c r="N51" s="436">
        <v>-4229.92</v>
      </c>
      <c r="O51" s="436">
        <v>-6001.8027000000002</v>
      </c>
      <c r="P51" s="436">
        <v>-6001.8027000000002</v>
      </c>
    </row>
    <row r="52" spans="1:16">
      <c r="A52" s="439" t="s">
        <v>160</v>
      </c>
      <c r="B52" s="436">
        <v>0</v>
      </c>
      <c r="C52" s="436">
        <v>0</v>
      </c>
      <c r="D52" s="436">
        <v>0</v>
      </c>
      <c r="E52" s="436">
        <v>0</v>
      </c>
      <c r="F52" s="436">
        <v>0</v>
      </c>
      <c r="G52" s="436">
        <v>0</v>
      </c>
      <c r="H52" s="436">
        <v>0</v>
      </c>
      <c r="I52" s="436">
        <v>0</v>
      </c>
      <c r="J52" s="436">
        <v>0</v>
      </c>
      <c r="K52" s="436">
        <v>0</v>
      </c>
      <c r="L52" s="436">
        <v>0</v>
      </c>
      <c r="M52" s="436">
        <v>0</v>
      </c>
      <c r="N52" s="436">
        <v>0</v>
      </c>
      <c r="O52" s="436">
        <v>0</v>
      </c>
      <c r="P52" s="436">
        <v>0</v>
      </c>
    </row>
    <row r="53" spans="1:16">
      <c r="A53" s="439" t="s">
        <v>161</v>
      </c>
      <c r="B53" s="442">
        <v>1371.342328</v>
      </c>
      <c r="C53" s="442">
        <v>16502.534844999998</v>
      </c>
      <c r="D53" s="442">
        <v>18462.473344999999</v>
      </c>
      <c r="E53" s="442">
        <v>15498.645248999999</v>
      </c>
      <c r="F53" s="442">
        <v>18180.180788000001</v>
      </c>
      <c r="G53" s="442">
        <v>16673.259171000002</v>
      </c>
      <c r="H53" s="442">
        <v>15232.605557000001</v>
      </c>
      <c r="I53" s="442">
        <v>14241.705029000001</v>
      </c>
      <c r="J53" s="442">
        <v>12815.268854</v>
      </c>
      <c r="K53" s="442">
        <v>11975.166811999999</v>
      </c>
      <c r="L53" s="442">
        <v>12284.954467</v>
      </c>
      <c r="M53" s="442">
        <v>23506.900965000001</v>
      </c>
      <c r="N53" s="442">
        <v>25185.972071</v>
      </c>
      <c r="O53" s="442">
        <v>24024.980549</v>
      </c>
      <c r="P53" s="442">
        <v>30923.210214999999</v>
      </c>
    </row>
    <row r="54" spans="1:16">
      <c r="A54" s="439" t="s">
        <v>162</v>
      </c>
      <c r="B54" s="436">
        <v>1371.342328</v>
      </c>
      <c r="C54" s="436">
        <v>16502.534844999998</v>
      </c>
      <c r="D54" s="436">
        <v>18462.473344999999</v>
      </c>
      <c r="E54" s="436">
        <v>15498.645248999999</v>
      </c>
      <c r="F54" s="436">
        <v>18180.180788000001</v>
      </c>
      <c r="G54" s="436">
        <v>16673.259171000002</v>
      </c>
      <c r="H54" s="436">
        <v>15232.605557000001</v>
      </c>
      <c r="I54" s="436">
        <v>14241.705029000001</v>
      </c>
      <c r="J54" s="436">
        <v>12815.268854</v>
      </c>
      <c r="K54" s="436">
        <v>11975.166811999999</v>
      </c>
      <c r="L54" s="436">
        <v>12284.954467</v>
      </c>
      <c r="M54" s="436">
        <v>23506.900965000001</v>
      </c>
      <c r="N54" s="436">
        <v>23728.945070999998</v>
      </c>
      <c r="O54" s="436">
        <v>21454.484549000001</v>
      </c>
      <c r="P54" s="436">
        <v>28352.714215</v>
      </c>
    </row>
    <row r="55" spans="1:16">
      <c r="A55" s="439" t="s">
        <v>163</v>
      </c>
      <c r="B55" s="436">
        <v>0</v>
      </c>
      <c r="C55" s="436">
        <v>0</v>
      </c>
      <c r="D55" s="436">
        <v>0</v>
      </c>
      <c r="E55" s="436">
        <v>0</v>
      </c>
      <c r="F55" s="436">
        <v>0</v>
      </c>
      <c r="G55" s="436">
        <v>0</v>
      </c>
      <c r="H55" s="436">
        <v>0</v>
      </c>
      <c r="I55" s="436">
        <v>0</v>
      </c>
      <c r="J55" s="436">
        <v>0</v>
      </c>
      <c r="K55" s="436">
        <v>0</v>
      </c>
      <c r="L55" s="436">
        <v>0</v>
      </c>
      <c r="M55" s="436">
        <v>0</v>
      </c>
      <c r="N55" s="436">
        <v>0</v>
      </c>
      <c r="O55" s="436">
        <v>0</v>
      </c>
      <c r="P55" s="436">
        <v>0</v>
      </c>
    </row>
    <row r="56" spans="1:16">
      <c r="A56" s="439" t="s">
        <v>164</v>
      </c>
      <c r="B56" s="436">
        <v>0</v>
      </c>
      <c r="C56" s="436">
        <v>0</v>
      </c>
      <c r="D56" s="436">
        <v>0</v>
      </c>
      <c r="E56" s="436">
        <v>0</v>
      </c>
      <c r="F56" s="436">
        <v>0</v>
      </c>
      <c r="G56" s="436">
        <v>0</v>
      </c>
      <c r="H56" s="436">
        <v>0</v>
      </c>
      <c r="I56" s="436">
        <v>0</v>
      </c>
      <c r="J56" s="436">
        <v>0</v>
      </c>
      <c r="K56" s="436">
        <v>0</v>
      </c>
      <c r="L56" s="436">
        <v>0</v>
      </c>
      <c r="M56" s="436">
        <v>0</v>
      </c>
      <c r="N56" s="436">
        <v>1457.027</v>
      </c>
      <c r="O56" s="436">
        <v>2570.4960000000001</v>
      </c>
      <c r="P56" s="436">
        <v>2570.4960000000001</v>
      </c>
    </row>
    <row r="57" spans="1:16" s="444" customFormat="1">
      <c r="A57" s="440" t="s">
        <v>76</v>
      </c>
      <c r="B57" s="442">
        <v>364130.31263300002</v>
      </c>
      <c r="C57" s="442">
        <v>378289.68468200002</v>
      </c>
      <c r="D57" s="442">
        <v>384762.95500700001</v>
      </c>
      <c r="E57" s="442">
        <v>391794.49247400003</v>
      </c>
      <c r="F57" s="442">
        <v>388879.74401099997</v>
      </c>
      <c r="G57" s="442">
        <v>413740.23262600001</v>
      </c>
      <c r="H57" s="442">
        <v>397388.04636199999</v>
      </c>
      <c r="I57" s="442">
        <v>403014.34911200003</v>
      </c>
      <c r="J57" s="442">
        <v>379299.90208700002</v>
      </c>
      <c r="K57" s="442">
        <v>368597.64398699999</v>
      </c>
      <c r="L57" s="442">
        <v>361013.50471200002</v>
      </c>
      <c r="M57" s="442">
        <v>366831.15141799999</v>
      </c>
      <c r="N57" s="442">
        <v>368723.44757800002</v>
      </c>
      <c r="O57" s="442">
        <v>338226.26044699998</v>
      </c>
      <c r="P57" s="442">
        <v>336775.02109699999</v>
      </c>
    </row>
    <row r="58" spans="1:16" s="444" customFormat="1">
      <c r="A58" s="440" t="s">
        <v>165</v>
      </c>
      <c r="B58" s="442">
        <v>31009.518683999999</v>
      </c>
      <c r="C58" s="442">
        <v>63940.097985</v>
      </c>
      <c r="D58" s="442">
        <v>58156.426764999997</v>
      </c>
      <c r="E58" s="442">
        <v>57963.740030000001</v>
      </c>
      <c r="F58" s="442">
        <v>59193.318574999998</v>
      </c>
      <c r="G58" s="442">
        <v>97117.699517000001</v>
      </c>
      <c r="H58" s="442">
        <v>73451.863628999999</v>
      </c>
      <c r="I58" s="442">
        <v>64149.934848999997</v>
      </c>
      <c r="J58" s="442">
        <v>60569.564605</v>
      </c>
      <c r="K58" s="442">
        <v>62996.984574000002</v>
      </c>
      <c r="L58" s="442">
        <v>49555.503251000002</v>
      </c>
      <c r="M58" s="442">
        <v>54262.476261999996</v>
      </c>
      <c r="N58" s="442">
        <v>54598.692522999998</v>
      </c>
      <c r="O58" s="442">
        <v>40293.33885</v>
      </c>
      <c r="P58" s="442">
        <v>32387.365065000002</v>
      </c>
    </row>
    <row r="59" spans="1:16" s="444" customFormat="1">
      <c r="A59" s="440" t="s">
        <v>166</v>
      </c>
      <c r="B59" s="442">
        <v>29247.628194000001</v>
      </c>
      <c r="C59" s="442">
        <v>62182.718894999998</v>
      </c>
      <c r="D59" s="442">
        <v>56403.559074999997</v>
      </c>
      <c r="E59" s="442">
        <v>56107.049904</v>
      </c>
      <c r="F59" s="442">
        <v>57353.283399</v>
      </c>
      <c r="G59" s="442">
        <v>95277.664340999996</v>
      </c>
      <c r="H59" s="442">
        <v>71611.828452999995</v>
      </c>
      <c r="I59" s="442">
        <v>62143.090072999999</v>
      </c>
      <c r="J59" s="442">
        <v>58574.438628999997</v>
      </c>
      <c r="K59" s="442">
        <v>61011.658598000002</v>
      </c>
      <c r="L59" s="442">
        <v>47593.235274999999</v>
      </c>
      <c r="M59" s="442">
        <v>54262.476261999996</v>
      </c>
      <c r="N59" s="442">
        <v>54598.692522999998</v>
      </c>
      <c r="O59" s="442">
        <v>40293.33885</v>
      </c>
      <c r="P59" s="442">
        <v>32387.365065000002</v>
      </c>
    </row>
    <row r="60" spans="1:16">
      <c r="A60" s="439" t="s">
        <v>167</v>
      </c>
      <c r="B60" s="436">
        <v>0</v>
      </c>
      <c r="C60" s="436">
        <v>4300</v>
      </c>
      <c r="D60" s="436">
        <v>20000</v>
      </c>
      <c r="E60" s="436">
        <v>30000</v>
      </c>
      <c r="F60" s="436">
        <v>40000</v>
      </c>
      <c r="G60" s="436">
        <v>48000</v>
      </c>
      <c r="H60" s="436">
        <v>41688.868189000001</v>
      </c>
      <c r="I60" s="436">
        <v>34237.949550999998</v>
      </c>
      <c r="J60" s="436">
        <v>25421.871568999999</v>
      </c>
      <c r="K60" s="436">
        <v>29547.102062000002</v>
      </c>
      <c r="L60" s="436">
        <v>23774.012717000001</v>
      </c>
      <c r="M60" s="436">
        <v>30926.933528000001</v>
      </c>
      <c r="N60" s="436">
        <v>37700.822921999999</v>
      </c>
      <c r="O60" s="436">
        <v>30972.943569999999</v>
      </c>
      <c r="P60" s="436">
        <v>18916.258387000002</v>
      </c>
    </row>
    <row r="61" spans="1:16">
      <c r="A61" s="439" t="s">
        <v>168</v>
      </c>
      <c r="B61" s="436">
        <v>7834.0338160000001</v>
      </c>
      <c r="C61" s="436">
        <v>6998.1771060000001</v>
      </c>
      <c r="D61" s="436">
        <v>7853.6745279999996</v>
      </c>
      <c r="E61" s="436">
        <v>11287.89918</v>
      </c>
      <c r="F61" s="436">
        <v>8908.3259020000005</v>
      </c>
      <c r="G61" s="436">
        <v>9297.2873529999997</v>
      </c>
      <c r="H61" s="436">
        <v>5540.4073799999996</v>
      </c>
      <c r="I61" s="436">
        <v>6530.416502</v>
      </c>
      <c r="J61" s="436">
        <v>9912.0716350000002</v>
      </c>
      <c r="K61" s="436">
        <v>7068.5024599999997</v>
      </c>
      <c r="L61" s="436">
        <v>4843.3755170000004</v>
      </c>
      <c r="M61" s="436">
        <v>5836.7489189999997</v>
      </c>
      <c r="N61" s="436">
        <v>3432.37329</v>
      </c>
      <c r="O61" s="436">
        <v>2663.216226</v>
      </c>
      <c r="P61" s="436">
        <v>2950.4854869999999</v>
      </c>
    </row>
    <row r="62" spans="1:16">
      <c r="A62" s="439" t="s">
        <v>169</v>
      </c>
      <c r="B62" s="436">
        <v>1444.4569289999999</v>
      </c>
      <c r="C62" s="436">
        <v>576.89896999999996</v>
      </c>
      <c r="D62" s="436">
        <v>3809.2893730000001</v>
      </c>
      <c r="E62" s="436">
        <v>700.39152799999999</v>
      </c>
      <c r="F62" s="436">
        <v>1622.1869449999999</v>
      </c>
      <c r="G62" s="436">
        <v>1116.6988100000001</v>
      </c>
      <c r="H62" s="436">
        <v>438.201821</v>
      </c>
      <c r="I62" s="436">
        <v>550.227799</v>
      </c>
      <c r="J62" s="436">
        <v>1277.6723030000001</v>
      </c>
      <c r="K62" s="436">
        <v>236.90215799999999</v>
      </c>
      <c r="L62" s="436">
        <v>310.31271600000002</v>
      </c>
      <c r="M62" s="436">
        <v>182.69495499999999</v>
      </c>
      <c r="N62" s="436">
        <v>389.84673800000002</v>
      </c>
      <c r="O62" s="436">
        <v>291.22005999999999</v>
      </c>
      <c r="P62" s="436">
        <v>684.67432799999995</v>
      </c>
    </row>
    <row r="63" spans="1:16">
      <c r="A63" s="439" t="s">
        <v>170</v>
      </c>
      <c r="B63" s="436">
        <v>18791.427141</v>
      </c>
      <c r="C63" s="436">
        <v>21845.386385000002</v>
      </c>
      <c r="D63" s="436">
        <v>17292.073928000002</v>
      </c>
      <c r="E63" s="436">
        <v>6643.9971740000001</v>
      </c>
      <c r="F63" s="436">
        <v>7336.8393990000004</v>
      </c>
      <c r="G63" s="436">
        <v>10673.455823</v>
      </c>
      <c r="H63" s="436">
        <v>14157.259485</v>
      </c>
      <c r="I63" s="436">
        <v>11850.288601</v>
      </c>
      <c r="J63" s="436">
        <v>18161.134451999998</v>
      </c>
      <c r="K63" s="436">
        <v>16290.857388</v>
      </c>
      <c r="L63" s="436">
        <v>13949.426707000001</v>
      </c>
      <c r="M63" s="436">
        <v>4748.1665720000001</v>
      </c>
      <c r="N63" s="436">
        <v>5402.669022</v>
      </c>
      <c r="O63" s="436">
        <v>647.57322299999998</v>
      </c>
      <c r="P63" s="436">
        <v>3708.7138049999999</v>
      </c>
    </row>
    <row r="64" spans="1:16">
      <c r="A64" s="439" t="s">
        <v>171</v>
      </c>
      <c r="B64" s="436">
        <v>859.34512700000005</v>
      </c>
      <c r="C64" s="436">
        <v>4346.3714490000002</v>
      </c>
      <c r="D64" s="436">
        <v>4118.2284490000002</v>
      </c>
      <c r="E64" s="436">
        <v>5252.5774250000004</v>
      </c>
      <c r="F64" s="436">
        <v>2023.5745710000001</v>
      </c>
      <c r="G64" s="436">
        <v>3969.7950649999998</v>
      </c>
      <c r="H64" s="436">
        <v>3909.939065</v>
      </c>
      <c r="I64" s="436">
        <v>4311.96</v>
      </c>
      <c r="J64" s="436">
        <v>906.29200000000003</v>
      </c>
      <c r="K64" s="436">
        <v>2193.427142</v>
      </c>
      <c r="L64" s="436">
        <v>2100.880142</v>
      </c>
      <c r="M64" s="436">
        <v>2784.3818390000001</v>
      </c>
      <c r="N64" s="436">
        <v>599.57759399999998</v>
      </c>
      <c r="O64" s="436">
        <v>2210.5724799999998</v>
      </c>
      <c r="P64" s="436">
        <v>2946.7275540000001</v>
      </c>
    </row>
    <row r="65" spans="1:16">
      <c r="A65" s="439" t="s">
        <v>172</v>
      </c>
      <c r="B65" s="436">
        <v>1455.2673380000001</v>
      </c>
      <c r="C65" s="436">
        <v>1495.5449510000001</v>
      </c>
      <c r="D65" s="436">
        <v>1485.942243</v>
      </c>
      <c r="E65" s="436">
        <v>1579.961055</v>
      </c>
      <c r="F65" s="436">
        <v>1436.1212519999999</v>
      </c>
      <c r="G65" s="436">
        <v>1368.3592160000001</v>
      </c>
      <c r="H65" s="436">
        <v>1276.246126</v>
      </c>
      <c r="I65" s="436">
        <v>1336.419598</v>
      </c>
      <c r="J65" s="436">
        <v>1245.7395309999999</v>
      </c>
      <c r="K65" s="436">
        <v>2231.9641200000001</v>
      </c>
      <c r="L65" s="436">
        <v>1516.0523330000001</v>
      </c>
      <c r="M65" s="436">
        <v>8266.8636999999999</v>
      </c>
      <c r="N65" s="436">
        <v>7608.7420309999998</v>
      </c>
      <c r="O65" s="436">
        <v>1549.1557829999999</v>
      </c>
      <c r="P65" s="436">
        <v>1812.3251130000001</v>
      </c>
    </row>
    <row r="66" spans="1:16">
      <c r="A66" s="439" t="s">
        <v>173</v>
      </c>
      <c r="B66" s="436">
        <v>0</v>
      </c>
      <c r="C66" s="436">
        <v>0</v>
      </c>
      <c r="D66" s="436">
        <v>0</v>
      </c>
      <c r="E66" s="436">
        <v>0</v>
      </c>
      <c r="F66" s="436">
        <v>0</v>
      </c>
      <c r="G66" s="436">
        <v>0</v>
      </c>
      <c r="H66" s="436">
        <v>0</v>
      </c>
      <c r="I66" s="436">
        <v>0</v>
      </c>
      <c r="J66" s="436">
        <v>0</v>
      </c>
      <c r="K66" s="436">
        <v>0</v>
      </c>
      <c r="L66" s="436">
        <v>0</v>
      </c>
      <c r="M66" s="436">
        <v>0</v>
      </c>
      <c r="N66" s="436">
        <v>0</v>
      </c>
      <c r="O66" s="436">
        <v>0</v>
      </c>
      <c r="P66" s="436">
        <v>0</v>
      </c>
    </row>
    <row r="67" spans="1:16">
      <c r="A67" s="439" t="s">
        <v>174</v>
      </c>
      <c r="B67" s="436">
        <v>0</v>
      </c>
      <c r="C67" s="436">
        <v>0</v>
      </c>
      <c r="D67" s="436">
        <v>0</v>
      </c>
      <c r="E67" s="436">
        <v>0</v>
      </c>
      <c r="F67" s="436">
        <v>0</v>
      </c>
      <c r="G67" s="436">
        <v>0</v>
      </c>
      <c r="H67" s="436">
        <v>0</v>
      </c>
      <c r="I67" s="436">
        <v>0</v>
      </c>
      <c r="J67" s="436">
        <v>0</v>
      </c>
      <c r="K67" s="436">
        <v>0</v>
      </c>
      <c r="L67" s="436">
        <v>0</v>
      </c>
      <c r="M67" s="436">
        <v>0</v>
      </c>
      <c r="N67" s="436">
        <v>0</v>
      </c>
      <c r="O67" s="436">
        <v>0</v>
      </c>
      <c r="P67" s="436">
        <v>0</v>
      </c>
    </row>
    <row r="68" spans="1:16">
      <c r="A68" s="439" t="s">
        <v>175</v>
      </c>
      <c r="B68" s="436">
        <v>3928.2409090000001</v>
      </c>
      <c r="C68" s="436">
        <v>22620.340034000001</v>
      </c>
      <c r="D68" s="436">
        <v>1350.0272030000001</v>
      </c>
      <c r="E68" s="436">
        <v>912.31819099999996</v>
      </c>
      <c r="F68" s="436">
        <v>1047.93533</v>
      </c>
      <c r="G68" s="436">
        <v>19852.642312</v>
      </c>
      <c r="H68" s="436">
        <v>4732.5126250000003</v>
      </c>
      <c r="I68" s="436">
        <v>3325.8280220000001</v>
      </c>
      <c r="J68" s="436">
        <v>3263.057139</v>
      </c>
      <c r="K68" s="436">
        <v>3295.568096</v>
      </c>
      <c r="L68" s="436">
        <v>1615.0199709999999</v>
      </c>
      <c r="M68" s="436">
        <v>1516.686749</v>
      </c>
      <c r="N68" s="436">
        <v>1432.575926</v>
      </c>
      <c r="O68" s="436">
        <v>1958.657508</v>
      </c>
      <c r="P68" s="436">
        <v>1654.1303909999999</v>
      </c>
    </row>
    <row r="69" spans="1:16">
      <c r="A69" s="439" t="s">
        <v>176</v>
      </c>
      <c r="B69" s="436">
        <v>-5065.1430659999996</v>
      </c>
      <c r="C69" s="436">
        <v>0</v>
      </c>
      <c r="D69" s="436">
        <v>0</v>
      </c>
      <c r="E69" s="436">
        <v>0</v>
      </c>
      <c r="F69" s="436">
        <v>0</v>
      </c>
      <c r="G69" s="436">
        <v>0</v>
      </c>
      <c r="H69" s="436">
        <v>0</v>
      </c>
      <c r="I69" s="436">
        <v>0</v>
      </c>
      <c r="J69" s="436">
        <v>0</v>
      </c>
      <c r="K69" s="436">
        <v>0</v>
      </c>
      <c r="L69" s="436">
        <v>0</v>
      </c>
      <c r="M69" s="436">
        <v>0</v>
      </c>
      <c r="N69" s="436">
        <v>0</v>
      </c>
      <c r="O69" s="436">
        <v>0</v>
      </c>
      <c r="P69" s="436">
        <v>0</v>
      </c>
    </row>
    <row r="70" spans="1:16">
      <c r="A70" s="439" t="s">
        <v>200</v>
      </c>
      <c r="B70" s="436">
        <v>0</v>
      </c>
      <c r="C70" s="436">
        <v>0</v>
      </c>
      <c r="D70" s="436">
        <v>494.323351</v>
      </c>
      <c r="E70" s="436">
        <v>-270.094649</v>
      </c>
      <c r="F70" s="436">
        <v>-5021.7</v>
      </c>
      <c r="G70" s="436">
        <v>999.42576199999996</v>
      </c>
      <c r="H70" s="436">
        <v>-131.60623799999999</v>
      </c>
      <c r="I70" s="436">
        <v>0</v>
      </c>
      <c r="J70" s="436">
        <v>-1613.4</v>
      </c>
      <c r="K70" s="436">
        <v>147.335172</v>
      </c>
      <c r="L70" s="436">
        <v>-515.84482800000001</v>
      </c>
      <c r="M70" s="436">
        <v>0</v>
      </c>
      <c r="N70" s="436">
        <v>-1967.915</v>
      </c>
      <c r="O70" s="436">
        <v>0</v>
      </c>
      <c r="P70" s="436">
        <v>-285.95</v>
      </c>
    </row>
    <row r="71" spans="1:16">
      <c r="A71" s="440" t="s">
        <v>177</v>
      </c>
      <c r="B71" s="442">
        <v>1761.89049</v>
      </c>
      <c r="C71" s="442">
        <v>1757.3790899999999</v>
      </c>
      <c r="D71" s="442">
        <v>1752.86769</v>
      </c>
      <c r="E71" s="442">
        <v>1856.690126</v>
      </c>
      <c r="F71" s="442">
        <v>1840.0351760000001</v>
      </c>
      <c r="G71" s="442">
        <v>1840.0351760000001</v>
      </c>
      <c r="H71" s="442">
        <v>1840.0351760000001</v>
      </c>
      <c r="I71" s="442">
        <v>2006.8447759999999</v>
      </c>
      <c r="J71" s="442">
        <v>1995.125976</v>
      </c>
      <c r="K71" s="442">
        <v>1985.3259760000001</v>
      </c>
      <c r="L71" s="442">
        <v>1962.2679760000001</v>
      </c>
      <c r="M71" s="442">
        <v>0</v>
      </c>
      <c r="N71" s="442">
        <v>0</v>
      </c>
      <c r="O71" s="442">
        <v>0</v>
      </c>
      <c r="P71" s="442">
        <v>0</v>
      </c>
    </row>
    <row r="72" spans="1:16">
      <c r="A72" s="439" t="s">
        <v>178</v>
      </c>
      <c r="B72" s="436">
        <v>0</v>
      </c>
      <c r="C72" s="436">
        <v>0</v>
      </c>
      <c r="D72" s="436">
        <v>0</v>
      </c>
      <c r="E72" s="436">
        <v>0</v>
      </c>
      <c r="F72" s="436">
        <v>0</v>
      </c>
      <c r="G72" s="436">
        <v>0</v>
      </c>
      <c r="H72" s="436">
        <v>0</v>
      </c>
      <c r="I72" s="436">
        <v>0</v>
      </c>
      <c r="J72" s="436">
        <v>0</v>
      </c>
      <c r="K72" s="436">
        <v>0</v>
      </c>
      <c r="L72" s="436">
        <v>0</v>
      </c>
      <c r="M72" s="436">
        <v>0</v>
      </c>
      <c r="N72" s="436">
        <v>0</v>
      </c>
      <c r="O72" s="436">
        <v>0</v>
      </c>
      <c r="P72" s="436">
        <v>0</v>
      </c>
    </row>
    <row r="73" spans="1:16">
      <c r="A73" s="439" t="s">
        <v>179</v>
      </c>
      <c r="B73" s="436">
        <v>0</v>
      </c>
      <c r="C73" s="436">
        <v>0</v>
      </c>
      <c r="D73" s="436">
        <v>0</v>
      </c>
      <c r="E73" s="436">
        <v>0</v>
      </c>
      <c r="F73" s="436">
        <v>0</v>
      </c>
      <c r="G73" s="436">
        <v>0</v>
      </c>
      <c r="H73" s="436">
        <v>0</v>
      </c>
      <c r="I73" s="436">
        <v>0</v>
      </c>
      <c r="J73" s="436">
        <v>0</v>
      </c>
      <c r="K73" s="436">
        <v>0</v>
      </c>
      <c r="L73" s="436">
        <v>0</v>
      </c>
      <c r="M73" s="436">
        <v>0</v>
      </c>
      <c r="N73" s="436">
        <v>0</v>
      </c>
      <c r="O73" s="436">
        <v>0</v>
      </c>
      <c r="P73" s="436">
        <v>0</v>
      </c>
    </row>
    <row r="74" spans="1:16">
      <c r="A74" s="439" t="s">
        <v>180</v>
      </c>
      <c r="B74" s="436">
        <v>0</v>
      </c>
      <c r="C74" s="436">
        <v>0</v>
      </c>
      <c r="D74" s="436">
        <v>0</v>
      </c>
      <c r="E74" s="436">
        <v>0</v>
      </c>
      <c r="F74" s="436">
        <v>0</v>
      </c>
      <c r="G74" s="436">
        <v>0</v>
      </c>
      <c r="H74" s="436">
        <v>0</v>
      </c>
      <c r="I74" s="436">
        <v>0</v>
      </c>
      <c r="J74" s="436">
        <v>0</v>
      </c>
      <c r="K74" s="436">
        <v>0</v>
      </c>
      <c r="L74" s="436">
        <v>0</v>
      </c>
      <c r="M74" s="436">
        <v>0</v>
      </c>
      <c r="N74" s="436">
        <v>0</v>
      </c>
      <c r="O74" s="436">
        <v>0</v>
      </c>
      <c r="P74" s="436">
        <v>0</v>
      </c>
    </row>
    <row r="75" spans="1:16">
      <c r="A75" s="439" t="s">
        <v>181</v>
      </c>
      <c r="B75" s="436">
        <v>0</v>
      </c>
      <c r="C75" s="436">
        <v>0</v>
      </c>
      <c r="D75" s="436">
        <v>0</v>
      </c>
      <c r="E75" s="436">
        <v>0</v>
      </c>
      <c r="F75" s="436">
        <v>0</v>
      </c>
      <c r="G75" s="436">
        <v>0</v>
      </c>
      <c r="H75" s="436">
        <v>0</v>
      </c>
      <c r="I75" s="436">
        <v>0</v>
      </c>
      <c r="J75" s="436">
        <v>0</v>
      </c>
      <c r="K75" s="436">
        <v>0</v>
      </c>
      <c r="L75" s="436">
        <v>0</v>
      </c>
      <c r="M75" s="436">
        <v>0</v>
      </c>
      <c r="N75" s="436">
        <v>0</v>
      </c>
      <c r="O75" s="436">
        <v>0</v>
      </c>
      <c r="P75" s="436">
        <v>0</v>
      </c>
    </row>
    <row r="76" spans="1:16">
      <c r="A76" s="439" t="s">
        <v>182</v>
      </c>
      <c r="B76" s="436">
        <v>0</v>
      </c>
      <c r="C76" s="436">
        <v>0</v>
      </c>
      <c r="D76" s="436">
        <v>0</v>
      </c>
      <c r="E76" s="436">
        <v>0</v>
      </c>
      <c r="F76" s="436">
        <v>0</v>
      </c>
      <c r="G76" s="436">
        <v>0</v>
      </c>
      <c r="H76" s="436">
        <v>0</v>
      </c>
      <c r="I76" s="436">
        <v>0</v>
      </c>
      <c r="J76" s="436">
        <v>0</v>
      </c>
      <c r="K76" s="436">
        <v>0</v>
      </c>
      <c r="L76" s="436">
        <v>0</v>
      </c>
      <c r="M76" s="436">
        <v>0</v>
      </c>
      <c r="N76" s="436">
        <v>0</v>
      </c>
      <c r="O76" s="436">
        <v>0</v>
      </c>
      <c r="P76" s="436">
        <v>0</v>
      </c>
    </row>
    <row r="77" spans="1:16">
      <c r="A77" s="439" t="s">
        <v>183</v>
      </c>
      <c r="B77" s="436">
        <v>1761.89049</v>
      </c>
      <c r="C77" s="436">
        <v>1757.3790899999999</v>
      </c>
      <c r="D77" s="436">
        <v>1752.86769</v>
      </c>
      <c r="E77" s="436">
        <v>1856.690126</v>
      </c>
      <c r="F77" s="436">
        <v>1840.0351760000001</v>
      </c>
      <c r="G77" s="436">
        <v>1840.0351760000001</v>
      </c>
      <c r="H77" s="436">
        <v>1840.0351760000001</v>
      </c>
      <c r="I77" s="436">
        <v>2006.8447759999999</v>
      </c>
      <c r="J77" s="436">
        <v>1995.125976</v>
      </c>
      <c r="K77" s="436">
        <v>1985.3259760000001</v>
      </c>
      <c r="L77" s="436">
        <v>1962.2679760000001</v>
      </c>
      <c r="M77" s="436">
        <v>0</v>
      </c>
      <c r="N77" s="436">
        <v>0</v>
      </c>
      <c r="O77" s="436">
        <v>0</v>
      </c>
      <c r="P77" s="436">
        <v>0</v>
      </c>
    </row>
    <row r="78" spans="1:16">
      <c r="A78" s="439" t="s">
        <v>184</v>
      </c>
      <c r="B78" s="436">
        <v>0</v>
      </c>
      <c r="C78" s="436">
        <v>0</v>
      </c>
      <c r="D78" s="436">
        <v>0</v>
      </c>
      <c r="E78" s="436">
        <v>0</v>
      </c>
      <c r="F78" s="436">
        <v>0</v>
      </c>
      <c r="G78" s="436">
        <v>0</v>
      </c>
      <c r="H78" s="436">
        <v>0</v>
      </c>
      <c r="I78" s="436">
        <v>0</v>
      </c>
      <c r="J78" s="436">
        <v>0</v>
      </c>
      <c r="K78" s="436">
        <v>0</v>
      </c>
      <c r="L78" s="436">
        <v>0</v>
      </c>
      <c r="M78" s="436">
        <v>0</v>
      </c>
      <c r="N78" s="436">
        <v>0</v>
      </c>
      <c r="O78" s="436">
        <v>0</v>
      </c>
      <c r="P78" s="436">
        <v>0</v>
      </c>
    </row>
    <row r="79" spans="1:16">
      <c r="A79" s="439" t="s">
        <v>185</v>
      </c>
      <c r="B79" s="436">
        <v>0</v>
      </c>
      <c r="C79" s="436">
        <v>0</v>
      </c>
      <c r="D79" s="436">
        <v>0</v>
      </c>
      <c r="E79" s="436">
        <v>0</v>
      </c>
      <c r="F79" s="436">
        <v>0</v>
      </c>
      <c r="G79" s="436">
        <v>0</v>
      </c>
      <c r="H79" s="436">
        <v>0</v>
      </c>
      <c r="I79" s="436">
        <v>0</v>
      </c>
      <c r="J79" s="436">
        <v>0</v>
      </c>
      <c r="K79" s="436">
        <v>0</v>
      </c>
      <c r="L79" s="436">
        <v>0</v>
      </c>
      <c r="M79" s="436">
        <v>0</v>
      </c>
      <c r="N79" s="436">
        <v>0</v>
      </c>
      <c r="O79" s="436">
        <v>0</v>
      </c>
      <c r="P79" s="436">
        <v>0</v>
      </c>
    </row>
    <row r="80" spans="1:16">
      <c r="A80" s="439" t="s">
        <v>787</v>
      </c>
      <c r="B80" s="436">
        <v>0</v>
      </c>
      <c r="C80" s="436">
        <v>0</v>
      </c>
      <c r="D80" s="436">
        <v>0</v>
      </c>
      <c r="E80" s="436">
        <v>0</v>
      </c>
      <c r="F80" s="436">
        <v>0</v>
      </c>
      <c r="G80" s="436">
        <v>0</v>
      </c>
      <c r="H80" s="436">
        <v>0</v>
      </c>
      <c r="I80" s="436">
        <v>0</v>
      </c>
      <c r="J80" s="436">
        <v>0</v>
      </c>
      <c r="K80" s="436">
        <v>0</v>
      </c>
      <c r="L80" s="436">
        <v>0</v>
      </c>
      <c r="M80" s="436">
        <v>0</v>
      </c>
      <c r="N80" s="436">
        <v>0</v>
      </c>
      <c r="O80" s="436">
        <v>0</v>
      </c>
      <c r="P80" s="436">
        <v>0</v>
      </c>
    </row>
    <row r="81" spans="1:16">
      <c r="A81" s="439" t="s">
        <v>788</v>
      </c>
      <c r="B81" s="436">
        <v>0</v>
      </c>
      <c r="C81" s="436">
        <v>0</v>
      </c>
      <c r="D81" s="436">
        <v>0</v>
      </c>
      <c r="E81" s="436">
        <v>0</v>
      </c>
      <c r="F81" s="436">
        <v>0</v>
      </c>
      <c r="G81" s="436">
        <v>0</v>
      </c>
      <c r="H81" s="436">
        <v>0</v>
      </c>
      <c r="I81" s="436">
        <v>0</v>
      </c>
      <c r="J81" s="436">
        <v>0</v>
      </c>
      <c r="K81" s="436">
        <v>0</v>
      </c>
      <c r="L81" s="436">
        <v>0</v>
      </c>
      <c r="M81" s="436">
        <v>0</v>
      </c>
      <c r="N81" s="436">
        <v>0</v>
      </c>
      <c r="O81" s="436">
        <v>0</v>
      </c>
      <c r="P81" s="436">
        <v>0</v>
      </c>
    </row>
    <row r="82" spans="1:16">
      <c r="A82" s="440" t="s">
        <v>186</v>
      </c>
      <c r="B82" s="442">
        <v>333120.79394900001</v>
      </c>
      <c r="C82" s="442">
        <v>314349.58669700002</v>
      </c>
      <c r="D82" s="442">
        <v>326606.52824199997</v>
      </c>
      <c r="E82" s="442">
        <v>333830.75244399998</v>
      </c>
      <c r="F82" s="442">
        <v>329686.42543599999</v>
      </c>
      <c r="G82" s="442">
        <v>316622.53310900001</v>
      </c>
      <c r="H82" s="442">
        <v>323936.18273300002</v>
      </c>
      <c r="I82" s="442">
        <v>338864.41426300001</v>
      </c>
      <c r="J82" s="442">
        <v>318730.337482</v>
      </c>
      <c r="K82" s="442">
        <v>305600.65941299999</v>
      </c>
      <c r="L82" s="442">
        <v>311458.00146100001</v>
      </c>
      <c r="M82" s="442">
        <v>312568.67515600001</v>
      </c>
      <c r="N82" s="442">
        <v>314124.75505500002</v>
      </c>
      <c r="O82" s="442">
        <v>297932.92159699998</v>
      </c>
      <c r="P82" s="442">
        <v>304387.65603200003</v>
      </c>
    </row>
    <row r="83" spans="1:16">
      <c r="A83" s="440" t="s">
        <v>187</v>
      </c>
      <c r="B83" s="442">
        <v>333120.79394900001</v>
      </c>
      <c r="C83" s="442">
        <v>314349.58669700002</v>
      </c>
      <c r="D83" s="442">
        <v>326606.52824199997</v>
      </c>
      <c r="E83" s="442">
        <v>333830.75244399998</v>
      </c>
      <c r="F83" s="442">
        <v>329686.42543599999</v>
      </c>
      <c r="G83" s="442">
        <v>316622.53310900001</v>
      </c>
      <c r="H83" s="442">
        <v>323936.18273300002</v>
      </c>
      <c r="I83" s="442">
        <v>338864.41426300001</v>
      </c>
      <c r="J83" s="442">
        <v>318730.337482</v>
      </c>
      <c r="K83" s="442">
        <v>305600.65941299999</v>
      </c>
      <c r="L83" s="442">
        <v>311458.00146100001</v>
      </c>
      <c r="M83" s="442">
        <v>312568.67515600001</v>
      </c>
      <c r="N83" s="442">
        <v>314124.75505500002</v>
      </c>
      <c r="O83" s="442">
        <v>297932.92159699998</v>
      </c>
      <c r="P83" s="442">
        <v>304387.65603200003</v>
      </c>
    </row>
    <row r="84" spans="1:16">
      <c r="A84" s="439" t="s">
        <v>188</v>
      </c>
      <c r="B84" s="436">
        <v>100996.7</v>
      </c>
      <c r="C84" s="436">
        <v>100996.7</v>
      </c>
      <c r="D84" s="436">
        <v>100996.7</v>
      </c>
      <c r="E84" s="436">
        <v>151199.46</v>
      </c>
      <c r="F84" s="436">
        <v>151199.46</v>
      </c>
      <c r="G84" s="436">
        <v>151199.46</v>
      </c>
      <c r="H84" s="436">
        <v>151199.46</v>
      </c>
      <c r="I84" s="436">
        <v>151199.46</v>
      </c>
      <c r="J84" s="436">
        <v>151199.46</v>
      </c>
      <c r="K84" s="436">
        <v>151199.46</v>
      </c>
      <c r="L84" s="436">
        <v>151199.46</v>
      </c>
      <c r="M84" s="436">
        <v>151199.46</v>
      </c>
      <c r="N84" s="436">
        <v>151199.46</v>
      </c>
      <c r="O84" s="436">
        <v>151199.46</v>
      </c>
      <c r="P84" s="436">
        <v>151199.46</v>
      </c>
    </row>
    <row r="85" spans="1:16">
      <c r="A85" s="439" t="s">
        <v>189</v>
      </c>
      <c r="B85" s="436">
        <v>108601.17600000001</v>
      </c>
      <c r="C85" s="436">
        <v>108601.17600000001</v>
      </c>
      <c r="D85" s="436">
        <v>108601.17600000001</v>
      </c>
      <c r="E85" s="436">
        <v>58398.415999999997</v>
      </c>
      <c r="F85" s="436">
        <v>58398.415999999997</v>
      </c>
      <c r="G85" s="436">
        <v>58398.415999999997</v>
      </c>
      <c r="H85" s="436">
        <v>58398.415999999997</v>
      </c>
      <c r="I85" s="436">
        <v>58398.415999999997</v>
      </c>
      <c r="J85" s="436">
        <v>58398.415999999997</v>
      </c>
      <c r="K85" s="436">
        <v>58398.415999999997</v>
      </c>
      <c r="L85" s="436">
        <v>58398.415999999997</v>
      </c>
      <c r="M85" s="436">
        <v>58398.415999999997</v>
      </c>
      <c r="N85" s="436">
        <v>58398.415999999997</v>
      </c>
      <c r="O85" s="436">
        <v>58398.415999999997</v>
      </c>
      <c r="P85" s="436">
        <v>58398.415999999997</v>
      </c>
    </row>
    <row r="86" spans="1:16">
      <c r="A86" s="439" t="s">
        <v>190</v>
      </c>
      <c r="B86" s="436">
        <v>0</v>
      </c>
      <c r="C86" s="436">
        <v>0</v>
      </c>
      <c r="D86" s="436">
        <v>0</v>
      </c>
      <c r="E86" s="436">
        <v>0</v>
      </c>
      <c r="F86" s="436">
        <v>0</v>
      </c>
      <c r="G86" s="436">
        <v>0</v>
      </c>
      <c r="H86" s="436">
        <v>0</v>
      </c>
      <c r="I86" s="436">
        <v>0</v>
      </c>
      <c r="J86" s="436">
        <v>0</v>
      </c>
      <c r="K86" s="436">
        <v>0</v>
      </c>
      <c r="L86" s="436">
        <v>0</v>
      </c>
      <c r="M86" s="436">
        <v>0</v>
      </c>
      <c r="N86" s="436">
        <v>0</v>
      </c>
      <c r="O86" s="436">
        <v>0</v>
      </c>
      <c r="P86" s="436">
        <v>0</v>
      </c>
    </row>
    <row r="87" spans="1:16">
      <c r="A87" s="439" t="s">
        <v>191</v>
      </c>
      <c r="B87" s="436">
        <v>-1298.22</v>
      </c>
      <c r="C87" s="436">
        <v>-1298.22</v>
      </c>
      <c r="D87" s="436">
        <v>-1298.22</v>
      </c>
      <c r="E87" s="436">
        <v>-1298.22</v>
      </c>
      <c r="F87" s="436">
        <v>-1298.22</v>
      </c>
      <c r="G87" s="436">
        <v>-1298.22</v>
      </c>
      <c r="H87" s="436">
        <v>-1298.22</v>
      </c>
      <c r="I87" s="436">
        <v>-1298.22</v>
      </c>
      <c r="J87" s="436">
        <v>-1298.22</v>
      </c>
      <c r="K87" s="436">
        <v>-1298.22</v>
      </c>
      <c r="L87" s="436">
        <v>-1298.22</v>
      </c>
      <c r="M87" s="436">
        <v>-1298.22</v>
      </c>
      <c r="N87" s="436">
        <v>-1298.22</v>
      </c>
      <c r="O87" s="436">
        <v>-1298.22</v>
      </c>
      <c r="P87" s="436">
        <v>-1298.22</v>
      </c>
    </row>
    <row r="88" spans="1:16">
      <c r="A88" s="439" t="s">
        <v>192</v>
      </c>
      <c r="B88" s="436">
        <v>0</v>
      </c>
      <c r="C88" s="436">
        <v>0</v>
      </c>
      <c r="D88" s="436">
        <v>0</v>
      </c>
      <c r="E88" s="436">
        <v>0</v>
      </c>
      <c r="F88" s="436">
        <v>0</v>
      </c>
      <c r="G88" s="436">
        <v>0</v>
      </c>
      <c r="H88" s="436">
        <v>0</v>
      </c>
      <c r="I88" s="436">
        <v>0</v>
      </c>
      <c r="J88" s="436">
        <v>0</v>
      </c>
      <c r="K88" s="436">
        <v>0</v>
      </c>
      <c r="L88" s="436">
        <v>0</v>
      </c>
      <c r="M88" s="436">
        <v>0</v>
      </c>
      <c r="N88" s="436">
        <v>0</v>
      </c>
      <c r="O88" s="436">
        <v>0</v>
      </c>
      <c r="P88" s="436">
        <v>0</v>
      </c>
    </row>
    <row r="89" spans="1:16">
      <c r="A89" s="439" t="s">
        <v>193</v>
      </c>
      <c r="B89" s="436">
        <v>0</v>
      </c>
      <c r="C89" s="436">
        <v>0</v>
      </c>
      <c r="D89" s="436">
        <v>0</v>
      </c>
      <c r="E89" s="436">
        <v>0</v>
      </c>
      <c r="F89" s="436">
        <v>0</v>
      </c>
      <c r="G89" s="436">
        <v>0</v>
      </c>
      <c r="H89" s="436">
        <v>0</v>
      </c>
      <c r="I89" s="436">
        <v>0</v>
      </c>
      <c r="J89" s="436">
        <v>0</v>
      </c>
      <c r="K89" s="436">
        <v>0</v>
      </c>
      <c r="L89" s="436">
        <v>0</v>
      </c>
      <c r="M89" s="436">
        <v>0</v>
      </c>
      <c r="N89" s="436">
        <v>0</v>
      </c>
      <c r="O89" s="436">
        <v>0</v>
      </c>
      <c r="P89" s="436">
        <v>0</v>
      </c>
    </row>
    <row r="90" spans="1:16">
      <c r="A90" s="439" t="s">
        <v>194</v>
      </c>
      <c r="B90" s="436">
        <v>36351.468252999999</v>
      </c>
      <c r="C90" s="436">
        <v>60288.836191000002</v>
      </c>
      <c r="D90" s="436">
        <v>60288.836191000002</v>
      </c>
      <c r="E90" s="436">
        <v>60288.836191000002</v>
      </c>
      <c r="F90" s="436">
        <v>60288.836191000002</v>
      </c>
      <c r="G90" s="436">
        <v>71848.959317000001</v>
      </c>
      <c r="H90" s="436">
        <v>71848.959317000001</v>
      </c>
      <c r="I90" s="436">
        <v>71848.959317000001</v>
      </c>
      <c r="J90" s="436">
        <v>71848.959317000001</v>
      </c>
      <c r="K90" s="436">
        <v>73047.325628999999</v>
      </c>
      <c r="L90" s="436">
        <v>73047.325628999999</v>
      </c>
      <c r="M90" s="436">
        <v>73047.325628999999</v>
      </c>
      <c r="N90" s="436">
        <v>73047.325628999999</v>
      </c>
      <c r="O90" s="436">
        <v>73695.293116000001</v>
      </c>
      <c r="P90" s="436">
        <v>73695.293116000001</v>
      </c>
    </row>
    <row r="91" spans="1:16">
      <c r="A91" s="439" t="s">
        <v>195</v>
      </c>
      <c r="B91" s="436">
        <v>7690.8931329999996</v>
      </c>
      <c r="C91" s="436">
        <v>11085.963291</v>
      </c>
      <c r="D91" s="436">
        <v>11085.963291</v>
      </c>
      <c r="E91" s="436">
        <v>11085.963291</v>
      </c>
      <c r="F91" s="436">
        <v>11085.963291</v>
      </c>
      <c r="G91" s="436">
        <v>13772.939055000001</v>
      </c>
      <c r="H91" s="436">
        <v>13772.939055000001</v>
      </c>
      <c r="I91" s="436">
        <v>13772.939055000001</v>
      </c>
      <c r="J91" s="436">
        <v>13772.939055000001</v>
      </c>
      <c r="K91" s="436">
        <v>15100</v>
      </c>
      <c r="L91" s="436">
        <v>15100</v>
      </c>
      <c r="M91" s="436">
        <v>15100</v>
      </c>
      <c r="N91" s="436">
        <v>15100</v>
      </c>
      <c r="O91" s="436">
        <v>15100</v>
      </c>
      <c r="P91" s="436">
        <v>15100</v>
      </c>
    </row>
    <row r="92" spans="1:16">
      <c r="A92" s="439" t="s">
        <v>196</v>
      </c>
      <c r="B92" s="436">
        <v>0</v>
      </c>
      <c r="C92" s="436">
        <v>0</v>
      </c>
      <c r="D92" s="436">
        <v>0</v>
      </c>
      <c r="E92" s="436">
        <v>0</v>
      </c>
      <c r="F92" s="436">
        <v>0</v>
      </c>
      <c r="G92" s="436">
        <v>0</v>
      </c>
      <c r="H92" s="436">
        <v>0</v>
      </c>
      <c r="I92" s="436">
        <v>0</v>
      </c>
      <c r="J92" s="436">
        <v>0</v>
      </c>
      <c r="K92" s="436">
        <v>0</v>
      </c>
      <c r="L92" s="436">
        <v>0</v>
      </c>
      <c r="M92" s="436">
        <v>0</v>
      </c>
      <c r="N92" s="436">
        <v>0</v>
      </c>
      <c r="O92" s="436">
        <v>0</v>
      </c>
      <c r="P92" s="436">
        <v>0</v>
      </c>
    </row>
    <row r="93" spans="1:16">
      <c r="A93" s="439" t="s">
        <v>197</v>
      </c>
      <c r="B93" s="436">
        <v>0</v>
      </c>
      <c r="C93" s="436">
        <v>0</v>
      </c>
      <c r="D93" s="436">
        <v>0</v>
      </c>
      <c r="E93" s="436">
        <v>0</v>
      </c>
      <c r="F93" s="436">
        <v>0</v>
      </c>
      <c r="G93" s="436">
        <v>0</v>
      </c>
      <c r="H93" s="436">
        <v>0</v>
      </c>
      <c r="I93" s="436">
        <v>0</v>
      </c>
      <c r="J93" s="436">
        <v>0</v>
      </c>
      <c r="K93" s="436">
        <v>0</v>
      </c>
      <c r="L93" s="436">
        <v>0</v>
      </c>
      <c r="M93" s="436">
        <v>0</v>
      </c>
      <c r="N93" s="436">
        <v>0</v>
      </c>
      <c r="O93" s="436">
        <v>0</v>
      </c>
      <c r="P93" s="436">
        <v>0</v>
      </c>
    </row>
    <row r="94" spans="1:16">
      <c r="A94" s="439" t="s">
        <v>198</v>
      </c>
      <c r="B94" s="436">
        <v>80778.776563000007</v>
      </c>
      <c r="C94" s="436">
        <v>34675.131215000001</v>
      </c>
      <c r="D94" s="436">
        <v>46932.072760000003</v>
      </c>
      <c r="E94" s="436">
        <v>54156.296962</v>
      </c>
      <c r="F94" s="436">
        <v>50011.969954</v>
      </c>
      <c r="G94" s="436">
        <v>22700.978737000001</v>
      </c>
      <c r="H94" s="436">
        <v>30014.628360999999</v>
      </c>
      <c r="I94" s="436">
        <v>44942.859891</v>
      </c>
      <c r="J94" s="436">
        <v>24808.78311</v>
      </c>
      <c r="K94" s="436">
        <v>9153.6777839999995</v>
      </c>
      <c r="L94" s="436">
        <v>15011.019832</v>
      </c>
      <c r="M94" s="436">
        <v>16121.693526999999</v>
      </c>
      <c r="N94" s="436">
        <v>17677.773426</v>
      </c>
      <c r="O94" s="436">
        <v>837.97248100000002</v>
      </c>
      <c r="P94" s="436">
        <v>7292.7069160000001</v>
      </c>
    </row>
    <row r="95" spans="1:16">
      <c r="A95" s="439" t="s">
        <v>789</v>
      </c>
      <c r="B95" s="436">
        <v>0</v>
      </c>
      <c r="C95" s="436">
        <v>0</v>
      </c>
      <c r="D95" s="436">
        <v>0</v>
      </c>
      <c r="E95" s="436">
        <v>0</v>
      </c>
      <c r="F95" s="436">
        <v>0</v>
      </c>
      <c r="G95" s="436">
        <v>0</v>
      </c>
      <c r="H95" s="436">
        <v>0</v>
      </c>
      <c r="I95" s="436">
        <v>0</v>
      </c>
      <c r="J95" s="436">
        <v>0</v>
      </c>
      <c r="K95" s="436">
        <v>0</v>
      </c>
      <c r="L95" s="436">
        <v>0</v>
      </c>
      <c r="M95" s="436">
        <v>0</v>
      </c>
      <c r="N95" s="436">
        <v>0</v>
      </c>
      <c r="O95" s="436">
        <v>0</v>
      </c>
      <c r="P95" s="436">
        <v>0</v>
      </c>
    </row>
    <row r="96" spans="1:16">
      <c r="A96" s="439" t="s">
        <v>199</v>
      </c>
      <c r="B96" s="436">
        <v>0</v>
      </c>
      <c r="C96" s="436">
        <v>0</v>
      </c>
      <c r="D96" s="436">
        <v>0</v>
      </c>
      <c r="E96" s="436">
        <v>0</v>
      </c>
      <c r="F96" s="436">
        <v>0</v>
      </c>
      <c r="G96" s="436">
        <v>0</v>
      </c>
      <c r="H96" s="436">
        <v>0</v>
      </c>
      <c r="I96" s="436">
        <v>0</v>
      </c>
      <c r="J96" s="436">
        <v>0</v>
      </c>
      <c r="K96" s="436">
        <v>0</v>
      </c>
      <c r="L96" s="436">
        <v>0</v>
      </c>
      <c r="M96" s="436">
        <v>0</v>
      </c>
      <c r="N96" s="436">
        <v>0</v>
      </c>
      <c r="O96" s="436">
        <v>0</v>
      </c>
      <c r="P96" s="436">
        <v>0</v>
      </c>
    </row>
    <row r="97" spans="1:16">
      <c r="A97" s="439" t="s">
        <v>790</v>
      </c>
      <c r="B97" s="436">
        <v>0</v>
      </c>
      <c r="C97" s="436">
        <v>0</v>
      </c>
      <c r="D97" s="436">
        <v>0</v>
      </c>
      <c r="E97" s="436">
        <v>0</v>
      </c>
      <c r="F97" s="436">
        <v>0</v>
      </c>
      <c r="G97" s="436">
        <v>0</v>
      </c>
      <c r="H97" s="436">
        <v>0</v>
      </c>
      <c r="I97" s="436">
        <v>0</v>
      </c>
      <c r="J97" s="436">
        <v>0</v>
      </c>
      <c r="K97" s="436">
        <v>0</v>
      </c>
      <c r="L97" s="436">
        <v>0</v>
      </c>
      <c r="M97" s="436">
        <v>0</v>
      </c>
      <c r="N97" s="436">
        <v>0</v>
      </c>
      <c r="O97" s="436">
        <v>0</v>
      </c>
      <c r="P97" s="436">
        <v>0</v>
      </c>
    </row>
    <row r="98" spans="1:16">
      <c r="A98" s="439" t="s">
        <v>201</v>
      </c>
      <c r="B98" s="436">
        <v>0</v>
      </c>
      <c r="C98" s="436">
        <v>0</v>
      </c>
      <c r="D98" s="436">
        <v>0</v>
      </c>
      <c r="E98" s="436">
        <v>0</v>
      </c>
      <c r="F98" s="436">
        <v>0</v>
      </c>
      <c r="G98" s="436">
        <v>0</v>
      </c>
      <c r="H98" s="436">
        <v>0</v>
      </c>
      <c r="I98" s="436">
        <v>0</v>
      </c>
      <c r="J98" s="436">
        <v>0</v>
      </c>
      <c r="K98" s="436">
        <v>0</v>
      </c>
      <c r="L98" s="436">
        <v>0</v>
      </c>
      <c r="M98" s="436">
        <v>0</v>
      </c>
      <c r="N98" s="436">
        <v>0</v>
      </c>
      <c r="O98" s="436">
        <v>0</v>
      </c>
      <c r="P98" s="436">
        <v>0</v>
      </c>
    </row>
    <row r="99" spans="1:16">
      <c r="A99" s="440" t="s">
        <v>202</v>
      </c>
      <c r="B99" s="436">
        <v>0</v>
      </c>
      <c r="C99" s="436">
        <v>0</v>
      </c>
      <c r="D99" s="436">
        <v>0</v>
      </c>
      <c r="E99" s="436">
        <v>0</v>
      </c>
      <c r="F99" s="436">
        <v>0</v>
      </c>
      <c r="G99" s="436">
        <v>0</v>
      </c>
      <c r="H99" s="436">
        <v>0</v>
      </c>
      <c r="I99" s="436">
        <v>0</v>
      </c>
      <c r="J99" s="436">
        <v>0</v>
      </c>
      <c r="K99" s="436">
        <v>0</v>
      </c>
      <c r="L99" s="436">
        <v>0</v>
      </c>
      <c r="M99" s="436">
        <v>0</v>
      </c>
      <c r="N99" s="436">
        <v>0</v>
      </c>
      <c r="O99" s="436">
        <v>0</v>
      </c>
      <c r="P99" s="436">
        <v>0</v>
      </c>
    </row>
    <row r="100" spans="1:16">
      <c r="A100" s="440" t="s">
        <v>77</v>
      </c>
      <c r="B100" s="442">
        <v>364130.31263300002</v>
      </c>
      <c r="C100" s="442">
        <v>378289.68468200002</v>
      </c>
      <c r="D100" s="442">
        <v>384762.95500700001</v>
      </c>
      <c r="E100" s="442">
        <v>391794.49247400003</v>
      </c>
      <c r="F100" s="442">
        <v>388879.74401099997</v>
      </c>
      <c r="G100" s="442">
        <v>413740.23262600001</v>
      </c>
      <c r="H100" s="442">
        <v>397388.04636199999</v>
      </c>
      <c r="I100" s="442">
        <v>403014.34911200003</v>
      </c>
      <c r="J100" s="442">
        <v>379299.90208700002</v>
      </c>
      <c r="K100" s="442">
        <v>368597.64398699999</v>
      </c>
      <c r="L100" s="442">
        <v>361013.50471200002</v>
      </c>
      <c r="M100" s="442">
        <v>366831.15141799999</v>
      </c>
      <c r="N100" s="442">
        <v>368723.44757800002</v>
      </c>
      <c r="O100" s="442">
        <v>338226.26044699998</v>
      </c>
      <c r="P100" s="442">
        <v>336775.02109699999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Q42"/>
  <sheetViews>
    <sheetView topLeftCell="D1" workbookViewId="0">
      <selection activeCell="P5" sqref="P5"/>
    </sheetView>
  </sheetViews>
  <sheetFormatPr defaultRowHeight="15"/>
  <cols>
    <col min="1" max="1" width="34.28515625" customWidth="1"/>
    <col min="2" max="2" width="12.5703125" customWidth="1"/>
    <col min="3" max="3" width="13.7109375" customWidth="1"/>
    <col min="4" max="4" width="12.5703125" customWidth="1"/>
    <col min="5" max="5" width="11.7109375" customWidth="1"/>
    <col min="6" max="6" width="11.42578125" customWidth="1"/>
    <col min="13" max="13" width="8" bestFit="1" customWidth="1"/>
    <col min="16" max="17" width="9.140625" style="185"/>
  </cols>
  <sheetData>
    <row r="1" spans="1:16" s="185" customFormat="1">
      <c r="A1" s="185">
        <f>QBS!A1</f>
        <v>0</v>
      </c>
    </row>
    <row r="2" spans="1:16" ht="18">
      <c r="A2" s="187" t="s">
        <v>345</v>
      </c>
    </row>
    <row r="4" spans="1:16">
      <c r="A4" s="193" t="s">
        <v>381</v>
      </c>
      <c r="B4" s="183" t="s">
        <v>343</v>
      </c>
      <c r="C4" s="183" t="s">
        <v>344</v>
      </c>
      <c r="D4" s="183" t="s">
        <v>89</v>
      </c>
      <c r="E4" s="183" t="s">
        <v>90</v>
      </c>
      <c r="F4" s="183" t="s">
        <v>91</v>
      </c>
      <c r="G4" s="183" t="s">
        <v>92</v>
      </c>
      <c r="H4" s="183" t="s">
        <v>93</v>
      </c>
      <c r="I4" s="183" t="s">
        <v>768</v>
      </c>
      <c r="J4" s="183" t="s">
        <v>767</v>
      </c>
      <c r="K4" s="183" t="s">
        <v>766</v>
      </c>
      <c r="L4" s="183" t="s">
        <v>557</v>
      </c>
      <c r="M4" s="183" t="s">
        <v>556</v>
      </c>
      <c r="N4" s="183" t="s">
        <v>786</v>
      </c>
      <c r="O4" s="183" t="s">
        <v>791</v>
      </c>
      <c r="P4" s="183" t="s">
        <v>849</v>
      </c>
    </row>
    <row r="5" spans="1:16">
      <c r="A5" s="188" t="s">
        <v>346</v>
      </c>
      <c r="B5" s="436">
        <v>0</v>
      </c>
      <c r="C5" s="436">
        <v>46082.891752000003</v>
      </c>
      <c r="D5" s="436">
        <v>0</v>
      </c>
      <c r="E5" s="436">
        <v>0</v>
      </c>
      <c r="F5" s="436">
        <v>0</v>
      </c>
      <c r="G5" s="436">
        <v>0</v>
      </c>
      <c r="H5" s="436">
        <v>0</v>
      </c>
      <c r="I5" s="436">
        <v>0</v>
      </c>
      <c r="J5" s="436">
        <v>0</v>
      </c>
      <c r="K5" s="436">
        <v>0</v>
      </c>
      <c r="L5" s="436">
        <v>0</v>
      </c>
      <c r="M5" s="436">
        <v>0</v>
      </c>
      <c r="N5" s="436">
        <v>0</v>
      </c>
      <c r="O5" s="436">
        <v>0</v>
      </c>
      <c r="P5" s="436">
        <v>0</v>
      </c>
    </row>
    <row r="6" spans="1:16">
      <c r="A6" s="188" t="s">
        <v>380</v>
      </c>
      <c r="B6" s="436">
        <v>823.11336100000005</v>
      </c>
      <c r="C6" s="436">
        <v>1673.931679</v>
      </c>
      <c r="D6" s="436">
        <v>0</v>
      </c>
      <c r="E6" s="436">
        <v>0</v>
      </c>
      <c r="F6" s="436">
        <v>900.23720400000002</v>
      </c>
      <c r="G6" s="436">
        <v>0</v>
      </c>
      <c r="H6" s="436">
        <v>0</v>
      </c>
      <c r="I6" s="436">
        <v>0</v>
      </c>
      <c r="J6" s="436">
        <v>3445.0779790000001</v>
      </c>
      <c r="K6" s="436">
        <v>4486.8556859999999</v>
      </c>
      <c r="L6" s="436">
        <v>0</v>
      </c>
      <c r="M6" s="436">
        <v>0</v>
      </c>
      <c r="N6" s="436">
        <v>0</v>
      </c>
      <c r="O6" s="436">
        <v>0</v>
      </c>
      <c r="P6" s="436">
        <v>0</v>
      </c>
    </row>
    <row r="7" spans="1:16">
      <c r="A7" s="188" t="s">
        <v>347</v>
      </c>
      <c r="B7" s="436">
        <v>0</v>
      </c>
      <c r="C7" s="436">
        <v>101.40254</v>
      </c>
      <c r="D7" s="436">
        <v>0</v>
      </c>
      <c r="E7" s="436">
        <v>0</v>
      </c>
      <c r="F7" s="436">
        <v>0</v>
      </c>
      <c r="G7" s="436">
        <v>0</v>
      </c>
      <c r="H7" s="436">
        <v>0</v>
      </c>
      <c r="I7" s="436">
        <v>0</v>
      </c>
      <c r="J7" s="436">
        <v>0</v>
      </c>
      <c r="K7" s="436">
        <v>0</v>
      </c>
      <c r="L7" s="436">
        <v>0</v>
      </c>
      <c r="M7" s="436">
        <v>0</v>
      </c>
      <c r="N7" s="436">
        <v>0</v>
      </c>
      <c r="O7" s="436">
        <v>0</v>
      </c>
      <c r="P7" s="436">
        <v>0</v>
      </c>
    </row>
    <row r="8" spans="1:16">
      <c r="A8" s="188" t="s">
        <v>348</v>
      </c>
      <c r="B8" s="436">
        <v>0</v>
      </c>
      <c r="C8" s="436">
        <v>0</v>
      </c>
      <c r="D8" s="436">
        <v>0</v>
      </c>
      <c r="E8" s="436">
        <v>0</v>
      </c>
      <c r="F8" s="436">
        <v>0</v>
      </c>
      <c r="G8" s="436">
        <v>0</v>
      </c>
      <c r="H8" s="436">
        <v>0</v>
      </c>
      <c r="I8" s="436">
        <v>0</v>
      </c>
      <c r="J8" s="436">
        <v>0</v>
      </c>
      <c r="K8" s="436">
        <v>0</v>
      </c>
      <c r="L8" s="436">
        <v>0</v>
      </c>
      <c r="M8" s="436">
        <v>0</v>
      </c>
      <c r="N8" s="436">
        <v>0</v>
      </c>
      <c r="O8" s="436">
        <v>0</v>
      </c>
      <c r="P8" s="436">
        <v>0</v>
      </c>
    </row>
    <row r="9" spans="1:16">
      <c r="A9" s="188" t="s">
        <v>349</v>
      </c>
      <c r="B9" s="436">
        <v>0</v>
      </c>
      <c r="C9" s="436">
        <v>0</v>
      </c>
      <c r="D9" s="436">
        <v>0</v>
      </c>
      <c r="E9" s="436">
        <v>0</v>
      </c>
      <c r="F9" s="436">
        <v>0</v>
      </c>
      <c r="G9" s="436">
        <v>0</v>
      </c>
      <c r="H9" s="436">
        <v>0</v>
      </c>
      <c r="I9" s="436">
        <v>0</v>
      </c>
      <c r="J9" s="436">
        <v>0</v>
      </c>
      <c r="K9" s="436">
        <v>0</v>
      </c>
      <c r="L9" s="436">
        <v>0</v>
      </c>
      <c r="M9" s="436">
        <v>0</v>
      </c>
      <c r="N9" s="436">
        <v>0</v>
      </c>
      <c r="O9" s="436">
        <v>0</v>
      </c>
      <c r="P9" s="436">
        <v>0</v>
      </c>
    </row>
    <row r="10" spans="1:16">
      <c r="A10" s="188" t="s">
        <v>350</v>
      </c>
      <c r="B10" s="436">
        <v>0</v>
      </c>
      <c r="C10" s="436">
        <v>-7911.1668</v>
      </c>
      <c r="D10" s="436">
        <v>0</v>
      </c>
      <c r="E10" s="436">
        <v>0</v>
      </c>
      <c r="F10" s="436">
        <v>0</v>
      </c>
      <c r="G10" s="436">
        <v>0</v>
      </c>
      <c r="H10" s="436">
        <v>0</v>
      </c>
      <c r="I10" s="436">
        <v>0</v>
      </c>
      <c r="J10" s="436">
        <v>0</v>
      </c>
      <c r="K10" s="436">
        <v>0</v>
      </c>
      <c r="L10" s="436">
        <v>0</v>
      </c>
      <c r="M10" s="436">
        <v>0</v>
      </c>
      <c r="N10" s="436">
        <v>0</v>
      </c>
      <c r="O10" s="436">
        <v>0</v>
      </c>
      <c r="P10" s="436">
        <v>0</v>
      </c>
    </row>
    <row r="11" spans="1:16">
      <c r="A11" s="188" t="s">
        <v>351</v>
      </c>
      <c r="B11" s="436">
        <v>0</v>
      </c>
      <c r="C11" s="436">
        <v>10.199999999999999</v>
      </c>
      <c r="D11" s="436">
        <v>0</v>
      </c>
      <c r="E11" s="436">
        <v>0</v>
      </c>
      <c r="F11" s="436">
        <v>0</v>
      </c>
      <c r="G11" s="436">
        <v>0</v>
      </c>
      <c r="H11" s="436">
        <v>0</v>
      </c>
      <c r="I11" s="436">
        <v>0</v>
      </c>
      <c r="J11" s="436">
        <v>0</v>
      </c>
      <c r="K11" s="436">
        <v>0</v>
      </c>
      <c r="L11" s="436">
        <v>0</v>
      </c>
      <c r="M11" s="436">
        <v>0</v>
      </c>
      <c r="N11" s="436">
        <v>0</v>
      </c>
      <c r="O11" s="436">
        <v>0</v>
      </c>
      <c r="P11" s="436">
        <v>0</v>
      </c>
    </row>
    <row r="12" spans="1:16">
      <c r="A12" s="188" t="s">
        <v>352</v>
      </c>
      <c r="B12" s="436">
        <v>0</v>
      </c>
      <c r="C12" s="436">
        <v>0</v>
      </c>
      <c r="D12" s="436">
        <v>0</v>
      </c>
      <c r="E12" s="436">
        <v>0</v>
      </c>
      <c r="F12" s="436">
        <v>0</v>
      </c>
      <c r="G12" s="436">
        <v>0</v>
      </c>
      <c r="H12" s="436">
        <v>0</v>
      </c>
      <c r="I12" s="436">
        <v>0</v>
      </c>
      <c r="J12" s="436">
        <v>0</v>
      </c>
      <c r="K12" s="436">
        <v>0</v>
      </c>
      <c r="L12" s="436">
        <v>0</v>
      </c>
      <c r="M12" s="436">
        <v>0</v>
      </c>
      <c r="N12" s="436">
        <v>0</v>
      </c>
      <c r="O12" s="436">
        <v>0</v>
      </c>
      <c r="P12" s="436">
        <v>0</v>
      </c>
    </row>
    <row r="13" spans="1:16">
      <c r="A13" s="188" t="s">
        <v>353</v>
      </c>
      <c r="B13" s="436">
        <v>0</v>
      </c>
      <c r="C13" s="436">
        <v>39957.259170999998</v>
      </c>
      <c r="D13" s="436">
        <v>0</v>
      </c>
      <c r="E13" s="436">
        <v>0</v>
      </c>
      <c r="F13" s="436">
        <v>0</v>
      </c>
      <c r="G13" s="436">
        <v>0</v>
      </c>
      <c r="H13" s="436">
        <v>0</v>
      </c>
      <c r="I13" s="436">
        <v>0</v>
      </c>
      <c r="J13" s="436">
        <v>0</v>
      </c>
      <c r="K13" s="436">
        <v>0</v>
      </c>
      <c r="L13" s="436">
        <v>0</v>
      </c>
      <c r="M13" s="436">
        <v>0</v>
      </c>
      <c r="N13" s="436">
        <v>0</v>
      </c>
      <c r="O13" s="436">
        <v>0</v>
      </c>
      <c r="P13" s="436">
        <v>0</v>
      </c>
    </row>
    <row r="14" spans="1:16">
      <c r="A14" s="188" t="s">
        <v>354</v>
      </c>
      <c r="B14" s="436">
        <v>0</v>
      </c>
      <c r="C14" s="436">
        <v>-4767.0110809999996</v>
      </c>
      <c r="D14" s="436">
        <v>0</v>
      </c>
      <c r="E14" s="436">
        <v>0</v>
      </c>
      <c r="F14" s="436">
        <v>0</v>
      </c>
      <c r="G14" s="436">
        <v>0</v>
      </c>
      <c r="H14" s="436">
        <v>0</v>
      </c>
      <c r="I14" s="436">
        <v>0</v>
      </c>
      <c r="J14" s="436">
        <v>0</v>
      </c>
      <c r="K14" s="436">
        <v>0</v>
      </c>
      <c r="L14" s="436">
        <v>0</v>
      </c>
      <c r="M14" s="436">
        <v>0</v>
      </c>
      <c r="N14" s="436">
        <v>0</v>
      </c>
      <c r="O14" s="436">
        <v>0</v>
      </c>
      <c r="P14" s="436">
        <v>0</v>
      </c>
    </row>
    <row r="15" spans="1:16">
      <c r="A15" s="188" t="s">
        <v>355</v>
      </c>
      <c r="B15" s="436">
        <v>0</v>
      </c>
      <c r="C15" s="436">
        <v>-9844.5400509999999</v>
      </c>
      <c r="D15" s="436">
        <v>0</v>
      </c>
      <c r="E15" s="436">
        <v>0</v>
      </c>
      <c r="F15" s="436">
        <v>0</v>
      </c>
      <c r="G15" s="436">
        <v>0</v>
      </c>
      <c r="H15" s="436">
        <v>0</v>
      </c>
      <c r="I15" s="436">
        <v>0</v>
      </c>
      <c r="J15" s="436">
        <v>0</v>
      </c>
      <c r="K15" s="436">
        <v>0</v>
      </c>
      <c r="L15" s="436">
        <v>0</v>
      </c>
      <c r="M15" s="436">
        <v>0</v>
      </c>
      <c r="N15" s="436">
        <v>0</v>
      </c>
      <c r="O15" s="436">
        <v>0</v>
      </c>
      <c r="P15" s="436">
        <v>0</v>
      </c>
    </row>
    <row r="16" spans="1:16">
      <c r="A16" s="188" t="s">
        <v>356</v>
      </c>
      <c r="B16" s="436">
        <v>0</v>
      </c>
      <c r="C16" s="436">
        <v>-9699.5061900000001</v>
      </c>
      <c r="D16" s="436">
        <v>0</v>
      </c>
      <c r="E16" s="436">
        <v>0</v>
      </c>
      <c r="F16" s="436">
        <v>0</v>
      </c>
      <c r="G16" s="436">
        <v>0</v>
      </c>
      <c r="H16" s="436">
        <v>0</v>
      </c>
      <c r="I16" s="436">
        <v>0</v>
      </c>
      <c r="J16" s="436">
        <v>0</v>
      </c>
      <c r="K16" s="436">
        <v>0</v>
      </c>
      <c r="L16" s="436">
        <v>0</v>
      </c>
      <c r="M16" s="436">
        <v>0</v>
      </c>
      <c r="N16" s="436">
        <v>0</v>
      </c>
      <c r="O16" s="436">
        <v>0</v>
      </c>
      <c r="P16" s="436">
        <v>0</v>
      </c>
    </row>
    <row r="17" spans="1:16">
      <c r="A17" s="188" t="s">
        <v>357</v>
      </c>
      <c r="B17" s="436">
        <v>0</v>
      </c>
      <c r="C17" s="436">
        <v>2367.805413</v>
      </c>
      <c r="D17" s="436">
        <v>0</v>
      </c>
      <c r="E17" s="436">
        <v>0</v>
      </c>
      <c r="F17" s="436">
        <v>0</v>
      </c>
      <c r="G17" s="436">
        <v>0</v>
      </c>
      <c r="H17" s="436">
        <v>0</v>
      </c>
      <c r="I17" s="436">
        <v>0</v>
      </c>
      <c r="J17" s="436">
        <v>0</v>
      </c>
      <c r="K17" s="436">
        <v>0</v>
      </c>
      <c r="L17" s="436">
        <v>0</v>
      </c>
      <c r="M17" s="436">
        <v>0</v>
      </c>
      <c r="N17" s="436">
        <v>0</v>
      </c>
      <c r="O17" s="436">
        <v>0</v>
      </c>
      <c r="P17" s="436">
        <v>0</v>
      </c>
    </row>
    <row r="18" spans="1:16">
      <c r="A18" s="188" t="s">
        <v>358</v>
      </c>
      <c r="B18" s="436">
        <v>0</v>
      </c>
      <c r="C18" s="436">
        <v>-10.199999999999999</v>
      </c>
      <c r="D18" s="436">
        <v>0</v>
      </c>
      <c r="E18" s="436">
        <v>0</v>
      </c>
      <c r="F18" s="436">
        <v>0</v>
      </c>
      <c r="G18" s="436">
        <v>0</v>
      </c>
      <c r="H18" s="436">
        <v>0</v>
      </c>
      <c r="I18" s="436">
        <v>0</v>
      </c>
      <c r="J18" s="436">
        <v>0</v>
      </c>
      <c r="K18" s="436">
        <v>0</v>
      </c>
      <c r="L18" s="436">
        <v>0</v>
      </c>
      <c r="M18" s="436">
        <v>0</v>
      </c>
      <c r="N18" s="436">
        <v>0</v>
      </c>
      <c r="O18" s="436">
        <v>0</v>
      </c>
      <c r="P18" s="436">
        <v>0</v>
      </c>
    </row>
    <row r="19" spans="1:16">
      <c r="A19" s="188" t="s">
        <v>359</v>
      </c>
      <c r="B19" s="436">
        <v>0</v>
      </c>
      <c r="C19" s="436">
        <v>-5436.0831589999998</v>
      </c>
      <c r="D19" s="436">
        <v>0</v>
      </c>
      <c r="E19" s="436">
        <v>0</v>
      </c>
      <c r="F19" s="436">
        <v>0</v>
      </c>
      <c r="G19" s="436">
        <v>0</v>
      </c>
      <c r="H19" s="436">
        <v>0</v>
      </c>
      <c r="I19" s="436">
        <v>0</v>
      </c>
      <c r="J19" s="436">
        <v>0</v>
      </c>
      <c r="K19" s="436">
        <v>0</v>
      </c>
      <c r="L19" s="436">
        <v>0</v>
      </c>
      <c r="M19" s="436">
        <v>0</v>
      </c>
      <c r="N19" s="436">
        <v>0</v>
      </c>
      <c r="O19" s="436">
        <v>0</v>
      </c>
      <c r="P19" s="436">
        <v>0</v>
      </c>
    </row>
    <row r="20" spans="1:16">
      <c r="A20" s="188" t="s">
        <v>360</v>
      </c>
      <c r="B20" s="436">
        <v>0</v>
      </c>
      <c r="C20" s="436">
        <v>0</v>
      </c>
      <c r="D20" s="436">
        <v>0</v>
      </c>
      <c r="E20" s="436">
        <v>0</v>
      </c>
      <c r="F20" s="436">
        <v>0</v>
      </c>
      <c r="G20" s="436">
        <v>0</v>
      </c>
      <c r="H20" s="436">
        <v>0</v>
      </c>
      <c r="I20" s="436">
        <v>0</v>
      </c>
      <c r="J20" s="436">
        <v>0</v>
      </c>
      <c r="K20" s="436">
        <v>0</v>
      </c>
      <c r="L20" s="436">
        <v>0</v>
      </c>
      <c r="M20" s="436">
        <v>0</v>
      </c>
      <c r="N20" s="436">
        <v>0</v>
      </c>
      <c r="O20" s="436">
        <v>0</v>
      </c>
      <c r="P20" s="436">
        <v>0</v>
      </c>
    </row>
    <row r="21" spans="1:16">
      <c r="A21" s="188" t="s">
        <v>361</v>
      </c>
      <c r="B21" s="436">
        <v>0</v>
      </c>
      <c r="C21" s="436">
        <v>-5242.1965829999999</v>
      </c>
      <c r="D21" s="436">
        <v>0</v>
      </c>
      <c r="E21" s="436">
        <v>0</v>
      </c>
      <c r="F21" s="436">
        <v>0</v>
      </c>
      <c r="G21" s="436">
        <v>0</v>
      </c>
      <c r="H21" s="436">
        <v>0</v>
      </c>
      <c r="I21" s="436">
        <v>0</v>
      </c>
      <c r="J21" s="436">
        <v>0</v>
      </c>
      <c r="K21" s="436">
        <v>0</v>
      </c>
      <c r="L21" s="436">
        <v>0</v>
      </c>
      <c r="M21" s="436">
        <v>0</v>
      </c>
      <c r="N21" s="436">
        <v>0</v>
      </c>
      <c r="O21" s="436">
        <v>0</v>
      </c>
      <c r="P21" s="436">
        <v>0</v>
      </c>
    </row>
    <row r="22" spans="1:16">
      <c r="A22" s="188" t="s">
        <v>362</v>
      </c>
      <c r="B22" s="442">
        <v>1439.0148349999999</v>
      </c>
      <c r="C22" s="442">
        <v>7325.5275199999996</v>
      </c>
      <c r="D22" s="442">
        <v>30527.786136999999</v>
      </c>
      <c r="E22" s="442">
        <v>-6572.468852</v>
      </c>
      <c r="F22" s="442">
        <v>1662.057967</v>
      </c>
      <c r="G22" s="442">
        <v>0</v>
      </c>
      <c r="H22" s="442">
        <v>0</v>
      </c>
      <c r="I22" s="442">
        <v>34032.327121000002</v>
      </c>
      <c r="J22" s="442">
        <v>20061.825038999999</v>
      </c>
      <c r="K22" s="442">
        <v>13228.485924000001</v>
      </c>
      <c r="L22" s="442">
        <v>29092.574011000001</v>
      </c>
      <c r="M22" s="442">
        <v>23602.901781</v>
      </c>
      <c r="N22" s="442">
        <v>14802.246087</v>
      </c>
      <c r="O22" s="442">
        <v>8443.1229010000006</v>
      </c>
      <c r="P22" s="442">
        <v>25886.193416999999</v>
      </c>
    </row>
    <row r="23" spans="1:16">
      <c r="A23" s="188" t="s">
        <v>363</v>
      </c>
      <c r="B23" s="436">
        <v>-2283.197255</v>
      </c>
      <c r="C23" s="436">
        <v>-31350.815852</v>
      </c>
      <c r="D23" s="436">
        <v>-47286.279153000003</v>
      </c>
      <c r="E23" s="436">
        <v>-3789.1138500000002</v>
      </c>
      <c r="F23" s="436">
        <v>-8015.3810960000001</v>
      </c>
      <c r="G23" s="436">
        <v>0</v>
      </c>
      <c r="H23" s="436">
        <v>0</v>
      </c>
      <c r="I23" s="436">
        <v>-835.86800000000005</v>
      </c>
      <c r="J23" s="436">
        <v>-538.01461099999995</v>
      </c>
      <c r="K23" s="436">
        <v>-6361.2859909999997</v>
      </c>
      <c r="L23" s="436">
        <v>-81.34</v>
      </c>
      <c r="M23" s="436">
        <v>-141.05247299999999</v>
      </c>
      <c r="N23" s="436">
        <v>-299.40570000000002</v>
      </c>
      <c r="O23" s="436">
        <v>-1113.4690000000001</v>
      </c>
      <c r="P23" s="436">
        <v>-40.67</v>
      </c>
    </row>
    <row r="24" spans="1:16">
      <c r="A24" s="188" t="s">
        <v>364</v>
      </c>
      <c r="B24" s="436">
        <v>0</v>
      </c>
      <c r="C24" s="436">
        <v>0</v>
      </c>
      <c r="D24" s="436">
        <v>0</v>
      </c>
      <c r="E24" s="436">
        <v>0</v>
      </c>
      <c r="F24" s="436">
        <v>0</v>
      </c>
      <c r="G24" s="436">
        <v>0</v>
      </c>
      <c r="H24" s="436">
        <v>0</v>
      </c>
      <c r="I24" s="436">
        <v>101.2</v>
      </c>
      <c r="J24" s="436">
        <v>0</v>
      </c>
      <c r="K24" s="436">
        <v>0</v>
      </c>
      <c r="L24" s="436">
        <v>0</v>
      </c>
      <c r="M24" s="436">
        <v>0</v>
      </c>
      <c r="N24" s="436">
        <v>0</v>
      </c>
      <c r="O24" s="436">
        <v>0.4</v>
      </c>
      <c r="P24" s="436">
        <v>0</v>
      </c>
    </row>
    <row r="25" spans="1:16">
      <c r="A25" s="188" t="s">
        <v>365</v>
      </c>
      <c r="B25" s="436">
        <v>0</v>
      </c>
      <c r="C25" s="436">
        <v>-4900</v>
      </c>
      <c r="D25" s="436">
        <v>0</v>
      </c>
      <c r="E25" s="436">
        <v>0</v>
      </c>
      <c r="F25" s="436">
        <v>0</v>
      </c>
      <c r="G25" s="436">
        <v>0</v>
      </c>
      <c r="H25" s="436">
        <v>0</v>
      </c>
      <c r="I25" s="436">
        <v>0</v>
      </c>
      <c r="J25" s="436">
        <v>0</v>
      </c>
      <c r="K25" s="436">
        <v>0</v>
      </c>
      <c r="L25" s="436">
        <v>0</v>
      </c>
      <c r="M25" s="436">
        <v>0</v>
      </c>
      <c r="N25" s="436">
        <v>0</v>
      </c>
      <c r="O25" s="436">
        <v>0</v>
      </c>
      <c r="P25" s="436">
        <v>0</v>
      </c>
    </row>
    <row r="26" spans="1:16">
      <c r="A26" s="188" t="s">
        <v>366</v>
      </c>
      <c r="B26" s="436">
        <v>0</v>
      </c>
      <c r="C26" s="436">
        <v>1256.181724</v>
      </c>
      <c r="D26" s="436">
        <v>0</v>
      </c>
      <c r="E26" s="436">
        <v>0</v>
      </c>
      <c r="F26" s="436">
        <v>0</v>
      </c>
      <c r="G26" s="436">
        <v>0</v>
      </c>
      <c r="H26" s="436">
        <v>0</v>
      </c>
      <c r="I26" s="436">
        <v>0</v>
      </c>
      <c r="J26" s="436">
        <v>0</v>
      </c>
      <c r="K26" s="436">
        <v>0</v>
      </c>
      <c r="L26" s="436">
        <v>0</v>
      </c>
      <c r="M26" s="436">
        <v>0</v>
      </c>
      <c r="N26" s="436">
        <v>0</v>
      </c>
      <c r="O26" s="436">
        <v>0</v>
      </c>
      <c r="P26" s="436">
        <v>0</v>
      </c>
    </row>
    <row r="27" spans="1:16">
      <c r="A27" s="188" t="s">
        <v>367</v>
      </c>
      <c r="B27" s="436">
        <v>-2800</v>
      </c>
      <c r="C27" s="436">
        <v>-3124.9079999999999</v>
      </c>
      <c r="D27" s="436">
        <v>-24536.134247000002</v>
      </c>
      <c r="E27" s="436">
        <v>15899.134247</v>
      </c>
      <c r="F27" s="436">
        <v>-379</v>
      </c>
      <c r="G27" s="436">
        <v>0</v>
      </c>
      <c r="H27" s="436">
        <v>0</v>
      </c>
      <c r="I27" s="436">
        <v>-16089.915403999999</v>
      </c>
      <c r="J27" s="436">
        <v>-12000</v>
      </c>
      <c r="K27" s="436">
        <v>-16100</v>
      </c>
      <c r="L27" s="436">
        <v>0</v>
      </c>
      <c r="M27" s="436">
        <v>-650</v>
      </c>
      <c r="N27" s="436">
        <v>0</v>
      </c>
      <c r="O27" s="436">
        <v>-10000</v>
      </c>
      <c r="P27" s="436">
        <v>0</v>
      </c>
    </row>
    <row r="28" spans="1:16">
      <c r="A28" s="188" t="s">
        <v>368</v>
      </c>
      <c r="B28" s="436">
        <v>3294.5</v>
      </c>
      <c r="C28" s="436">
        <v>14107.156999999999</v>
      </c>
      <c r="D28" s="436">
        <v>18713.7114</v>
      </c>
      <c r="E28" s="436">
        <v>-10291.850707</v>
      </c>
      <c r="F28" s="436">
        <v>855.19600000000003</v>
      </c>
      <c r="G28" s="436">
        <v>0</v>
      </c>
      <c r="H28" s="436">
        <v>0</v>
      </c>
      <c r="I28" s="436">
        <v>40235.915403999999</v>
      </c>
      <c r="J28" s="436">
        <v>11250</v>
      </c>
      <c r="K28" s="436">
        <v>16473</v>
      </c>
      <c r="L28" s="436">
        <v>438.76971300000002</v>
      </c>
      <c r="M28" s="436">
        <v>1251.8848720000001</v>
      </c>
      <c r="N28" s="436">
        <v>445.93444399999998</v>
      </c>
      <c r="O28" s="436">
        <v>11015.93</v>
      </c>
      <c r="P28" s="436">
        <v>884.79109000000005</v>
      </c>
    </row>
    <row r="29" spans="1:16">
      <c r="A29" s="188" t="s">
        <v>369</v>
      </c>
      <c r="B29" s="436">
        <v>417.36957799999999</v>
      </c>
      <c r="C29" s="436">
        <v>5689.1927999999998</v>
      </c>
      <c r="D29" s="436">
        <v>7770.5793649999996</v>
      </c>
      <c r="E29" s="436">
        <v>702.95844399999999</v>
      </c>
      <c r="F29" s="436">
        <v>1810.9729</v>
      </c>
      <c r="G29" s="436">
        <v>0</v>
      </c>
      <c r="H29" s="436">
        <v>0</v>
      </c>
      <c r="I29" s="436">
        <v>512.382296</v>
      </c>
      <c r="J29" s="436">
        <v>153.88366500000001</v>
      </c>
      <c r="K29" s="436">
        <v>635.03028300000005</v>
      </c>
      <c r="L29" s="436">
        <v>681.09363499999995</v>
      </c>
      <c r="M29" s="436">
        <v>626.26245700000004</v>
      </c>
      <c r="N29" s="436">
        <v>1096.8588</v>
      </c>
      <c r="O29" s="436">
        <v>631.11880099999996</v>
      </c>
      <c r="P29" s="436">
        <v>1341.9229849999999</v>
      </c>
    </row>
    <row r="30" spans="1:16">
      <c r="A30" s="188" t="s">
        <v>370</v>
      </c>
      <c r="B30" s="442">
        <v>-1371.327677</v>
      </c>
      <c r="C30" s="442">
        <v>-18323.192328000001</v>
      </c>
      <c r="D30" s="442">
        <v>-45338.122635</v>
      </c>
      <c r="E30" s="442">
        <v>2521.128134</v>
      </c>
      <c r="F30" s="442">
        <v>-5728.2121960000004</v>
      </c>
      <c r="G30" s="442">
        <v>0</v>
      </c>
      <c r="H30" s="442">
        <v>0</v>
      </c>
      <c r="I30" s="442">
        <v>23923.714295999998</v>
      </c>
      <c r="J30" s="442">
        <v>-1134.130946</v>
      </c>
      <c r="K30" s="442">
        <v>-5353.2557079999997</v>
      </c>
      <c r="L30" s="442">
        <v>1038.5233479999999</v>
      </c>
      <c r="M30" s="442">
        <v>1087.0948559999999</v>
      </c>
      <c r="N30" s="442">
        <v>1243.3875439999999</v>
      </c>
      <c r="O30" s="442">
        <v>533.97980099999995</v>
      </c>
      <c r="P30" s="442">
        <v>2186.0440749999998</v>
      </c>
    </row>
    <row r="31" spans="1:16">
      <c r="A31" s="188" t="s">
        <v>371</v>
      </c>
      <c r="B31" s="436">
        <v>0</v>
      </c>
      <c r="C31" s="436">
        <v>0</v>
      </c>
      <c r="D31" s="436">
        <v>0</v>
      </c>
      <c r="E31" s="436">
        <v>0</v>
      </c>
      <c r="F31" s="436">
        <v>0</v>
      </c>
      <c r="G31" s="436">
        <v>0</v>
      </c>
      <c r="H31" s="436">
        <v>0</v>
      </c>
      <c r="I31" s="436">
        <v>0</v>
      </c>
      <c r="J31" s="436">
        <v>0</v>
      </c>
      <c r="K31" s="436">
        <v>0</v>
      </c>
      <c r="L31" s="436">
        <v>0</v>
      </c>
      <c r="M31" s="436">
        <v>0</v>
      </c>
      <c r="N31" s="436">
        <v>0</v>
      </c>
      <c r="O31" s="436">
        <v>0</v>
      </c>
      <c r="P31" s="436">
        <v>0</v>
      </c>
    </row>
    <row r="32" spans="1:16">
      <c r="A32" s="188" t="s">
        <v>372</v>
      </c>
      <c r="B32" s="436">
        <v>0</v>
      </c>
      <c r="C32" s="436">
        <v>0</v>
      </c>
      <c r="D32" s="436">
        <v>0</v>
      </c>
      <c r="E32" s="436">
        <v>0</v>
      </c>
      <c r="F32" s="436">
        <v>0</v>
      </c>
      <c r="G32" s="436">
        <v>0</v>
      </c>
      <c r="H32" s="436">
        <v>0</v>
      </c>
      <c r="I32" s="436">
        <v>0</v>
      </c>
      <c r="J32" s="436">
        <v>0</v>
      </c>
      <c r="K32" s="436">
        <v>0</v>
      </c>
      <c r="L32" s="436">
        <v>0</v>
      </c>
      <c r="M32" s="436">
        <v>0</v>
      </c>
      <c r="N32" s="436">
        <v>0</v>
      </c>
      <c r="O32" s="436">
        <v>0</v>
      </c>
      <c r="P32" s="436">
        <v>0</v>
      </c>
    </row>
    <row r="33" spans="1:16">
      <c r="A33" s="188" t="s">
        <v>373</v>
      </c>
      <c r="B33" s="436">
        <v>0</v>
      </c>
      <c r="C33" s="436">
        <v>8300</v>
      </c>
      <c r="D33" s="436">
        <v>28300</v>
      </c>
      <c r="E33" s="436">
        <v>10000</v>
      </c>
      <c r="F33" s="436">
        <v>10000</v>
      </c>
      <c r="G33" s="436">
        <v>0</v>
      </c>
      <c r="H33" s="436">
        <v>0</v>
      </c>
      <c r="I33" s="436">
        <v>0</v>
      </c>
      <c r="J33" s="436">
        <v>0</v>
      </c>
      <c r="K33" s="436">
        <v>20849.354195</v>
      </c>
      <c r="L33" s="436">
        <v>0</v>
      </c>
      <c r="M33" s="436">
        <v>2600</v>
      </c>
      <c r="N33" s="436">
        <v>0</v>
      </c>
      <c r="O33" s="436">
        <v>0</v>
      </c>
      <c r="P33" s="436">
        <v>2537.0859999999998</v>
      </c>
    </row>
    <row r="34" spans="1:16">
      <c r="A34" s="188" t="s">
        <v>374</v>
      </c>
      <c r="B34" s="436">
        <v>0</v>
      </c>
      <c r="C34" s="436">
        <v>-4000</v>
      </c>
      <c r="D34" s="436">
        <v>-1800</v>
      </c>
      <c r="E34" s="436">
        <v>0</v>
      </c>
      <c r="F34" s="436">
        <v>0</v>
      </c>
      <c r="G34" s="436">
        <v>0</v>
      </c>
      <c r="H34" s="436">
        <v>0</v>
      </c>
      <c r="I34" s="436">
        <v>-28744.085845000001</v>
      </c>
      <c r="J34" s="436">
        <v>-27951.143895000001</v>
      </c>
      <c r="K34" s="436">
        <v>-25421.871568999999</v>
      </c>
      <c r="L34" s="436">
        <v>-30307.159075</v>
      </c>
      <c r="M34" s="436">
        <v>-20173.876232999999</v>
      </c>
      <c r="N34" s="436">
        <v>-10640.837869999999</v>
      </c>
      <c r="O34" s="436">
        <v>-24031.963835999999</v>
      </c>
      <c r="P34" s="436">
        <v>-33010.873278999999</v>
      </c>
    </row>
    <row r="35" spans="1:16">
      <c r="A35" s="188" t="s">
        <v>375</v>
      </c>
      <c r="B35" s="436">
        <v>0</v>
      </c>
      <c r="C35" s="436">
        <v>0</v>
      </c>
      <c r="D35" s="436">
        <v>0</v>
      </c>
      <c r="E35" s="436">
        <v>0</v>
      </c>
      <c r="F35" s="436">
        <v>0</v>
      </c>
      <c r="G35" s="436">
        <v>0</v>
      </c>
      <c r="H35" s="436">
        <v>0</v>
      </c>
      <c r="I35" s="436">
        <v>0</v>
      </c>
      <c r="J35" s="436">
        <v>0</v>
      </c>
      <c r="K35" s="436">
        <v>0</v>
      </c>
      <c r="L35" s="436">
        <v>0</v>
      </c>
      <c r="M35" s="436">
        <v>0</v>
      </c>
      <c r="N35" s="436">
        <v>0</v>
      </c>
      <c r="O35" s="436">
        <v>0</v>
      </c>
      <c r="P35" s="436">
        <v>0</v>
      </c>
    </row>
    <row r="36" spans="1:16">
      <c r="A36" s="188" t="s">
        <v>376</v>
      </c>
      <c r="B36" s="436">
        <v>0</v>
      </c>
      <c r="C36" s="436">
        <v>0</v>
      </c>
      <c r="D36" s="436">
        <v>-20081.874</v>
      </c>
      <c r="E36" s="436">
        <v>-15052.410599999999</v>
      </c>
      <c r="F36" s="436">
        <v>0</v>
      </c>
      <c r="G36" s="436">
        <v>0</v>
      </c>
      <c r="H36" s="436">
        <v>0</v>
      </c>
      <c r="I36" s="436">
        <v>-15062.208000000001</v>
      </c>
      <c r="J36" s="436">
        <v>0</v>
      </c>
      <c r="K36" s="436">
        <v>0</v>
      </c>
      <c r="L36" s="436">
        <v>0</v>
      </c>
      <c r="M36" s="436">
        <v>0</v>
      </c>
      <c r="N36" s="436">
        <v>0</v>
      </c>
      <c r="O36" s="436">
        <v>0</v>
      </c>
      <c r="P36" s="436">
        <v>0</v>
      </c>
    </row>
    <row r="37" spans="1:16">
      <c r="A37" s="188" t="s">
        <v>377</v>
      </c>
      <c r="B37" s="436">
        <v>0</v>
      </c>
      <c r="C37" s="436">
        <v>0</v>
      </c>
      <c r="D37" s="436">
        <v>0</v>
      </c>
      <c r="E37" s="436">
        <v>0</v>
      </c>
      <c r="F37" s="436">
        <v>0</v>
      </c>
      <c r="G37" s="436">
        <v>0</v>
      </c>
      <c r="H37" s="436">
        <v>0</v>
      </c>
      <c r="I37" s="436">
        <v>0</v>
      </c>
      <c r="J37" s="436">
        <v>0</v>
      </c>
      <c r="K37" s="436">
        <v>0</v>
      </c>
      <c r="L37" s="436">
        <v>0</v>
      </c>
      <c r="M37" s="436">
        <v>0</v>
      </c>
      <c r="N37" s="436">
        <v>0</v>
      </c>
      <c r="O37" s="436">
        <v>0</v>
      </c>
      <c r="P37" s="436">
        <v>0</v>
      </c>
    </row>
    <row r="38" spans="1:16">
      <c r="A38" s="188" t="s">
        <v>378</v>
      </c>
      <c r="B38" s="442">
        <v>0</v>
      </c>
      <c r="C38" s="442">
        <v>4300</v>
      </c>
      <c r="D38" s="442">
        <v>6418.1260000000002</v>
      </c>
      <c r="E38" s="442">
        <v>-5052.4106000000002</v>
      </c>
      <c r="F38" s="442">
        <v>10000</v>
      </c>
      <c r="G38" s="442">
        <v>0</v>
      </c>
      <c r="H38" s="442">
        <v>0</v>
      </c>
      <c r="I38" s="442">
        <v>-43806.293845</v>
      </c>
      <c r="J38" s="442">
        <v>-27951.143895000001</v>
      </c>
      <c r="K38" s="442">
        <v>-4572.517374</v>
      </c>
      <c r="L38" s="442">
        <v>-30307.159075</v>
      </c>
      <c r="M38" s="442">
        <v>-17573.876232999999</v>
      </c>
      <c r="N38" s="442">
        <v>-10640.837869999999</v>
      </c>
      <c r="O38" s="442">
        <v>-24031.963835999999</v>
      </c>
      <c r="P38" s="442">
        <v>-30473.787279</v>
      </c>
    </row>
    <row r="39" spans="1:16">
      <c r="A39" s="188" t="s">
        <v>84</v>
      </c>
      <c r="B39" s="436">
        <v>67.687157999999997</v>
      </c>
      <c r="C39" s="436">
        <v>-6697.6648080000004</v>
      </c>
      <c r="D39" s="436">
        <v>-8392.2104980000004</v>
      </c>
      <c r="E39" s="436">
        <v>-9103.7513180000005</v>
      </c>
      <c r="F39" s="436">
        <v>5933.8457710000002</v>
      </c>
      <c r="G39" s="436">
        <v>0</v>
      </c>
      <c r="H39" s="436">
        <v>0</v>
      </c>
      <c r="I39" s="436">
        <v>14149.747572</v>
      </c>
      <c r="J39" s="436">
        <v>-9023.4498019999992</v>
      </c>
      <c r="K39" s="436">
        <v>3302.7128419999999</v>
      </c>
      <c r="L39" s="436">
        <v>-176.06171599999999</v>
      </c>
      <c r="M39" s="436">
        <v>7116.1204040000002</v>
      </c>
      <c r="N39" s="436">
        <v>5404.7957610000003</v>
      </c>
      <c r="O39" s="436">
        <v>-15054.861134000001</v>
      </c>
      <c r="P39" s="436">
        <v>-2401.5497869999999</v>
      </c>
    </row>
    <row r="40" spans="1:16">
      <c r="A40" s="188" t="s">
        <v>85</v>
      </c>
      <c r="B40" s="436">
        <v>25326.224829999999</v>
      </c>
      <c r="C40" s="436">
        <v>25326.224829999999</v>
      </c>
      <c r="D40" s="436">
        <v>25326.224829999999</v>
      </c>
      <c r="E40" s="436">
        <v>16934.014331999999</v>
      </c>
      <c r="F40" s="436">
        <v>7830.2630140000001</v>
      </c>
      <c r="G40" s="436">
        <v>0</v>
      </c>
      <c r="H40" s="436">
        <v>0</v>
      </c>
      <c r="I40" s="436">
        <v>3491.4767870000001</v>
      </c>
      <c r="J40" s="436">
        <v>17641.224359</v>
      </c>
      <c r="K40" s="436">
        <v>8617.7745570000006</v>
      </c>
      <c r="L40" s="436">
        <v>11920.487399</v>
      </c>
      <c r="M40" s="436">
        <v>11744.425682999999</v>
      </c>
      <c r="N40" s="436">
        <v>18859.082298000001</v>
      </c>
      <c r="O40" s="436">
        <v>24263.878058999999</v>
      </c>
      <c r="P40" s="436">
        <v>9209.0169249999999</v>
      </c>
    </row>
    <row r="41" spans="1:16">
      <c r="A41" s="188" t="s">
        <v>379</v>
      </c>
      <c r="B41" s="436">
        <v>0</v>
      </c>
      <c r="C41" s="436">
        <v>0</v>
      </c>
      <c r="D41" s="436">
        <v>0</v>
      </c>
      <c r="E41" s="436">
        <v>0</v>
      </c>
      <c r="F41" s="436">
        <v>0</v>
      </c>
      <c r="G41" s="436">
        <v>0</v>
      </c>
      <c r="H41" s="436">
        <v>0</v>
      </c>
      <c r="I41" s="436">
        <v>0</v>
      </c>
      <c r="J41" s="436">
        <v>0</v>
      </c>
      <c r="K41" s="436">
        <v>0</v>
      </c>
      <c r="L41" s="436">
        <v>0</v>
      </c>
      <c r="M41" s="436">
        <v>0</v>
      </c>
      <c r="N41" s="436">
        <v>0</v>
      </c>
      <c r="O41" s="436">
        <v>0</v>
      </c>
      <c r="P41" s="436">
        <v>0</v>
      </c>
    </row>
    <row r="42" spans="1:16">
      <c r="A42" s="188" t="s">
        <v>86</v>
      </c>
      <c r="B42" s="436">
        <v>25393.911988</v>
      </c>
      <c r="C42" s="436">
        <v>18628.560022000001</v>
      </c>
      <c r="D42" s="436">
        <v>16934.014331999999</v>
      </c>
      <c r="E42" s="436">
        <v>7830.2630140000001</v>
      </c>
      <c r="F42" s="436">
        <v>13764.108785</v>
      </c>
      <c r="G42" s="436">
        <v>0</v>
      </c>
      <c r="H42" s="436">
        <v>0</v>
      </c>
      <c r="I42" s="436">
        <v>17641.224359</v>
      </c>
      <c r="J42" s="436">
        <v>8617.7745570000006</v>
      </c>
      <c r="K42" s="436">
        <v>11920.487399</v>
      </c>
      <c r="L42" s="436">
        <v>11744.425682999999</v>
      </c>
      <c r="M42" s="436">
        <v>18860.546086999999</v>
      </c>
      <c r="N42" s="436">
        <v>24263.878058999999</v>
      </c>
      <c r="O42" s="436">
        <v>9209.0169249999999</v>
      </c>
      <c r="P42" s="436">
        <v>6807.467138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G29"/>
  <sheetViews>
    <sheetView showGridLines="0" workbookViewId="0">
      <selection activeCell="B6" sqref="B6:C6"/>
    </sheetView>
  </sheetViews>
  <sheetFormatPr defaultRowHeight="12.75"/>
  <cols>
    <col min="1" max="1" width="13.5703125" style="1" customWidth="1"/>
    <col min="2" max="2" width="24.140625" style="1" customWidth="1"/>
    <col min="3" max="3" width="15.28515625" style="1" customWidth="1"/>
    <col min="4" max="4" width="5" style="1" customWidth="1"/>
    <col min="5" max="5" width="10.5703125" style="1" customWidth="1"/>
    <col min="6" max="6" width="26.7109375" style="1" customWidth="1"/>
    <col min="7" max="7" width="18.85546875" style="1" customWidth="1"/>
    <col min="8" max="16384" width="9.140625" style="1"/>
  </cols>
  <sheetData>
    <row r="5" spans="1:7" ht="17.100000000000001" customHeight="1">
      <c r="A5" s="636" t="s">
        <v>45</v>
      </c>
      <c r="B5" s="637"/>
      <c r="C5" s="638"/>
      <c r="E5" s="636" t="s">
        <v>46</v>
      </c>
      <c r="F5" s="637"/>
      <c r="G5" s="638"/>
    </row>
    <row r="6" spans="1:7" ht="17.100000000000001" customHeight="1">
      <c r="A6" s="26" t="s">
        <v>27</v>
      </c>
      <c r="B6" s="639"/>
      <c r="C6" s="640"/>
      <c r="E6" s="33" t="s">
        <v>23</v>
      </c>
      <c r="F6" s="34" t="s">
        <v>33</v>
      </c>
      <c r="G6" s="35" t="s">
        <v>32</v>
      </c>
    </row>
    <row r="7" spans="1:7" ht="17.100000000000001" customHeight="1">
      <c r="A7" s="7" t="s">
        <v>28</v>
      </c>
      <c r="B7" s="641" t="s">
        <v>30</v>
      </c>
      <c r="C7" s="642"/>
      <c r="E7" s="27">
        <v>1</v>
      </c>
      <c r="F7" s="30" t="s">
        <v>34</v>
      </c>
      <c r="G7" s="28"/>
    </row>
    <row r="8" spans="1:7" ht="17.100000000000001" customHeight="1">
      <c r="A8" s="7" t="s">
        <v>31</v>
      </c>
      <c r="B8" s="641">
        <v>5</v>
      </c>
      <c r="C8" s="642"/>
      <c r="E8" s="27">
        <v>2</v>
      </c>
      <c r="F8" s="30" t="s">
        <v>35</v>
      </c>
      <c r="G8" s="28"/>
    </row>
    <row r="9" spans="1:7" ht="17.100000000000001" customHeight="1">
      <c r="A9" s="24" t="s">
        <v>29</v>
      </c>
      <c r="B9" s="643" t="s">
        <v>22</v>
      </c>
      <c r="C9" s="644"/>
      <c r="E9" s="29">
        <v>3</v>
      </c>
      <c r="F9" s="31" t="s">
        <v>36</v>
      </c>
      <c r="G9" s="25"/>
    </row>
    <row r="10" spans="1:7" ht="17.100000000000001" customHeight="1">
      <c r="A10" s="22"/>
      <c r="B10" s="22"/>
      <c r="C10" s="22"/>
    </row>
    <row r="11" spans="1:7" ht="17.100000000000001" customHeight="1"/>
    <row r="12" spans="1:7" ht="17.100000000000001" customHeight="1">
      <c r="A12" s="636" t="s">
        <v>47</v>
      </c>
      <c r="B12" s="637"/>
      <c r="C12" s="638"/>
      <c r="E12" s="636" t="s">
        <v>20</v>
      </c>
      <c r="F12" s="637"/>
      <c r="G12" s="638"/>
    </row>
    <row r="13" spans="1:7" ht="17.100000000000001" customHeight="1">
      <c r="A13" s="33" t="s">
        <v>23</v>
      </c>
      <c r="B13" s="34" t="s">
        <v>37</v>
      </c>
      <c r="C13" s="35" t="s">
        <v>32</v>
      </c>
      <c r="E13" s="33" t="s">
        <v>23</v>
      </c>
      <c r="F13" s="34" t="s">
        <v>33</v>
      </c>
      <c r="G13" s="35" t="s">
        <v>32</v>
      </c>
    </row>
    <row r="14" spans="1:7" ht="17.100000000000001" customHeight="1">
      <c r="A14" s="27">
        <v>4</v>
      </c>
      <c r="B14" s="23" t="s">
        <v>43</v>
      </c>
      <c r="C14" s="6"/>
      <c r="E14" s="27">
        <v>10</v>
      </c>
      <c r="F14" s="23" t="s">
        <v>762</v>
      </c>
      <c r="G14" s="6"/>
    </row>
    <row r="15" spans="1:7" ht="17.100000000000001" customHeight="1">
      <c r="A15" s="27">
        <v>5</v>
      </c>
      <c r="B15" s="23" t="s">
        <v>38</v>
      </c>
      <c r="C15" s="6"/>
      <c r="E15" s="27">
        <v>12</v>
      </c>
      <c r="F15" s="23" t="s">
        <v>44</v>
      </c>
      <c r="G15" s="6"/>
    </row>
    <row r="16" spans="1:7" ht="17.100000000000001" customHeight="1">
      <c r="A16" s="27">
        <v>6</v>
      </c>
      <c r="B16" s="23" t="s">
        <v>39</v>
      </c>
      <c r="C16" s="6"/>
      <c r="E16" s="32">
        <v>13</v>
      </c>
      <c r="F16" s="2" t="s">
        <v>763</v>
      </c>
      <c r="G16" s="6"/>
    </row>
    <row r="17" spans="1:7" ht="17.100000000000001" customHeight="1">
      <c r="A17" s="27">
        <v>7</v>
      </c>
      <c r="B17" s="23" t="s">
        <v>40</v>
      </c>
      <c r="C17" s="6"/>
      <c r="E17" s="32">
        <v>14</v>
      </c>
      <c r="F17" s="2" t="s">
        <v>48</v>
      </c>
      <c r="G17" s="6"/>
    </row>
    <row r="18" spans="1:7" ht="17.100000000000001" customHeight="1">
      <c r="A18" s="27">
        <v>8</v>
      </c>
      <c r="B18" s="23" t="s">
        <v>42</v>
      </c>
      <c r="C18" s="6"/>
      <c r="E18" s="32"/>
      <c r="G18" s="6"/>
    </row>
    <row r="19" spans="1:7" ht="17.100000000000001" customHeight="1">
      <c r="A19" s="27">
        <v>9</v>
      </c>
      <c r="B19" s="23" t="s">
        <v>41</v>
      </c>
      <c r="C19" s="6"/>
      <c r="E19" s="293"/>
      <c r="F19" s="293"/>
      <c r="G19" s="293"/>
    </row>
    <row r="20" spans="1:7" ht="17.100000000000001" customHeight="1">
      <c r="A20" s="4"/>
      <c r="B20" s="5"/>
      <c r="C20" s="25"/>
      <c r="E20" s="2"/>
      <c r="F20" s="2"/>
      <c r="G20" s="2"/>
    </row>
    <row r="21" spans="1:7" ht="17.100000000000001" customHeight="1"/>
    <row r="22" spans="1:7" ht="17.100000000000001" customHeight="1"/>
    <row r="23" spans="1:7" ht="17.100000000000001" customHeight="1"/>
    <row r="24" spans="1:7" ht="17.100000000000001" customHeight="1"/>
    <row r="25" spans="1:7" ht="17.100000000000001" customHeight="1"/>
    <row r="26" spans="1:7" ht="17.100000000000001" customHeight="1">
      <c r="A26" s="23"/>
      <c r="B26" s="23"/>
      <c r="C26" s="23"/>
    </row>
    <row r="27" spans="1:7" ht="17.100000000000001" customHeight="1"/>
    <row r="28" spans="1:7" ht="17.100000000000001" customHeight="1"/>
    <row r="29" spans="1:7" ht="17.100000000000001" customHeight="1"/>
  </sheetData>
  <mergeCells count="8">
    <mergeCell ref="A5:C5"/>
    <mergeCell ref="E5:G5"/>
    <mergeCell ref="A12:C12"/>
    <mergeCell ref="E12:G12"/>
    <mergeCell ref="B6:C6"/>
    <mergeCell ref="B7:C7"/>
    <mergeCell ref="B8:C8"/>
    <mergeCell ref="B9:C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S104"/>
  <sheetViews>
    <sheetView showGridLines="0" topLeftCell="A28" workbookViewId="0">
      <selection activeCell="K28" sqref="K28"/>
    </sheetView>
  </sheetViews>
  <sheetFormatPr defaultRowHeight="12"/>
  <cols>
    <col min="1" max="1" width="15.140625" style="59" customWidth="1"/>
    <col min="2" max="2" width="5.28515625" style="59" customWidth="1"/>
    <col min="3" max="3" width="13" style="59" customWidth="1"/>
    <col min="4" max="4" width="12" style="59" bestFit="1" customWidth="1"/>
    <col min="5" max="6" width="10" style="59" customWidth="1"/>
    <col min="7" max="7" width="11.85546875" style="59" customWidth="1"/>
    <col min="8" max="8" width="10.140625" style="59" customWidth="1"/>
    <col min="9" max="9" width="11.85546875" style="59" customWidth="1"/>
    <col min="10" max="10" width="11.140625" style="59" bestFit="1" customWidth="1"/>
    <col min="11" max="11" width="13.140625" style="59" bestFit="1" customWidth="1"/>
    <col min="12" max="12" width="10.85546875" style="59" customWidth="1"/>
    <col min="13" max="13" width="13.5703125" style="59" bestFit="1" customWidth="1"/>
    <col min="14" max="14" width="12.42578125" style="59" bestFit="1" customWidth="1"/>
    <col min="15" max="15" width="14.140625" style="59" bestFit="1" customWidth="1"/>
    <col min="16" max="16" width="9.140625" style="59"/>
    <col min="17" max="17" width="10" style="59" bestFit="1" customWidth="1"/>
    <col min="18" max="18" width="9.140625" style="59"/>
    <col min="19" max="19" width="10" style="59" bestFit="1" customWidth="1"/>
    <col min="20" max="16384" width="9.140625" style="59"/>
  </cols>
  <sheetData>
    <row r="1" spans="1:13" ht="12.75">
      <c r="A1" s="36">
        <f>Info!B6</f>
        <v>0</v>
      </c>
    </row>
    <row r="2" spans="1:13" ht="12.75">
      <c r="A2" s="37" t="s">
        <v>49</v>
      </c>
    </row>
    <row r="4" spans="1:13" ht="15" customHeight="1">
      <c r="A4" s="58" t="s">
        <v>26</v>
      </c>
      <c r="B4" s="60"/>
      <c r="C4" s="60"/>
      <c r="D4" s="60"/>
      <c r="E4" s="60"/>
      <c r="F4" s="60"/>
      <c r="G4" s="60"/>
      <c r="H4" s="60"/>
      <c r="I4" s="60"/>
      <c r="J4" s="60"/>
      <c r="K4" s="60"/>
      <c r="L4" s="60"/>
      <c r="M4" s="61"/>
    </row>
    <row r="5" spans="1:13" ht="15" customHeight="1">
      <c r="A5" s="54" t="s">
        <v>50</v>
      </c>
      <c r="B5" s="39"/>
      <c r="C5" s="38"/>
      <c r="D5" s="39"/>
      <c r="E5" s="285" t="s">
        <v>797</v>
      </c>
      <c r="F5" s="39"/>
      <c r="G5" s="40" t="s">
        <v>68</v>
      </c>
      <c r="H5" s="39" t="s">
        <v>800</v>
      </c>
      <c r="I5" s="39"/>
      <c r="J5" s="39"/>
      <c r="K5" s="39"/>
      <c r="L5" s="39"/>
      <c r="M5" s="57"/>
    </row>
    <row r="6" spans="1:13" ht="15" customHeight="1">
      <c r="A6" s="54" t="s">
        <v>66</v>
      </c>
      <c r="B6" s="39"/>
      <c r="C6" s="39"/>
      <c r="D6" s="39"/>
      <c r="E6" s="285" t="s">
        <v>798</v>
      </c>
      <c r="F6" s="39"/>
      <c r="G6" s="40" t="s">
        <v>69</v>
      </c>
      <c r="H6" s="39"/>
      <c r="I6" s="39"/>
      <c r="J6" s="39"/>
      <c r="K6" s="39"/>
      <c r="L6" s="39"/>
      <c r="M6" s="57"/>
    </row>
    <row r="7" spans="1:13" ht="15" customHeight="1">
      <c r="A7" s="55" t="s">
        <v>67</v>
      </c>
      <c r="B7" s="62"/>
      <c r="C7" s="62"/>
      <c r="D7" s="62"/>
      <c r="E7" s="450" t="s">
        <v>799</v>
      </c>
      <c r="F7" s="62"/>
      <c r="G7" s="56" t="s">
        <v>51</v>
      </c>
      <c r="H7" s="451" t="s">
        <v>801</v>
      </c>
      <c r="I7" s="164"/>
      <c r="J7" s="62"/>
      <c r="K7" s="62"/>
      <c r="L7" s="62"/>
      <c r="M7" s="63"/>
    </row>
    <row r="8" spans="1:13" ht="15" customHeight="1">
      <c r="A8" s="40"/>
      <c r="B8" s="39"/>
      <c r="C8" s="39"/>
      <c r="D8" s="39"/>
      <c r="E8" s="39"/>
      <c r="F8" s="39"/>
      <c r="G8" s="40"/>
      <c r="H8" s="39"/>
      <c r="I8" s="169"/>
      <c r="J8" s="39"/>
      <c r="K8" s="39"/>
      <c r="L8" s="39"/>
      <c r="M8" s="39"/>
    </row>
    <row r="9" spans="1:13" ht="15" customHeight="1">
      <c r="A9" s="60" t="s">
        <v>33</v>
      </c>
      <c r="B9" s="170"/>
      <c r="C9" s="170"/>
      <c r="D9" s="170"/>
      <c r="E9" s="170"/>
      <c r="F9" s="170"/>
      <c r="G9" s="60"/>
      <c r="H9" s="170"/>
      <c r="I9" s="171"/>
      <c r="J9" s="170"/>
      <c r="K9" s="170"/>
      <c r="L9" s="170"/>
      <c r="M9" s="172"/>
    </row>
    <row r="10" spans="1:13" ht="15" customHeight="1">
      <c r="A10" s="40"/>
      <c r="B10" s="39"/>
      <c r="C10" s="39"/>
      <c r="D10" s="39"/>
      <c r="E10" s="39"/>
      <c r="F10" s="39"/>
      <c r="G10" s="40"/>
      <c r="H10" s="39"/>
      <c r="I10" s="169"/>
      <c r="J10" s="39"/>
      <c r="K10" s="39"/>
      <c r="L10" s="39"/>
      <c r="M10" s="39"/>
    </row>
    <row r="11" spans="1:13" ht="15" customHeight="1">
      <c r="A11" s="40"/>
      <c r="B11" s="39"/>
      <c r="C11" s="39"/>
      <c r="D11" s="39"/>
      <c r="E11" s="39"/>
      <c r="F11" s="39"/>
      <c r="G11" s="40"/>
      <c r="H11" s="39"/>
      <c r="I11" s="169"/>
      <c r="J11" s="39"/>
      <c r="K11" s="39"/>
      <c r="L11" s="39"/>
      <c r="M11" s="39"/>
    </row>
    <row r="12" spans="1:13" ht="15" customHeight="1">
      <c r="A12" s="40"/>
      <c r="B12" s="39"/>
      <c r="C12" s="39"/>
      <c r="D12" s="39"/>
      <c r="E12" s="39"/>
      <c r="F12" s="39"/>
      <c r="G12" s="40"/>
      <c r="H12" s="39"/>
      <c r="I12" s="169"/>
      <c r="J12" s="39"/>
      <c r="K12" s="39"/>
      <c r="L12" s="39"/>
      <c r="M12" s="39"/>
    </row>
    <row r="13" spans="1:13" ht="15" customHeight="1">
      <c r="A13" s="40"/>
      <c r="B13" s="39"/>
      <c r="C13" s="39"/>
      <c r="D13" s="39"/>
      <c r="E13" s="39"/>
      <c r="F13" s="39"/>
      <c r="G13" s="40"/>
      <c r="H13" s="39"/>
      <c r="I13" s="169"/>
      <c r="J13" s="39"/>
      <c r="K13" s="39"/>
      <c r="L13" s="39"/>
      <c r="M13" s="39"/>
    </row>
    <row r="14" spans="1:13" ht="15" customHeight="1">
      <c r="A14" s="40"/>
      <c r="B14" s="39"/>
      <c r="C14" s="39"/>
      <c r="D14" s="39"/>
      <c r="E14" s="39"/>
      <c r="F14" s="39"/>
      <c r="G14" s="40"/>
      <c r="H14" s="39"/>
      <c r="I14" s="169"/>
      <c r="J14" s="39"/>
      <c r="K14" s="39"/>
      <c r="L14" s="39"/>
      <c r="M14" s="39"/>
    </row>
    <row r="15" spans="1:13" ht="15" customHeight="1"/>
    <row r="16" spans="1:13" ht="15" customHeight="1">
      <c r="A16" s="58" t="s">
        <v>52</v>
      </c>
      <c r="B16" s="60"/>
      <c r="C16" s="60"/>
      <c r="D16" s="61"/>
      <c r="E16" s="64"/>
      <c r="F16" s="58" t="s">
        <v>70</v>
      </c>
      <c r="G16" s="60"/>
      <c r="H16" s="60"/>
      <c r="I16" s="60"/>
      <c r="J16" s="60"/>
      <c r="K16" s="60"/>
      <c r="L16" s="60"/>
      <c r="M16" s="61"/>
    </row>
    <row r="17" spans="1:15" ht="15" customHeight="1">
      <c r="A17" s="43" t="s">
        <v>58</v>
      </c>
      <c r="B17" s="39"/>
      <c r="C17" s="39"/>
      <c r="D17" s="44"/>
      <c r="F17" s="65" t="s">
        <v>72</v>
      </c>
      <c r="G17" s="42" t="s">
        <v>73</v>
      </c>
      <c r="H17" s="42" t="s">
        <v>74</v>
      </c>
      <c r="I17" s="39"/>
      <c r="J17" s="39"/>
      <c r="K17" s="39"/>
      <c r="L17" s="39"/>
      <c r="M17" s="57"/>
    </row>
    <row r="18" spans="1:15" ht="15" customHeight="1">
      <c r="A18" s="43" t="s">
        <v>53</v>
      </c>
      <c r="B18" s="39"/>
      <c r="C18" s="39"/>
      <c r="D18" s="44"/>
      <c r="F18" s="43"/>
      <c r="G18" s="51"/>
      <c r="H18" s="52"/>
      <c r="I18" s="39"/>
      <c r="J18" s="39"/>
      <c r="K18" s="39"/>
      <c r="L18" s="39"/>
      <c r="M18" s="57"/>
    </row>
    <row r="19" spans="1:15" ht="15" customHeight="1">
      <c r="A19" s="43" t="s">
        <v>59</v>
      </c>
      <c r="B19" s="39"/>
      <c r="C19" s="39"/>
      <c r="D19" s="44"/>
      <c r="F19" s="43"/>
      <c r="G19" s="51"/>
      <c r="H19" s="53"/>
      <c r="I19" s="39"/>
      <c r="J19" s="39"/>
      <c r="K19" s="39"/>
      <c r="L19" s="39"/>
      <c r="M19" s="57"/>
    </row>
    <row r="20" spans="1:15" ht="15" customHeight="1">
      <c r="A20" s="43" t="s">
        <v>54</v>
      </c>
      <c r="B20" s="39"/>
      <c r="C20" s="39"/>
      <c r="D20" s="45"/>
      <c r="F20" s="43"/>
      <c r="G20" s="51"/>
      <c r="H20" s="53"/>
      <c r="I20" s="39"/>
      <c r="J20" s="39"/>
      <c r="K20" s="39"/>
      <c r="L20" s="39"/>
      <c r="M20" s="57"/>
    </row>
    <row r="21" spans="1:15" ht="15" customHeight="1">
      <c r="A21" s="43" t="s">
        <v>60</v>
      </c>
      <c r="B21" s="39"/>
      <c r="C21" s="39"/>
      <c r="D21" s="46"/>
      <c r="F21" s="43"/>
      <c r="G21" s="51"/>
      <c r="H21" s="53"/>
      <c r="I21" s="39"/>
      <c r="J21" s="39"/>
      <c r="K21" s="39"/>
      <c r="L21" s="39"/>
      <c r="M21" s="57"/>
    </row>
    <row r="22" spans="1:15" ht="15" customHeight="1">
      <c r="A22" s="43" t="s">
        <v>61</v>
      </c>
      <c r="B22" s="39"/>
      <c r="C22" s="39"/>
      <c r="D22" s="47"/>
      <c r="F22" s="43"/>
      <c r="G22" s="165"/>
      <c r="H22" s="166"/>
      <c r="I22" s="39"/>
      <c r="J22" s="39"/>
      <c r="K22" s="39"/>
      <c r="L22" s="39"/>
      <c r="M22" s="57"/>
    </row>
    <row r="23" spans="1:15" ht="15" customHeight="1">
      <c r="A23" s="43" t="s">
        <v>62</v>
      </c>
      <c r="B23" s="39"/>
      <c r="C23" s="39"/>
      <c r="D23" s="48"/>
      <c r="F23" s="66"/>
      <c r="G23" s="167"/>
      <c r="H23" s="168"/>
      <c r="I23" s="62"/>
      <c r="J23" s="62"/>
      <c r="K23" s="62"/>
      <c r="L23" s="62"/>
      <c r="M23" s="63"/>
    </row>
    <row r="24" spans="1:15" ht="15" customHeight="1">
      <c r="A24" s="43" t="s">
        <v>63</v>
      </c>
      <c r="B24" s="39"/>
      <c r="C24" s="39"/>
      <c r="D24" s="46"/>
    </row>
    <row r="25" spans="1:15" ht="15" customHeight="1">
      <c r="A25" s="43" t="s">
        <v>64</v>
      </c>
      <c r="B25" s="39"/>
      <c r="C25" s="39"/>
      <c r="D25" s="46"/>
      <c r="F25" s="209" t="s">
        <v>397</v>
      </c>
      <c r="G25" s="211"/>
      <c r="H25" s="212"/>
      <c r="J25" s="209" t="s">
        <v>390</v>
      </c>
      <c r="K25" s="211"/>
      <c r="L25" s="212"/>
    </row>
    <row r="26" spans="1:15" ht="15" customHeight="1">
      <c r="A26" s="43" t="s">
        <v>56</v>
      </c>
      <c r="B26" s="39"/>
      <c r="C26" s="39"/>
      <c r="D26" s="46"/>
      <c r="F26" s="43" t="s">
        <v>393</v>
      </c>
      <c r="G26" s="39"/>
      <c r="H26" s="57"/>
      <c r="J26" s="43" t="s">
        <v>391</v>
      </c>
      <c r="K26" s="39"/>
      <c r="L26" s="213"/>
    </row>
    <row r="27" spans="1:15" ht="15" customHeight="1">
      <c r="A27" s="49" t="s">
        <v>65</v>
      </c>
      <c r="B27" s="39"/>
      <c r="C27" s="41" t="s">
        <v>55</v>
      </c>
      <c r="D27" s="46"/>
      <c r="F27" s="66" t="s">
        <v>398</v>
      </c>
      <c r="G27" s="62"/>
      <c r="H27" s="197"/>
      <c r="J27" s="43" t="s">
        <v>392</v>
      </c>
      <c r="K27" s="39"/>
      <c r="L27" s="213"/>
    </row>
    <row r="28" spans="1:15" ht="15" customHeight="1">
      <c r="A28" s="66" t="s">
        <v>57</v>
      </c>
      <c r="B28" s="62"/>
      <c r="C28" s="62"/>
      <c r="D28" s="50"/>
      <c r="J28" s="66" t="s">
        <v>393</v>
      </c>
      <c r="K28" s="62"/>
      <c r="L28" s="214"/>
      <c r="M28" s="270"/>
    </row>
    <row r="29" spans="1:15" ht="15" customHeight="1">
      <c r="C29" s="194"/>
      <c r="D29" s="194"/>
      <c r="E29" s="194"/>
      <c r="F29" s="194"/>
      <c r="G29" s="194"/>
      <c r="H29" s="194"/>
      <c r="I29" s="194"/>
      <c r="M29" s="270"/>
    </row>
    <row r="30" spans="1:15" ht="15" customHeight="1">
      <c r="A30" s="209" t="s">
        <v>384</v>
      </c>
      <c r="B30" s="205"/>
      <c r="C30" s="206"/>
      <c r="D30" s="206"/>
      <c r="E30" s="206"/>
      <c r="F30" s="206"/>
      <c r="G30" s="206"/>
      <c r="H30" s="243"/>
      <c r="M30" s="270"/>
      <c r="N30" s="194"/>
      <c r="O30" s="194"/>
    </row>
    <row r="31" spans="1:15" ht="15" customHeight="1">
      <c r="A31" s="43"/>
      <c r="B31" s="39"/>
      <c r="C31" s="38">
        <v>2007</v>
      </c>
      <c r="D31" s="38">
        <v>2008</v>
      </c>
      <c r="E31" s="38">
        <v>2009</v>
      </c>
      <c r="F31" s="38">
        <v>2010</v>
      </c>
      <c r="G31" s="38">
        <v>2111</v>
      </c>
      <c r="H31" s="208">
        <v>2012</v>
      </c>
      <c r="K31" s="194"/>
      <c r="L31" s="270"/>
      <c r="M31" s="194"/>
      <c r="N31" s="270"/>
      <c r="O31" s="270"/>
    </row>
    <row r="32" spans="1:15" ht="15" customHeight="1">
      <c r="A32" s="43" t="s">
        <v>387</v>
      </c>
      <c r="B32" s="39"/>
      <c r="C32" s="51"/>
      <c r="D32" s="51"/>
      <c r="E32" s="51"/>
      <c r="F32" s="51"/>
      <c r="G32" s="51"/>
      <c r="H32" s="244"/>
      <c r="K32" s="271"/>
      <c r="L32" s="270"/>
      <c r="M32" s="270"/>
      <c r="N32" s="270"/>
      <c r="O32" s="270"/>
    </row>
    <row r="33" spans="1:19" ht="15" customHeight="1">
      <c r="A33" s="66" t="s">
        <v>388</v>
      </c>
      <c r="B33" s="62"/>
      <c r="C33" s="203"/>
      <c r="D33" s="203"/>
      <c r="E33" s="203"/>
      <c r="F33" s="203"/>
      <c r="G33" s="203"/>
      <c r="H33" s="204"/>
      <c r="K33" s="194"/>
      <c r="L33" s="194"/>
      <c r="M33" s="272"/>
      <c r="N33" s="271"/>
      <c r="O33" s="194"/>
    </row>
    <row r="34" spans="1:19" ht="15" customHeight="1">
      <c r="C34" s="194"/>
      <c r="D34" s="194"/>
      <c r="E34" s="194"/>
      <c r="F34" s="194"/>
      <c r="G34" s="194"/>
      <c r="H34" s="194"/>
      <c r="I34" s="194"/>
      <c r="K34" s="271"/>
    </row>
    <row r="35" spans="1:19" ht="15" customHeight="1">
      <c r="A35" s="202" t="s">
        <v>382</v>
      </c>
      <c r="B35" s="198"/>
      <c r="C35" s="198"/>
      <c r="D35" s="198"/>
      <c r="E35" s="198"/>
      <c r="F35" s="198"/>
      <c r="G35" s="198"/>
      <c r="H35" s="198"/>
      <c r="I35" s="198" t="s">
        <v>383</v>
      </c>
      <c r="J35" s="198"/>
      <c r="K35" s="198"/>
      <c r="L35" s="198"/>
      <c r="M35" s="198"/>
      <c r="N35" s="199"/>
    </row>
    <row r="36" spans="1:19" s="249" customFormat="1" ht="15" customHeight="1">
      <c r="A36" s="245"/>
      <c r="B36" s="246"/>
      <c r="C36" s="247">
        <v>2007</v>
      </c>
      <c r="D36" s="247" t="s">
        <v>522</v>
      </c>
      <c r="E36" s="247">
        <v>2008</v>
      </c>
      <c r="F36" s="247" t="s">
        <v>522</v>
      </c>
      <c r="G36" s="247">
        <v>2009</v>
      </c>
      <c r="H36" s="247" t="s">
        <v>522</v>
      </c>
      <c r="I36" s="247">
        <v>2010</v>
      </c>
      <c r="J36" s="247" t="s">
        <v>522</v>
      </c>
      <c r="K36" s="247">
        <v>2011</v>
      </c>
      <c r="L36" s="247" t="s">
        <v>522</v>
      </c>
      <c r="M36" s="247">
        <v>2012</v>
      </c>
      <c r="N36" s="248" t="s">
        <v>522</v>
      </c>
    </row>
    <row r="37" spans="1:19" ht="15" customHeight="1">
      <c r="A37" s="200" t="e">
        <f>#REF!</f>
        <v>#REF!</v>
      </c>
      <c r="B37" s="39"/>
      <c r="C37" s="195">
        <v>98083</v>
      </c>
      <c r="D37" s="242">
        <f>C37/$C$47</f>
        <v>0.96775562155282135</v>
      </c>
      <c r="E37" s="195">
        <v>153088</v>
      </c>
      <c r="F37" s="242">
        <f>E37/$E$47</f>
        <v>0.96444321245873543</v>
      </c>
      <c r="G37" s="195">
        <v>180043.56700000001</v>
      </c>
      <c r="H37" s="242">
        <f>G37/$M$48</f>
        <v>0.93477312575315397</v>
      </c>
      <c r="I37" s="195">
        <v>202280.00899999999</v>
      </c>
      <c r="J37" s="242">
        <f>I37/$O$48</f>
        <v>0.85600045906132916</v>
      </c>
      <c r="K37" s="195">
        <v>164919.00599999999</v>
      </c>
      <c r="L37" s="242">
        <f>K37/$K$47</f>
        <v>0.76038747794173733</v>
      </c>
      <c r="M37" s="195">
        <v>103672.789</v>
      </c>
      <c r="N37" s="48">
        <f>M37/$M$47</f>
        <v>0.47996795565128364</v>
      </c>
    </row>
    <row r="38" spans="1:19" ht="15" customHeight="1">
      <c r="A38" s="43" t="s">
        <v>401</v>
      </c>
      <c r="B38" s="39"/>
      <c r="C38" s="41"/>
      <c r="D38" s="242"/>
      <c r="E38" s="41">
        <f>E37/C37-1</f>
        <v>0.5608005464759438</v>
      </c>
      <c r="F38" s="242"/>
      <c r="G38" s="41">
        <f>G37/E37-1</f>
        <v>0.17607890233068568</v>
      </c>
      <c r="H38" s="41"/>
      <c r="I38" s="41">
        <f>I37/G37-1</f>
        <v>0.12350589565913217</v>
      </c>
      <c r="J38" s="41"/>
      <c r="K38" s="41">
        <f>K37/I37-1</f>
        <v>-0.18469943315060855</v>
      </c>
      <c r="L38" s="242"/>
      <c r="M38" s="41">
        <f>M37/K37-1</f>
        <v>-0.37137149007555859</v>
      </c>
      <c r="N38" s="48"/>
    </row>
    <row r="39" spans="1:19" ht="15" customHeight="1">
      <c r="A39" s="200" t="e">
        <f>#REF!</f>
        <v>#REF!</v>
      </c>
      <c r="B39" s="39"/>
      <c r="C39" s="195">
        <v>3268</v>
      </c>
      <c r="D39" s="242">
        <f t="shared" ref="D39" si="0">C39/$C$47</f>
        <v>3.2244378447178618E-2</v>
      </c>
      <c r="E39" s="195">
        <v>5644</v>
      </c>
      <c r="F39" s="242">
        <f t="shared" ref="F39" si="1">E39/$E$47</f>
        <v>3.5556787541264519E-2</v>
      </c>
      <c r="G39" s="195">
        <v>12563.133</v>
      </c>
      <c r="H39" s="242">
        <f>G39/$M$48</f>
        <v>6.5226874246846034E-2</v>
      </c>
      <c r="I39" s="195">
        <v>34028.286</v>
      </c>
      <c r="J39" s="242">
        <f>I39/$O$48</f>
        <v>0.14399954093867082</v>
      </c>
      <c r="K39" s="195">
        <v>28273.583999999999</v>
      </c>
      <c r="L39" s="242">
        <f t="shared" ref="L39:L45" si="2">K39/$K$47</f>
        <v>0.13036022803905245</v>
      </c>
      <c r="M39" s="195">
        <v>17757.09</v>
      </c>
      <c r="N39" s="48">
        <f t="shared" ref="N39:N45" si="3">M39/$M$47</f>
        <v>8.2208979500067766E-2</v>
      </c>
    </row>
    <row r="40" spans="1:19" ht="15" customHeight="1">
      <c r="A40" s="43" t="s">
        <v>401</v>
      </c>
      <c r="B40" s="39"/>
      <c r="C40" s="41"/>
      <c r="D40" s="41"/>
      <c r="E40" s="41">
        <f>E39/C39-1</f>
        <v>0.72705018359853124</v>
      </c>
      <c r="F40" s="242"/>
      <c r="G40" s="41">
        <f>G39/E39-1</f>
        <v>1.2259271793054571</v>
      </c>
      <c r="H40" s="41"/>
      <c r="I40" s="41">
        <f>I39/G39-1</f>
        <v>1.7085828033500881</v>
      </c>
      <c r="J40" s="41"/>
      <c r="K40" s="41">
        <f>K39/I39-1</f>
        <v>-0.16911524723872373</v>
      </c>
      <c r="L40" s="242"/>
      <c r="M40" s="41">
        <f>M39/K39-1</f>
        <v>-0.37195475465720929</v>
      </c>
      <c r="N40" s="48"/>
    </row>
    <row r="41" spans="1:19" ht="15" customHeight="1">
      <c r="A41" s="200" t="e">
        <f>#REF!</f>
        <v>#REF!</v>
      </c>
      <c r="B41" s="39"/>
      <c r="C41" s="195"/>
      <c r="D41" s="242"/>
      <c r="E41" s="195"/>
      <c r="F41" s="242"/>
      <c r="G41" s="195"/>
      <c r="H41" s="242"/>
      <c r="I41" s="195"/>
      <c r="J41" s="242"/>
      <c r="K41" s="195">
        <v>7046.2719999999999</v>
      </c>
      <c r="L41" s="242">
        <f t="shared" si="2"/>
        <v>3.2488050497778781E-2</v>
      </c>
      <c r="M41" s="195">
        <v>13791.351000000001</v>
      </c>
      <c r="N41" s="48">
        <f t="shared" si="3"/>
        <v>6.3849025467418316E-2</v>
      </c>
    </row>
    <row r="42" spans="1:19" ht="15" customHeight="1">
      <c r="A42" s="43" t="s">
        <v>401</v>
      </c>
      <c r="B42" s="39"/>
      <c r="C42" s="41"/>
      <c r="E42" s="41"/>
      <c r="F42" s="41"/>
      <c r="G42" s="41"/>
      <c r="H42" s="41"/>
      <c r="I42" s="41"/>
      <c r="J42" s="41"/>
      <c r="K42" s="41"/>
      <c r="L42" s="242"/>
      <c r="M42" s="41">
        <f>M41/K41-1</f>
        <v>0.95725498533125042</v>
      </c>
      <c r="N42" s="48"/>
    </row>
    <row r="43" spans="1:19" ht="15" customHeight="1">
      <c r="A43" s="200" t="e">
        <f>#REF!</f>
        <v>#REF!</v>
      </c>
      <c r="B43" s="39"/>
      <c r="C43" s="195"/>
      <c r="D43" s="242"/>
      <c r="E43" s="195"/>
      <c r="F43" s="242"/>
      <c r="G43" s="195"/>
      <c r="H43" s="242"/>
      <c r="I43" s="195"/>
      <c r="J43" s="242"/>
      <c r="K43" s="195">
        <v>9339.2620000000006</v>
      </c>
      <c r="L43" s="242">
        <f t="shared" si="2"/>
        <v>4.3060275769653295E-2</v>
      </c>
      <c r="M43" s="195">
        <v>13819.675999999999</v>
      </c>
      <c r="N43" s="48">
        <f t="shared" si="3"/>
        <v>6.3980160092761737E-2</v>
      </c>
    </row>
    <row r="44" spans="1:19" ht="15" customHeight="1">
      <c r="A44" s="43" t="s">
        <v>401</v>
      </c>
      <c r="B44" s="39"/>
      <c r="C44" s="41"/>
      <c r="D44" s="41"/>
      <c r="E44" s="41"/>
      <c r="F44" s="41"/>
      <c r="G44" s="41"/>
      <c r="H44" s="41"/>
      <c r="I44" s="41"/>
      <c r="J44" s="41"/>
      <c r="K44" s="41"/>
      <c r="L44" s="242"/>
      <c r="M44" s="41">
        <f>M43/K43-1</f>
        <v>0.47973961968301126</v>
      </c>
      <c r="N44" s="48"/>
    </row>
    <row r="45" spans="1:19" ht="15" customHeight="1">
      <c r="A45" s="200" t="e">
        <f>#REF!</f>
        <v>#REF!</v>
      </c>
      <c r="B45" s="39"/>
      <c r="C45" s="195"/>
      <c r="D45" s="242"/>
      <c r="E45" s="195"/>
      <c r="F45" s="242"/>
      <c r="G45" s="195"/>
      <c r="H45" s="242"/>
      <c r="I45" s="195"/>
      <c r="J45" s="242"/>
      <c r="K45" s="195">
        <v>7309.99</v>
      </c>
      <c r="L45" s="242">
        <f t="shared" si="2"/>
        <v>3.3703967751778231E-2</v>
      </c>
      <c r="M45" s="195">
        <v>66958.490999999995</v>
      </c>
      <c r="N45" s="48">
        <f t="shared" si="3"/>
        <v>0.30999387928846855</v>
      </c>
    </row>
    <row r="46" spans="1:19" ht="15" customHeight="1">
      <c r="A46" s="43" t="s">
        <v>401</v>
      </c>
      <c r="B46" s="39"/>
      <c r="C46" s="41"/>
      <c r="D46" s="41"/>
      <c r="E46" s="41"/>
      <c r="F46" s="41"/>
      <c r="G46" s="41"/>
      <c r="H46" s="41"/>
      <c r="I46" s="41"/>
      <c r="J46" s="41"/>
      <c r="K46" s="41"/>
      <c r="L46" s="41"/>
      <c r="M46" s="41">
        <f>M45/K45-1</f>
        <v>8.1598608206030381</v>
      </c>
      <c r="N46" s="216"/>
    </row>
    <row r="47" spans="1:19" s="237" customFormat="1" ht="15" customHeight="1">
      <c r="A47" s="201" t="s">
        <v>554</v>
      </c>
      <c r="B47" s="447"/>
      <c r="C47" s="359">
        <f>SUM(C37,C39,C41,C43,C45)</f>
        <v>101351</v>
      </c>
      <c r="D47" s="448"/>
      <c r="E47" s="359">
        <f>SUM(E37,E39,E41,E43,E45)</f>
        <v>158732</v>
      </c>
      <c r="F47" s="448"/>
      <c r="G47" s="359">
        <f>SUM(G37,G39,G41,G43,G45)</f>
        <v>192606.7</v>
      </c>
      <c r="H47" s="448"/>
      <c r="I47" s="359">
        <f>SUM(I37,I39,I41,I43,I45)</f>
        <v>236308.29499999998</v>
      </c>
      <c r="J47" s="448"/>
      <c r="K47" s="359">
        <f>SUM(K37,K39,K41,K43,K45)</f>
        <v>216888.11399999997</v>
      </c>
      <c r="L47" s="448"/>
      <c r="M47" s="359">
        <f>SUM(M37,M39,M41,M43,M45)</f>
        <v>215999.397</v>
      </c>
      <c r="N47" s="449"/>
    </row>
    <row r="48" spans="1:19" ht="15" customHeight="1">
      <c r="A48" s="38"/>
      <c r="B48" s="39"/>
      <c r="C48" s="260" t="e">
        <f>SUM(#REF!)</f>
        <v>#REF!</v>
      </c>
      <c r="D48" s="260"/>
      <c r="E48" s="261" t="e">
        <f>#REF!+#REF!+#REF!+#REF!+#REF!</f>
        <v>#REF!</v>
      </c>
      <c r="F48" s="260"/>
      <c r="G48" s="260" t="e">
        <f>#REF!+#REF!+#REF!+#REF!+#REF!</f>
        <v>#REF!</v>
      </c>
      <c r="H48" s="260"/>
      <c r="I48" s="260">
        <f>C37+C39+C41+C43+C45</f>
        <v>101351</v>
      </c>
      <c r="J48" s="260"/>
      <c r="K48" s="260">
        <f>E37+E39+E41+E43+E45</f>
        <v>158732</v>
      </c>
      <c r="L48" s="260"/>
      <c r="M48" s="260">
        <f>G37+G39+G41+G43+G45</f>
        <v>192606.7</v>
      </c>
      <c r="N48" s="260"/>
      <c r="O48" s="260">
        <f>I37+I39+I41+I43+I45</f>
        <v>236308.29499999998</v>
      </c>
      <c r="P48" s="195"/>
      <c r="Q48" s="260">
        <f>K37+K39+K41+K43+K45</f>
        <v>216888.11399999997</v>
      </c>
      <c r="S48" s="59">
        <v>26561574</v>
      </c>
    </row>
    <row r="49" spans="1:9" ht="15" customHeight="1">
      <c r="C49" s="194"/>
      <c r="D49" s="194"/>
      <c r="E49" s="194"/>
      <c r="F49" s="194"/>
      <c r="G49" s="194"/>
      <c r="H49" s="194"/>
      <c r="I49" s="194"/>
    </row>
    <row r="50" spans="1:9" ht="15" customHeight="1">
      <c r="A50" s="209" t="s">
        <v>394</v>
      </c>
      <c r="B50" s="211"/>
      <c r="C50" s="211"/>
      <c r="D50" s="211"/>
      <c r="E50" s="211"/>
      <c r="F50" s="211"/>
      <c r="G50" s="211"/>
      <c r="H50" s="212"/>
    </row>
    <row r="51" spans="1:9" ht="15" customHeight="1">
      <c r="A51" s="43"/>
      <c r="B51" s="39"/>
      <c r="C51" s="39">
        <v>2007</v>
      </c>
      <c r="D51" s="39">
        <v>2008</v>
      </c>
      <c r="E51" s="39">
        <v>2009</v>
      </c>
      <c r="F51" s="39">
        <v>2010</v>
      </c>
      <c r="G51" s="39">
        <v>2011</v>
      </c>
      <c r="H51" s="57">
        <v>2012</v>
      </c>
    </row>
    <row r="52" spans="1:9" ht="15" customHeight="1">
      <c r="A52" s="43" t="s">
        <v>395</v>
      </c>
      <c r="B52" s="39"/>
      <c r="C52" s="166"/>
      <c r="D52" s="166"/>
      <c r="E52" s="166"/>
      <c r="F52" s="166"/>
      <c r="G52" s="166"/>
      <c r="H52" s="213"/>
    </row>
    <row r="53" spans="1:9" ht="15" customHeight="1">
      <c r="A53" s="66" t="s">
        <v>396</v>
      </c>
      <c r="B53" s="62"/>
      <c r="C53" s="168"/>
      <c r="D53" s="168"/>
      <c r="E53" s="168"/>
      <c r="F53" s="168"/>
      <c r="G53" s="168"/>
      <c r="H53" s="210"/>
    </row>
    <row r="54" spans="1:9" ht="15" customHeight="1">
      <c r="E54" s="215"/>
    </row>
    <row r="55" spans="1:9" ht="15" customHeight="1"/>
    <row r="56" spans="1:9" ht="15" customHeight="1">
      <c r="A56" s="209" t="s">
        <v>402</v>
      </c>
      <c r="B56" s="211"/>
      <c r="C56" s="211"/>
      <c r="D56" s="211"/>
      <c r="E56" s="211"/>
      <c r="F56" s="211"/>
      <c r="G56" s="211"/>
      <c r="H56" s="212"/>
    </row>
    <row r="57" spans="1:9" ht="15" customHeight="1">
      <c r="A57" s="43"/>
      <c r="B57" s="39"/>
      <c r="C57" s="39">
        <v>2007</v>
      </c>
      <c r="D57" s="39">
        <v>2008</v>
      </c>
      <c r="E57" s="39">
        <v>2009</v>
      </c>
      <c r="F57" s="39">
        <v>2010</v>
      </c>
      <c r="G57" s="39">
        <v>2011</v>
      </c>
      <c r="H57" s="57">
        <v>2012</v>
      </c>
    </row>
    <row r="58" spans="1:9" ht="15" customHeight="1">
      <c r="A58" s="43" t="s">
        <v>785</v>
      </c>
      <c r="B58" s="39"/>
      <c r="C58" s="166"/>
      <c r="D58" s="166"/>
      <c r="E58" s="166"/>
      <c r="F58" s="166"/>
      <c r="G58" s="166"/>
      <c r="H58" s="47"/>
    </row>
    <row r="59" spans="1:9" ht="15" customHeight="1">
      <c r="A59" s="43" t="s">
        <v>403</v>
      </c>
      <c r="B59" s="39"/>
      <c r="C59" s="166"/>
      <c r="D59" s="166"/>
      <c r="E59" s="166"/>
      <c r="F59" s="166"/>
      <c r="G59" s="166"/>
      <c r="H59" s="47"/>
    </row>
    <row r="60" spans="1:9" ht="15" customHeight="1">
      <c r="A60" s="43" t="s">
        <v>404</v>
      </c>
      <c r="B60" s="39"/>
      <c r="C60" s="166"/>
      <c r="D60" s="166"/>
      <c r="E60" s="166"/>
      <c r="F60" s="166"/>
      <c r="G60" s="166"/>
      <c r="H60" s="47"/>
    </row>
    <row r="61" spans="1:9" ht="15" customHeight="1">
      <c r="A61" s="66" t="s">
        <v>405</v>
      </c>
      <c r="B61" s="62"/>
      <c r="C61" s="168"/>
      <c r="D61" s="168"/>
      <c r="E61" s="168"/>
      <c r="F61" s="168"/>
      <c r="G61" s="168"/>
      <c r="H61" s="210"/>
    </row>
    <row r="62" spans="1:9" ht="15" customHeight="1"/>
    <row r="63" spans="1:9" ht="15" customHeight="1"/>
    <row r="64" spans="1:9" ht="15" customHeight="1">
      <c r="A64" s="209" t="s">
        <v>784</v>
      </c>
      <c r="B64" s="211"/>
      <c r="C64" s="211"/>
      <c r="D64" s="211"/>
      <c r="E64" s="211"/>
      <c r="F64" s="211"/>
      <c r="G64" s="211"/>
      <c r="H64" s="212"/>
    </row>
    <row r="65" spans="1:8" ht="15" customHeight="1">
      <c r="A65" s="43"/>
      <c r="B65" s="39"/>
      <c r="C65" s="39">
        <v>2007</v>
      </c>
      <c r="D65" s="39">
        <v>2008</v>
      </c>
      <c r="E65" s="39">
        <v>2009</v>
      </c>
      <c r="F65" s="39">
        <v>2010</v>
      </c>
      <c r="G65" s="39">
        <v>2011</v>
      </c>
      <c r="H65" s="57">
        <v>2012</v>
      </c>
    </row>
    <row r="66" spans="1:8" ht="15" customHeight="1">
      <c r="A66" s="43" t="e">
        <f>A37</f>
        <v>#REF!</v>
      </c>
      <c r="B66" s="39"/>
      <c r="C66" s="166"/>
      <c r="D66" s="166"/>
      <c r="E66" s="166"/>
      <c r="F66" s="166"/>
      <c r="G66" s="166"/>
      <c r="H66" s="47"/>
    </row>
    <row r="67" spans="1:8" ht="15" customHeight="1">
      <c r="A67" s="43" t="e">
        <f>A39</f>
        <v>#REF!</v>
      </c>
      <c r="B67" s="39"/>
      <c r="C67" s="166"/>
      <c r="D67" s="166"/>
      <c r="E67" s="166"/>
      <c r="F67" s="166"/>
      <c r="G67" s="166"/>
      <c r="H67" s="47"/>
    </row>
    <row r="68" spans="1:8" ht="15" customHeight="1">
      <c r="A68" s="43" t="e">
        <f>A41</f>
        <v>#REF!</v>
      </c>
      <c r="B68" s="39"/>
      <c r="C68" s="166"/>
      <c r="D68" s="166"/>
      <c r="E68" s="166"/>
      <c r="F68" s="166"/>
      <c r="G68" s="166"/>
      <c r="H68" s="47"/>
    </row>
    <row r="69" spans="1:8" ht="15" customHeight="1">
      <c r="A69" s="66" t="e">
        <f>A43</f>
        <v>#REF!</v>
      </c>
      <c r="B69" s="62"/>
      <c r="C69" s="168"/>
      <c r="D69" s="168"/>
      <c r="E69" s="168"/>
      <c r="F69" s="168"/>
      <c r="G69" s="168"/>
      <c r="H69" s="210"/>
    </row>
    <row r="70" spans="1:8" ht="15" customHeight="1"/>
    <row r="71" spans="1:8" ht="15" customHeight="1"/>
    <row r="72" spans="1:8" ht="15" customHeight="1"/>
    <row r="73" spans="1:8" ht="15" customHeight="1"/>
    <row r="74" spans="1:8" ht="15" customHeight="1"/>
    <row r="75" spans="1:8" ht="15" customHeight="1"/>
    <row r="76" spans="1:8" ht="15" customHeight="1"/>
    <row r="77" spans="1:8" ht="15" customHeight="1"/>
    <row r="78" spans="1:8" ht="15" customHeight="1"/>
    <row r="79" spans="1:8" ht="15" customHeight="1"/>
    <row r="80" spans="1:8"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sheetData>
  <hyperlinks>
    <hyperlink ref="H7" r:id="rId1"/>
  </hyperlinks>
  <pageMargins left="0.7" right="0.7" top="0.75" bottom="0.75" header="0.3" footer="0.3"/>
  <pageSetup orientation="portrait" r:id="rId2"/>
  <ignoredErrors>
    <ignoredError sqref="C48:L48" formulaRange="1"/>
  </ignoredErrors>
  <drawing r:id="rId3"/>
</worksheet>
</file>

<file path=xl/worksheets/sheet5.xml><?xml version="1.0" encoding="utf-8"?>
<worksheet xmlns="http://schemas.openxmlformats.org/spreadsheetml/2006/main" xmlns:r="http://schemas.openxmlformats.org/officeDocument/2006/relationships">
  <dimension ref="A1:N76"/>
  <sheetViews>
    <sheetView workbookViewId="0">
      <pane xSplit="1" ySplit="3" topLeftCell="B40" activePane="bottomRight" state="frozen"/>
      <selection pane="topRight" activeCell="B1" sqref="B1"/>
      <selection pane="bottomLeft" activeCell="A4" sqref="A4"/>
      <selection pane="bottomRight" activeCell="I63" sqref="I63"/>
    </sheetView>
  </sheetViews>
  <sheetFormatPr defaultRowHeight="15"/>
  <cols>
    <col min="1" max="1" width="29.140625" bestFit="1" customWidth="1"/>
    <col min="2" max="2" width="16.7109375" style="185" customWidth="1"/>
    <col min="3" max="6" width="11.5703125" style="185" bestFit="1" customWidth="1"/>
    <col min="7" max="7" width="11.5703125" bestFit="1" customWidth="1"/>
    <col min="8" max="8" width="13.140625" customWidth="1"/>
    <col min="9" max="9" width="12.140625" bestFit="1" customWidth="1"/>
    <col min="10" max="10" width="10" bestFit="1" customWidth="1"/>
    <col min="11" max="11" width="11.140625" bestFit="1" customWidth="1"/>
    <col min="12" max="13" width="10" bestFit="1" customWidth="1"/>
  </cols>
  <sheetData>
    <row r="1" spans="1:13">
      <c r="H1" s="542"/>
    </row>
    <row r="2" spans="1:13">
      <c r="A2" s="59"/>
      <c r="B2" s="59"/>
      <c r="C2" s="59">
        <v>2010</v>
      </c>
      <c r="D2" s="59">
        <v>2011</v>
      </c>
      <c r="E2" s="59">
        <v>2012</v>
      </c>
      <c r="F2" s="59">
        <v>2013</v>
      </c>
      <c r="G2" s="59">
        <v>2014</v>
      </c>
      <c r="H2" s="483">
        <f>G2+1</f>
        <v>2015</v>
      </c>
      <c r="I2" s="483">
        <f t="shared" ref="I2:M2" si="0">H2+1</f>
        <v>2016</v>
      </c>
      <c r="J2" s="483">
        <f t="shared" si="0"/>
        <v>2017</v>
      </c>
      <c r="K2" s="483">
        <f t="shared" si="0"/>
        <v>2018</v>
      </c>
      <c r="L2" s="483">
        <f t="shared" si="0"/>
        <v>2019</v>
      </c>
      <c r="M2" s="483">
        <f t="shared" si="0"/>
        <v>2020</v>
      </c>
    </row>
    <row r="3" spans="1:13">
      <c r="A3" s="59" t="s">
        <v>854</v>
      </c>
      <c r="B3" s="272">
        <v>16000</v>
      </c>
      <c r="H3" s="484"/>
      <c r="I3" s="484"/>
      <c r="J3" s="484"/>
      <c r="K3" s="484"/>
      <c r="L3" s="484"/>
      <c r="M3" s="484"/>
    </row>
    <row r="4" spans="1:13">
      <c r="A4" s="59" t="s">
        <v>1009</v>
      </c>
      <c r="B4" s="486">
        <v>0.52</v>
      </c>
      <c r="C4" s="272"/>
      <c r="D4" s="272"/>
      <c r="E4" s="272"/>
      <c r="F4" s="272"/>
      <c r="G4" s="272"/>
      <c r="H4" s="484"/>
      <c r="I4" s="484"/>
      <c r="J4" s="484"/>
      <c r="K4" s="484"/>
      <c r="L4" s="484"/>
      <c r="M4" s="484"/>
    </row>
    <row r="5" spans="1:13" s="185" customFormat="1">
      <c r="A5" s="59" t="s">
        <v>1010</v>
      </c>
      <c r="B5" s="272">
        <v>20870</v>
      </c>
      <c r="C5" s="272">
        <f>$B$5*(1+C6)</f>
        <v>22330.9</v>
      </c>
      <c r="D5" s="272">
        <f>C5*(1+D6)</f>
        <v>24563.990000000005</v>
      </c>
      <c r="E5" s="272">
        <f t="shared" ref="E5" si="1">D5*(1+E6)</f>
        <v>25792.189500000008</v>
      </c>
      <c r="F5" s="272">
        <f t="shared" ref="F5" si="2">E5*(1+F6)</f>
        <v>27081.798975000009</v>
      </c>
      <c r="G5" s="272">
        <f t="shared" ref="G5" si="3">F5*(1+G6)</f>
        <v>26269.345005750009</v>
      </c>
      <c r="H5" s="485">
        <f>G5*(1+H6)</f>
        <v>21015.476004600008</v>
      </c>
      <c r="I5" s="485">
        <f t="shared" ref="I5:M5" si="4">H5*(1+I6)</f>
        <v>22066.249804830011</v>
      </c>
      <c r="J5" s="485">
        <f t="shared" si="4"/>
        <v>23169.562295071511</v>
      </c>
      <c r="K5" s="485">
        <f t="shared" si="4"/>
        <v>24328.040409825087</v>
      </c>
      <c r="L5" s="485">
        <f t="shared" si="4"/>
        <v>26760.844450807599</v>
      </c>
      <c r="M5" s="485">
        <f t="shared" si="4"/>
        <v>29436.928895888363</v>
      </c>
    </row>
    <row r="6" spans="1:13" s="185" customFormat="1">
      <c r="A6" s="59" t="s">
        <v>1011</v>
      </c>
      <c r="B6" s="272"/>
      <c r="C6" s="425">
        <v>7.0000000000000007E-2</v>
      </c>
      <c r="D6" s="425">
        <v>0.1</v>
      </c>
      <c r="E6" s="425">
        <v>0.05</v>
      </c>
      <c r="F6" s="425">
        <v>0.05</v>
      </c>
      <c r="G6" s="425">
        <v>-0.03</v>
      </c>
      <c r="H6" s="487">
        <v>-0.2</v>
      </c>
      <c r="I6" s="487">
        <v>0.05</v>
      </c>
      <c r="J6" s="487">
        <v>0.05</v>
      </c>
      <c r="K6" s="487">
        <v>0.05</v>
      </c>
      <c r="L6" s="487">
        <v>0.1</v>
      </c>
      <c r="M6" s="487">
        <v>0.1</v>
      </c>
    </row>
    <row r="7" spans="1:13" s="185" customFormat="1">
      <c r="A7" s="59" t="s">
        <v>1012</v>
      </c>
      <c r="B7" s="272"/>
      <c r="C7" s="425">
        <v>0.35</v>
      </c>
      <c r="D7" s="425">
        <v>0.15</v>
      </c>
      <c r="E7" s="425">
        <v>7.4999999999999997E-2</v>
      </c>
      <c r="F7" s="425">
        <v>7.4999999999999997E-2</v>
      </c>
      <c r="G7" s="425">
        <v>-0.1</v>
      </c>
      <c r="H7" s="487">
        <v>-0.1</v>
      </c>
      <c r="I7" s="487">
        <v>0.05</v>
      </c>
      <c r="J7" s="487">
        <v>0.05</v>
      </c>
      <c r="K7" s="487">
        <f>J7</f>
        <v>0.05</v>
      </c>
      <c r="L7" s="487">
        <v>0.1</v>
      </c>
      <c r="M7" s="487">
        <v>0.1</v>
      </c>
    </row>
    <row r="8" spans="1:13" s="185" customFormat="1">
      <c r="A8" s="59" t="s">
        <v>1013</v>
      </c>
      <c r="B8" s="486"/>
      <c r="C8" s="272"/>
      <c r="D8" s="272"/>
      <c r="E8" s="272"/>
      <c r="F8" s="272"/>
      <c r="G8" s="272"/>
      <c r="H8" s="487">
        <v>0.05</v>
      </c>
      <c r="I8" s="487">
        <v>0.05</v>
      </c>
      <c r="J8" s="487">
        <v>0.05</v>
      </c>
      <c r="K8" s="487">
        <v>0.05</v>
      </c>
      <c r="L8" s="487">
        <v>0.1</v>
      </c>
      <c r="M8" s="487">
        <v>0.1</v>
      </c>
    </row>
    <row r="9" spans="1:13" s="185" customFormat="1">
      <c r="A9" s="59" t="s">
        <v>898</v>
      </c>
      <c r="B9" s="272">
        <v>20000</v>
      </c>
      <c r="C9" s="272"/>
      <c r="D9" s="272"/>
      <c r="E9" s="272"/>
      <c r="F9" s="272"/>
      <c r="G9" s="272"/>
      <c r="H9" s="487">
        <v>0.05</v>
      </c>
      <c r="I9" s="487">
        <v>0.15</v>
      </c>
      <c r="J9" s="487">
        <v>0.1</v>
      </c>
      <c r="K9" s="487">
        <v>0.1</v>
      </c>
      <c r="L9" s="487">
        <v>0.05</v>
      </c>
      <c r="M9" s="487">
        <v>0.05</v>
      </c>
    </row>
    <row r="10" spans="1:13" s="185" customFormat="1">
      <c r="A10" s="59" t="s">
        <v>1014</v>
      </c>
      <c r="B10" s="272">
        <v>12500</v>
      </c>
      <c r="C10" s="272"/>
      <c r="D10" s="272"/>
      <c r="E10" s="272"/>
      <c r="F10" s="272"/>
      <c r="G10" s="272"/>
      <c r="H10" s="487"/>
      <c r="I10" s="487"/>
      <c r="J10" s="487"/>
      <c r="K10" s="487"/>
      <c r="L10" s="487"/>
      <c r="M10" s="487"/>
    </row>
    <row r="11" spans="1:13" s="185" customFormat="1">
      <c r="A11" s="59" t="s">
        <v>1015</v>
      </c>
      <c r="B11" s="536">
        <v>0.9</v>
      </c>
      <c r="C11" s="272"/>
      <c r="D11" s="272"/>
      <c r="E11" s="272"/>
      <c r="F11" s="272"/>
      <c r="G11" s="272"/>
      <c r="H11" s="487"/>
      <c r="I11" s="487"/>
      <c r="J11" s="487"/>
      <c r="K11" s="487"/>
      <c r="L11" s="487"/>
      <c r="M11" s="487"/>
    </row>
    <row r="12" spans="1:13" s="185" customFormat="1">
      <c r="A12" s="59" t="s">
        <v>1016</v>
      </c>
      <c r="B12" s="425">
        <v>0.05</v>
      </c>
      <c r="C12" s="272"/>
      <c r="D12" s="272"/>
      <c r="E12" s="272"/>
      <c r="F12" s="272"/>
      <c r="G12" s="272"/>
      <c r="H12" s="487">
        <f>H13/'Assump Revenue'!O55</f>
        <v>0.6857387738786862</v>
      </c>
      <c r="I12" s="487">
        <f>I13/'Assump Revenue'!P55</f>
        <v>0.70241827712493554</v>
      </c>
      <c r="J12" s="487">
        <f>J13/'Assump Revenue'!Q55</f>
        <v>0.68166273461572779</v>
      </c>
      <c r="K12" s="487">
        <f>K13/'Assump Revenue'!R55</f>
        <v>0.66359188240269418</v>
      </c>
      <c r="L12" s="487">
        <f>L13/'Assump Revenue'!S55</f>
        <v>0.65427024987136917</v>
      </c>
      <c r="M12" s="487">
        <f>M13/'Assump Revenue'!T55</f>
        <v>0.66340143228167447</v>
      </c>
    </row>
    <row r="13" spans="1:13" ht="15.75" thickBot="1">
      <c r="A13" s="237" t="s">
        <v>855</v>
      </c>
      <c r="B13" s="59"/>
      <c r="C13" s="270"/>
      <c r="D13" s="270"/>
      <c r="E13" s="270"/>
      <c r="F13" s="270"/>
      <c r="G13" s="270"/>
      <c r="H13" s="488">
        <f>H17+H20+H14+H15</f>
        <v>141678.24531804808</v>
      </c>
      <c r="I13" s="488">
        <f t="shared" ref="I13:M13" si="5">I17+I20+I14+I15</f>
        <v>136006.31814910355</v>
      </c>
      <c r="J13" s="488">
        <f t="shared" si="5"/>
        <v>162209.93274680115</v>
      </c>
      <c r="K13" s="488">
        <f t="shared" si="5"/>
        <v>188945.84046604059</v>
      </c>
      <c r="L13" s="488">
        <f t="shared" si="5"/>
        <v>216237.68768948736</v>
      </c>
      <c r="M13" s="488">
        <f t="shared" si="5"/>
        <v>247081.35223590804</v>
      </c>
    </row>
    <row r="14" spans="1:13">
      <c r="A14" s="59" t="s">
        <v>1017</v>
      </c>
      <c r="B14" s="59"/>
      <c r="C14" s="272">
        <v>32282</v>
      </c>
      <c r="D14" s="272">
        <v>13819</v>
      </c>
      <c r="E14" s="272">
        <v>16149</v>
      </c>
      <c r="F14" s="272">
        <v>12559</v>
      </c>
      <c r="G14" s="272">
        <v>14045</v>
      </c>
      <c r="H14" s="608">
        <f>H26+H37+H48+H59</f>
        <v>14127.642242442402</v>
      </c>
      <c r="I14" s="499">
        <f t="shared" ref="I14:M14" si="6">I26+I37+I48+I59</f>
        <v>13280.129512195484</v>
      </c>
      <c r="J14" s="499">
        <f t="shared" si="6"/>
        <v>15808.44094526942</v>
      </c>
      <c r="K14" s="499">
        <f t="shared" si="6"/>
        <v>18313.695293485835</v>
      </c>
      <c r="L14" s="499">
        <f t="shared" si="6"/>
        <v>20993.7587944232</v>
      </c>
      <c r="M14" s="499">
        <f t="shared" si="6"/>
        <v>24155.347658541927</v>
      </c>
    </row>
    <row r="15" spans="1:13" ht="15.75" thickBot="1">
      <c r="A15" s="59" t="s">
        <v>1018</v>
      </c>
      <c r="B15" s="59"/>
      <c r="C15" s="272">
        <v>6176</v>
      </c>
      <c r="D15" s="272">
        <v>6269</v>
      </c>
      <c r="E15" s="272">
        <v>7754</v>
      </c>
      <c r="F15" s="272">
        <v>11979</v>
      </c>
      <c r="G15" s="272">
        <v>14038</v>
      </c>
      <c r="H15" s="609">
        <f>H27+H38+H49+H60</f>
        <v>15289.502528637877</v>
      </c>
      <c r="I15" s="499">
        <f t="shared" ref="H15:M17" si="7">I27+I38+I49+I60</f>
        <v>14931.993783234018</v>
      </c>
      <c r="J15" s="499">
        <f t="shared" si="7"/>
        <v>18340.351800830955</v>
      </c>
      <c r="K15" s="499">
        <f t="shared" si="7"/>
        <v>21936.990131418337</v>
      </c>
      <c r="L15" s="499">
        <f t="shared" si="7"/>
        <v>26712.723025114989</v>
      </c>
      <c r="M15" s="499">
        <f t="shared" si="7"/>
        <v>31450.175836315753</v>
      </c>
    </row>
    <row r="16" spans="1:13" s="185" customFormat="1" ht="15.75" thickBot="1">
      <c r="A16" s="59" t="s">
        <v>405</v>
      </c>
      <c r="B16" s="59"/>
      <c r="C16" s="272">
        <v>3493</v>
      </c>
      <c r="D16" s="272">
        <v>7952</v>
      </c>
      <c r="E16" s="272">
        <v>16059</v>
      </c>
      <c r="F16" s="272">
        <v>11980</v>
      </c>
      <c r="G16" s="272">
        <v>12775</v>
      </c>
      <c r="H16" s="620">
        <f t="shared" si="7"/>
        <v>9048</v>
      </c>
      <c r="I16" s="621">
        <f t="shared" si="7"/>
        <v>9048</v>
      </c>
      <c r="J16" s="621">
        <f t="shared" si="7"/>
        <v>9048</v>
      </c>
      <c r="K16" s="621">
        <f t="shared" si="7"/>
        <v>9048</v>
      </c>
      <c r="L16" s="622">
        <f t="shared" si="7"/>
        <v>9048</v>
      </c>
      <c r="M16" s="488">
        <f t="shared" si="7"/>
        <v>9048</v>
      </c>
    </row>
    <row r="17" spans="1:13" s="185" customFormat="1" ht="15.75" thickBot="1">
      <c r="A17" s="59" t="s">
        <v>1019</v>
      </c>
      <c r="B17" s="59"/>
      <c r="C17" s="272">
        <f t="shared" ref="C17:D17" si="8">C21-SUM(C14:C16)</f>
        <v>104541</v>
      </c>
      <c r="D17" s="272">
        <f t="shared" si="8"/>
        <v>107286</v>
      </c>
      <c r="E17" s="272">
        <f>E21-SUM(E14:E16)</f>
        <v>134076</v>
      </c>
      <c r="F17" s="272">
        <f>F21-SUM(F14:F16)</f>
        <v>91681</v>
      </c>
      <c r="G17" s="272">
        <f>G21-SUM(G14:G16)</f>
        <v>99809</v>
      </c>
      <c r="H17" s="610">
        <f t="shared" si="7"/>
        <v>105578.60054696779</v>
      </c>
      <c r="I17" s="488">
        <f t="shared" si="7"/>
        <v>101111.69485367405</v>
      </c>
      <c r="J17" s="488">
        <f t="shared" si="7"/>
        <v>121378.64000070078</v>
      </c>
      <c r="K17" s="488">
        <f t="shared" si="7"/>
        <v>142012.65504113643</v>
      </c>
      <c r="L17" s="488">
        <f t="shared" si="7"/>
        <v>161848.70586994919</v>
      </c>
      <c r="M17" s="488">
        <f t="shared" si="7"/>
        <v>184793.32874105035</v>
      </c>
    </row>
    <row r="18" spans="1:13">
      <c r="A18" s="59" t="s">
        <v>1020</v>
      </c>
      <c r="C18" s="272">
        <v>3558</v>
      </c>
      <c r="D18" s="272">
        <v>5322</v>
      </c>
      <c r="E18" s="272">
        <v>15557</v>
      </c>
      <c r="F18" s="272">
        <v>3580</v>
      </c>
      <c r="G18" s="272">
        <v>3580</v>
      </c>
      <c r="H18" s="488">
        <f>H30+H41+H52+H63</f>
        <v>5024.2040468463438</v>
      </c>
      <c r="I18" s="488">
        <f t="shared" ref="I18:M18" si="9">I30+I41+I52+I63</f>
        <v>11123.359999999999</v>
      </c>
      <c r="J18" s="488">
        <f t="shared" si="9"/>
        <v>11917.155555555555</v>
      </c>
      <c r="K18" s="488">
        <f t="shared" si="9"/>
        <v>13054.800000000001</v>
      </c>
      <c r="L18" s="488">
        <f t="shared" si="9"/>
        <v>13857.599999999999</v>
      </c>
      <c r="M18" s="488">
        <f t="shared" si="9"/>
        <v>15719.199999999999</v>
      </c>
    </row>
    <row r="19" spans="1:13" s="185" customFormat="1" ht="15.75" thickBot="1">
      <c r="A19" s="59" t="s">
        <v>1021</v>
      </c>
      <c r="C19" s="272">
        <v>2534</v>
      </c>
      <c r="D19" s="272">
        <v>2527</v>
      </c>
      <c r="E19" s="272">
        <v>2332</v>
      </c>
      <c r="F19" s="272">
        <v>2376</v>
      </c>
      <c r="G19" s="272">
        <v>2376</v>
      </c>
      <c r="H19" s="488">
        <f>H31+H42+H53+H64</f>
        <v>2262.3376418900289</v>
      </c>
      <c r="I19" s="488">
        <f t="shared" ref="I19:M19" si="10">I31+I42+I53+I64</f>
        <v>3059.1346864398856</v>
      </c>
      <c r="J19" s="488">
        <f t="shared" si="10"/>
        <v>3999.8336703803225</v>
      </c>
      <c r="K19" s="488">
        <f t="shared" si="10"/>
        <v>5353.389742097519</v>
      </c>
      <c r="L19" s="488">
        <f t="shared" si="10"/>
        <v>6946.0176672562629</v>
      </c>
      <c r="M19" s="488">
        <f t="shared" si="10"/>
        <v>9603.5190439110393</v>
      </c>
    </row>
    <row r="20" spans="1:13" s="185" customFormat="1" ht="15.75" thickBot="1">
      <c r="A20" s="59" t="s">
        <v>1022</v>
      </c>
      <c r="C20" s="272"/>
      <c r="D20" s="272"/>
      <c r="E20" s="272"/>
      <c r="F20" s="272"/>
      <c r="G20" s="272"/>
      <c r="H20" s="611">
        <f>H32+H43+H54+H65</f>
        <v>6682.5</v>
      </c>
      <c r="I20" s="488">
        <f>I32+I43+H54+H65</f>
        <v>6682.5</v>
      </c>
      <c r="J20" s="488">
        <f>J32+J43+I54+I65</f>
        <v>6682.5</v>
      </c>
      <c r="K20" s="488">
        <f>K32+K43+J54+J65</f>
        <v>6682.5</v>
      </c>
      <c r="L20" s="488">
        <f>L32+L43+K54+K65</f>
        <v>6682.5</v>
      </c>
      <c r="M20" s="488">
        <f>M32+M43+L54+M65</f>
        <v>6682.5</v>
      </c>
    </row>
    <row r="21" spans="1:13">
      <c r="A21" s="237" t="s">
        <v>853</v>
      </c>
      <c r="B21" s="444"/>
      <c r="C21" s="354">
        <v>146492</v>
      </c>
      <c r="D21" s="354">
        <v>135326</v>
      </c>
      <c r="E21" s="354">
        <v>174038</v>
      </c>
      <c r="F21" s="354">
        <v>128199</v>
      </c>
      <c r="G21" s="354">
        <v>140667</v>
      </c>
      <c r="H21" s="489">
        <f>SUM(H14:H17)+H20</f>
        <v>150726.24531804805</v>
      </c>
      <c r="I21" s="489">
        <f>SUM(I14:I17)+I20</f>
        <v>145054.31814910355</v>
      </c>
      <c r="J21" s="489">
        <f t="shared" ref="J21:M21" si="11">SUM(J14:J17)+J20</f>
        <v>171257.93274680115</v>
      </c>
      <c r="K21" s="489">
        <f t="shared" si="11"/>
        <v>197993.84046604059</v>
      </c>
      <c r="L21" s="489">
        <f t="shared" si="11"/>
        <v>225285.68768948739</v>
      </c>
      <c r="M21" s="489">
        <f t="shared" si="11"/>
        <v>256129.35223590804</v>
      </c>
    </row>
    <row r="22" spans="1:13">
      <c r="H22" s="543"/>
      <c r="I22" s="484"/>
      <c r="J22" s="484"/>
      <c r="K22" s="484"/>
      <c r="L22" s="484"/>
      <c r="M22" s="484"/>
    </row>
    <row r="23" spans="1:13">
      <c r="A23" s="490" t="s">
        <v>793</v>
      </c>
      <c r="B23" s="491"/>
      <c r="C23" s="491"/>
      <c r="D23" s="491"/>
      <c r="E23" s="491"/>
      <c r="F23" s="491"/>
      <c r="G23" s="491"/>
      <c r="H23" s="491"/>
      <c r="I23" s="491"/>
      <c r="J23" s="491"/>
      <c r="K23" s="491"/>
      <c r="L23" s="491"/>
      <c r="M23" s="491"/>
    </row>
    <row r="24" spans="1:13" s="185" customFormat="1">
      <c r="A24" s="59" t="s">
        <v>1053</v>
      </c>
      <c r="B24" s="486">
        <v>19.84</v>
      </c>
      <c r="H24" s="484"/>
      <c r="I24" s="484"/>
      <c r="J24" s="484"/>
      <c r="K24" s="484"/>
      <c r="L24" s="484"/>
      <c r="M24" s="484"/>
    </row>
    <row r="25" spans="1:13" s="185" customFormat="1">
      <c r="A25" s="59" t="s">
        <v>1054</v>
      </c>
      <c r="B25" s="486">
        <v>5</v>
      </c>
      <c r="H25" s="484"/>
      <c r="I25" s="565"/>
      <c r="J25" s="500"/>
      <c r="K25" s="488"/>
      <c r="L25" s="488"/>
      <c r="M25" s="488"/>
    </row>
    <row r="26" spans="1:13">
      <c r="A26" s="59" t="s">
        <v>1017</v>
      </c>
      <c r="B26" s="542"/>
      <c r="F26" s="485">
        <f>F14*'Assump Revenue'!M17/'Assump Revenue'!M$54</f>
        <v>2077.0205072632075</v>
      </c>
      <c r="G26" s="485">
        <f>G14*'Assump Revenue'!N17/'Assump Revenue'!N$54</f>
        <v>2384.8715193657085</v>
      </c>
      <c r="H26" s="485"/>
      <c r="I26" s="485"/>
      <c r="J26" s="485"/>
      <c r="K26" s="485"/>
      <c r="L26" s="485"/>
      <c r="M26" s="485"/>
    </row>
    <row r="27" spans="1:13">
      <c r="A27" s="59" t="s">
        <v>1018</v>
      </c>
      <c r="F27" s="485">
        <f>F15*'Assump Revenue'!$N$17/'Assump Revenue'!$N$54</f>
        <v>2034.060230009386</v>
      </c>
      <c r="G27" s="485">
        <f>G15*'Assump Revenue'!$N$17/'Assump Revenue'!$N$54</f>
        <v>2383.6829041549177</v>
      </c>
      <c r="H27" s="485"/>
      <c r="I27" s="485"/>
      <c r="J27" s="485"/>
      <c r="K27" s="485"/>
      <c r="L27" s="485"/>
      <c r="M27" s="485"/>
    </row>
    <row r="28" spans="1:13" s="185" customFormat="1">
      <c r="A28" s="59" t="s">
        <v>405</v>
      </c>
      <c r="B28" s="538"/>
      <c r="H28" s="485"/>
      <c r="I28" s="485"/>
      <c r="J28" s="485"/>
      <c r="K28" s="485"/>
      <c r="L28" s="485"/>
      <c r="M28" s="485"/>
    </row>
    <row r="29" spans="1:13" s="185" customFormat="1">
      <c r="A29" s="59" t="s">
        <v>1019</v>
      </c>
      <c r="F29" s="485">
        <f>F17*'Assump Revenue'!$N$17/'Assump Revenue'!$N$54</f>
        <v>15567.633020076008</v>
      </c>
      <c r="G29" s="485">
        <f>G17*'Assump Revenue'!$N$17/'Assump Revenue'!$N$54</f>
        <v>16947.785081977359</v>
      </c>
      <c r="H29" s="502"/>
      <c r="I29" s="502"/>
      <c r="J29" s="502"/>
      <c r="K29" s="502"/>
      <c r="L29" s="502"/>
      <c r="M29" s="502"/>
    </row>
    <row r="30" spans="1:13">
      <c r="A30" s="59" t="s">
        <v>1020</v>
      </c>
      <c r="B30" s="485">
        <f>B24*B25*B3/100</f>
        <v>15872</v>
      </c>
      <c r="E30" s="485"/>
      <c r="F30" s="485">
        <f>F18*'Assump Revenue'!$N$17/'Assump Revenue'!$N$54</f>
        <v>607.89177923312479</v>
      </c>
      <c r="G30" s="485">
        <f>G18*'Assump Revenue'!$N$17/'Assump Revenue'!$N$54</f>
        <v>607.89177923312479</v>
      </c>
      <c r="H30" s="502"/>
      <c r="I30" s="502"/>
      <c r="J30" s="502"/>
      <c r="K30" s="502"/>
      <c r="L30" s="502"/>
      <c r="M30" s="502"/>
    </row>
    <row r="31" spans="1:13" s="185" customFormat="1">
      <c r="A31" s="59" t="s">
        <v>1021</v>
      </c>
      <c r="B31" s="538"/>
      <c r="F31" s="485">
        <f>F19*'Assump Revenue'!$N$17/'Assump Revenue'!$N$54</f>
        <v>403.44996297706825</v>
      </c>
      <c r="G31" s="485">
        <f>G19*'Assump Revenue'!$N$17/'Assump Revenue'!$N$54</f>
        <v>403.44996297706825</v>
      </c>
      <c r="H31" s="502"/>
      <c r="I31" s="502"/>
      <c r="J31" s="502"/>
      <c r="K31" s="502"/>
      <c r="L31" s="502"/>
      <c r="M31" s="502"/>
    </row>
    <row r="32" spans="1:13" s="185" customFormat="1">
      <c r="A32" s="59" t="s">
        <v>1022</v>
      </c>
      <c r="H32" s="485"/>
      <c r="I32" s="485"/>
      <c r="J32" s="485"/>
      <c r="K32" s="485"/>
      <c r="L32" s="485"/>
      <c r="M32" s="485"/>
    </row>
    <row r="33" spans="1:13">
      <c r="A33" s="59" t="s">
        <v>1055</v>
      </c>
      <c r="H33" s="485"/>
      <c r="I33" s="485"/>
      <c r="J33" s="485"/>
      <c r="K33" s="485"/>
      <c r="L33" s="485"/>
      <c r="M33" s="485"/>
    </row>
    <row r="34" spans="1:13">
      <c r="A34" s="490" t="s">
        <v>795</v>
      </c>
      <c r="B34" s="491"/>
      <c r="C34" s="491"/>
      <c r="D34" s="491"/>
      <c r="E34" s="491"/>
      <c r="F34" s="491"/>
      <c r="G34" s="491"/>
      <c r="H34" s="492"/>
      <c r="I34" s="492"/>
      <c r="J34" s="492"/>
      <c r="K34" s="492"/>
      <c r="L34" s="492"/>
      <c r="M34" s="492"/>
    </row>
    <row r="35" spans="1:13" s="185" customFormat="1">
      <c r="A35" s="59" t="s">
        <v>1053</v>
      </c>
      <c r="B35" s="486">
        <v>18.52</v>
      </c>
      <c r="H35" s="485"/>
      <c r="I35" s="485"/>
      <c r="J35" s="485"/>
      <c r="K35" s="485"/>
      <c r="L35" s="485"/>
      <c r="M35" s="485"/>
    </row>
    <row r="36" spans="1:13" s="185" customFormat="1">
      <c r="A36" s="59" t="s">
        <v>1054</v>
      </c>
      <c r="B36" s="486">
        <v>4</v>
      </c>
      <c r="H36" s="484"/>
      <c r="I36" s="484"/>
      <c r="J36" s="484"/>
      <c r="K36" s="484"/>
      <c r="L36" s="484"/>
      <c r="M36" s="484"/>
    </row>
    <row r="37" spans="1:13">
      <c r="A37" s="59" t="s">
        <v>1017</v>
      </c>
      <c r="B37" s="486"/>
      <c r="F37" s="485">
        <f>F14*'Assump Revenue'!M26/'Assump Revenue'!M$54</f>
        <v>1220.7146689930571</v>
      </c>
      <c r="G37" s="485">
        <f>G14*'Assump Revenue'!N26/'Assump Revenue'!N$54</f>
        <v>1733.6148856034345</v>
      </c>
      <c r="H37" s="485">
        <f>G37*(1+H7)*(1+'Assump Revenue'!O$30)</f>
        <v>1404.228057338782</v>
      </c>
      <c r="I37" s="485">
        <f>H37*(1+I7)*(1+'Assump Revenue'!P$30)</f>
        <v>1548.1614332160073</v>
      </c>
      <c r="J37" s="485">
        <f>I37*(1+J7)*(1+'Assump Revenue'!Q$30)</f>
        <v>1706.8479801206481</v>
      </c>
      <c r="K37" s="485">
        <f>J37*(1+K7)*(1+'Assump Revenue'!R$30)</f>
        <v>1881.7998980830148</v>
      </c>
      <c r="L37" s="485">
        <f>K37*(1+L7)*(1+'Assump Revenue'!S$30)</f>
        <v>2173.4788822858827</v>
      </c>
      <c r="M37" s="485">
        <f>L37*(1+M7)*(1+'Assump Revenue'!T$30)</f>
        <v>2510.3681090401951</v>
      </c>
    </row>
    <row r="38" spans="1:13">
      <c r="A38" s="59" t="s">
        <v>1018</v>
      </c>
      <c r="B38" s="486"/>
      <c r="F38" s="485">
        <f>$G$15*'Assump Revenue'!$N$26/'Assump Revenue'!$N$54</f>
        <v>1732.7508554005706</v>
      </c>
      <c r="G38" s="485">
        <f>$G$15*'Assump Revenue'!$N$26/'Assump Revenue'!$N$54</f>
        <v>1732.7508554005706</v>
      </c>
      <c r="H38" s="485">
        <f>G38*(1+'Assump Revenue'!O$30)*(1+H8)</f>
        <v>1637.4495583535393</v>
      </c>
      <c r="I38" s="485">
        <f>H38*(1+'Assump Revenue'!P$30)*(1+I8)</f>
        <v>1805.2881380847773</v>
      </c>
      <c r="J38" s="485">
        <f>I38*(1+'Assump Revenue'!Q$30)*(1+J8)</f>
        <v>1990.3301722384672</v>
      </c>
      <c r="K38" s="485">
        <f>J38*(1+'Assump Revenue'!R$30)*(1+K8)</f>
        <v>2194.3390148929107</v>
      </c>
      <c r="L38" s="485">
        <f>K38*(1+'Assump Revenue'!S$30)*(1+L8)</f>
        <v>2534.4615622013121</v>
      </c>
      <c r="M38" s="485">
        <f>L38*(1+'Assump Revenue'!T$30)*(1+M8)</f>
        <v>2927.3031043425158</v>
      </c>
    </row>
    <row r="39" spans="1:13" s="185" customFormat="1">
      <c r="A39" s="59" t="s">
        <v>405</v>
      </c>
      <c r="B39" s="486"/>
      <c r="H39" s="485">
        <f>166*12</f>
        <v>1992</v>
      </c>
      <c r="I39" s="485">
        <f t="shared" ref="I39:M39" si="12">166*12</f>
        <v>1992</v>
      </c>
      <c r="J39" s="485">
        <f t="shared" si="12"/>
        <v>1992</v>
      </c>
      <c r="K39" s="485">
        <f t="shared" si="12"/>
        <v>1992</v>
      </c>
      <c r="L39" s="485">
        <f t="shared" si="12"/>
        <v>1992</v>
      </c>
      <c r="M39" s="485">
        <f t="shared" si="12"/>
        <v>1992</v>
      </c>
    </row>
    <row r="40" spans="1:13" s="185" customFormat="1">
      <c r="A40" s="59" t="s">
        <v>1019</v>
      </c>
      <c r="B40" s="486"/>
      <c r="F40" s="485">
        <f>F17*'Assump Revenue'!$N$26/'Assump Revenue'!$N$54</f>
        <v>11316.450432681273</v>
      </c>
      <c r="G40" s="485">
        <f>G17*'Assump Revenue'!$N$26/'Assump Revenue'!$N$54</f>
        <v>12319.712931092432</v>
      </c>
      <c r="H40" s="485">
        <f>G40*(1+'Assump Revenue'!O$30)*1.01</f>
        <v>11198.61905436302</v>
      </c>
      <c r="I40" s="485">
        <f>H40*(1+'Assump Revenue'!P$30)*1.05</f>
        <v>12346.477507435231</v>
      </c>
      <c r="J40" s="485">
        <f>I40*(1+'Assump Revenue'!Q$30)*1.05</f>
        <v>13611.991451947342</v>
      </c>
      <c r="K40" s="485">
        <f>J40*(1+'Assump Revenue'!R$30)*1.05</f>
        <v>15007.220575771946</v>
      </c>
      <c r="L40" s="485">
        <f>K40*(1+'Assump Revenue'!S$30)*1.05</f>
        <v>16545.460684788573</v>
      </c>
      <c r="M40" s="485">
        <f>L40*(1+'Assump Revenue'!T$30)*1.05</f>
        <v>18241.370404979403</v>
      </c>
    </row>
    <row r="41" spans="1:13" s="185" customFormat="1">
      <c r="A41" s="59" t="s">
        <v>1020</v>
      </c>
      <c r="B41" s="485">
        <f>B35*B36*B3*10000/1000000</f>
        <v>11852.8</v>
      </c>
      <c r="E41" s="485">
        <f>$F$18*'Assump Revenue'!$M$26/'Assump Revenue'!$M$54</f>
        <v>347.97026156502466</v>
      </c>
      <c r="F41" s="485">
        <f>F18*'Assump Revenue'!$N$26/'Assump Revenue'!$N$54</f>
        <v>441.88973232184372</v>
      </c>
      <c r="G41" s="485">
        <f>G18*'Assump Revenue'!$N$26/'Assump Revenue'!$N$54</f>
        <v>441.88973232184372</v>
      </c>
      <c r="H41" s="502">
        <f>G41*(1+H9)</f>
        <v>463.98421893793591</v>
      </c>
      <c r="I41" s="502">
        <f>$B$41/10*(1+I9)</f>
        <v>1363.0719999999999</v>
      </c>
      <c r="J41" s="502">
        <f>$B$41/9*(1+J9)</f>
        <v>1448.6755555555555</v>
      </c>
      <c r="K41" s="502">
        <f>$B$41/8*(1+K9)</f>
        <v>1629.76</v>
      </c>
      <c r="L41" s="502">
        <f>$B$41/7*(1+L9)</f>
        <v>1777.92</v>
      </c>
      <c r="M41" s="502">
        <f>$B$41/6*(1+M9)</f>
        <v>2074.2399999999998</v>
      </c>
    </row>
    <row r="42" spans="1:13" s="185" customFormat="1">
      <c r="A42" s="59" t="s">
        <v>1021</v>
      </c>
      <c r="E42" s="485">
        <f>$F$19*'Assump Revenue'!$M$26/'Assump Revenue'!$M$54</f>
        <v>230.94339147444094</v>
      </c>
      <c r="F42" s="485">
        <f>F19*'Assump Revenue'!$N$26/'Assump Revenue'!$N$54</f>
        <v>293.27653742924605</v>
      </c>
      <c r="G42" s="485">
        <f>G19*'Assump Revenue'!$N$26/'Assump Revenue'!$N$54</f>
        <v>293.27653742924605</v>
      </c>
      <c r="H42" s="502">
        <f>G42*(1+H9)</f>
        <v>307.94036430070838</v>
      </c>
      <c r="I42" s="502">
        <f>H42*(1+I9)+I41/10</f>
        <v>490.4386189458146</v>
      </c>
      <c r="J42" s="502">
        <f>I42*(1+J9)+J41/9</f>
        <v>700.44643145768009</v>
      </c>
      <c r="K42" s="502">
        <f>J42*(1+K9)+K41/8</f>
        <v>974.2110746034482</v>
      </c>
      <c r="L42" s="502">
        <f>K42*(1+L9)+L41/7</f>
        <v>1276.9101997621922</v>
      </c>
      <c r="M42" s="502">
        <f>L42*(1+M9)+M41/6</f>
        <v>1686.4623764169685</v>
      </c>
    </row>
    <row r="43" spans="1:13" s="185" customFormat="1">
      <c r="A43" s="59" t="s">
        <v>1022</v>
      </c>
      <c r="B43" s="486"/>
      <c r="H43" s="485">
        <f>'Assump Revenue'!$B$24*11*COGS!$B$10*COGS!$B$11*COGS!$B$12/1000000</f>
        <v>1732.5</v>
      </c>
      <c r="I43" s="485">
        <f>'Assump Revenue'!$B$24*11*COGS!$B$10*COGS!$B$11*COGS!$B$12/1000000</f>
        <v>1732.5</v>
      </c>
      <c r="J43" s="485">
        <f>'Assump Revenue'!$B$24*11*COGS!$B$10*COGS!$B$11*COGS!$B$12/1000000</f>
        <v>1732.5</v>
      </c>
      <c r="K43" s="485">
        <f>'Assump Revenue'!$B$24*11*COGS!$B$10*COGS!$B$11*COGS!$B$12/1000000</f>
        <v>1732.5</v>
      </c>
      <c r="L43" s="485">
        <f>'Assump Revenue'!$B$24*11*COGS!$B$10*COGS!$B$11*COGS!$B$12/1000000</f>
        <v>1732.5</v>
      </c>
      <c r="M43" s="485">
        <f>'Assump Revenue'!$B$24*11*COGS!$B$10*COGS!$B$11*COGS!$B$12/1000000</f>
        <v>1732.5</v>
      </c>
    </row>
    <row r="44" spans="1:13">
      <c r="A44" s="59" t="s">
        <v>1055</v>
      </c>
      <c r="B44" s="486"/>
      <c r="H44" s="485">
        <f>SUM(H37:H40,H43)</f>
        <v>17964.796670055341</v>
      </c>
      <c r="I44" s="485">
        <f t="shared" ref="I44:M44" si="13">SUM(I37:I40,I43)</f>
        <v>19424.427078736015</v>
      </c>
      <c r="J44" s="485">
        <f t="shared" si="13"/>
        <v>21033.669604306458</v>
      </c>
      <c r="K44" s="485">
        <f t="shared" si="13"/>
        <v>22807.859488747872</v>
      </c>
      <c r="L44" s="485">
        <f t="shared" si="13"/>
        <v>24977.901129275768</v>
      </c>
      <c r="M44" s="485">
        <f t="shared" si="13"/>
        <v>27403.541618362113</v>
      </c>
    </row>
    <row r="45" spans="1:13">
      <c r="A45" s="490" t="s">
        <v>794</v>
      </c>
      <c r="B45" s="491"/>
      <c r="C45" s="491"/>
      <c r="D45" s="491"/>
      <c r="E45" s="491"/>
      <c r="F45" s="491"/>
      <c r="G45" s="491"/>
      <c r="H45" s="492"/>
      <c r="I45" s="492"/>
      <c r="J45" s="492"/>
      <c r="K45" s="492"/>
      <c r="L45" s="492"/>
      <c r="M45" s="492"/>
    </row>
    <row r="46" spans="1:13" s="185" customFormat="1">
      <c r="A46" s="59" t="s">
        <v>1053</v>
      </c>
      <c r="B46" s="486">
        <v>21.74</v>
      </c>
      <c r="H46" s="485"/>
      <c r="I46" s="485"/>
      <c r="J46" s="485"/>
      <c r="K46" s="485"/>
      <c r="L46" s="485"/>
      <c r="M46" s="485"/>
    </row>
    <row r="47" spans="1:13" s="185" customFormat="1">
      <c r="A47" s="59" t="s">
        <v>1054</v>
      </c>
      <c r="B47" s="486">
        <v>18</v>
      </c>
      <c r="H47" s="501"/>
      <c r="I47" s="501"/>
      <c r="J47" s="501"/>
      <c r="K47" s="501"/>
      <c r="L47" s="501"/>
      <c r="M47" s="501"/>
    </row>
    <row r="48" spans="1:13">
      <c r="A48" s="59" t="s">
        <v>1017</v>
      </c>
      <c r="B48" s="486"/>
      <c r="F48" s="485">
        <f>F14*'Assump Revenue'!M36/'Assump Revenue'!M$54</f>
        <v>2143.8222032242988</v>
      </c>
      <c r="G48" s="485">
        <f>G14*'Assump Revenue'!N36/'Assump Revenue'!N$54</f>
        <v>2850.2440455055203</v>
      </c>
      <c r="H48" s="485">
        <f>G48*(1+H7)*(1+'Assump Revenue'!O$39)</f>
        <v>2565.2196409549683</v>
      </c>
      <c r="I48" s="485">
        <f>H48*(1+I7)*(1+'Assump Revenue'!P$39)</f>
        <v>3097.5027164531243</v>
      </c>
      <c r="J48" s="485">
        <f>I48*(1+J7)*(1+'Assump Revenue'!Q$39)</f>
        <v>3740.2345301171476</v>
      </c>
      <c r="K48" s="485">
        <f>J48*(1+K7)*(1+'Assump Revenue'!R$39)</f>
        <v>4516.3331951164555</v>
      </c>
      <c r="L48" s="485">
        <f>K48*(1+L7)*(1+'Assump Revenue'!S$39)</f>
        <v>5713.1614918223158</v>
      </c>
      <c r="M48" s="485">
        <f>L48*(1+M7)*(1+'Assump Revenue'!T$39)</f>
        <v>7227.1492871552291</v>
      </c>
    </row>
    <row r="49" spans="1:13">
      <c r="A49" s="59" t="s">
        <v>1018</v>
      </c>
      <c r="B49" s="486"/>
      <c r="F49" s="485">
        <f>$G$15*'Assump Revenue'!$N$36/'Assump Revenue'!$N$54</f>
        <v>2848.8234895554642</v>
      </c>
      <c r="G49" s="485">
        <f>$G$15*'Assump Revenue'!$N$36/'Assump Revenue'!$N$54</f>
        <v>2848.8234895554642</v>
      </c>
      <c r="H49" s="485">
        <f>G49*(1+H8)*(1+'Assump Revenue'!O$39)</f>
        <v>2991.2646640332378</v>
      </c>
      <c r="I49" s="485">
        <f>H49*(1+I8)*(1+'Assump Revenue'!Q$39)</f>
        <v>3611.9520818201345</v>
      </c>
      <c r="J49" s="485">
        <f>I49*(1+J8)*(1+'Assump Revenue'!R$39)</f>
        <v>4361.4321387978125</v>
      </c>
      <c r="K49" s="485">
        <f>J49*(1+K8)*(1+'Assump Revenue'!S$39)</f>
        <v>5266.4293075983578</v>
      </c>
      <c r="L49" s="485">
        <f>K49*(1+L8)*(1+'Assump Revenue'!T$39)</f>
        <v>6662.0330741119233</v>
      </c>
      <c r="M49" s="485">
        <f>L49*(1+M8)*(1+'Assump Revenue'!U$39)</f>
        <v>7328.2363815231165</v>
      </c>
    </row>
    <row r="50" spans="1:13" s="185" customFormat="1">
      <c r="A50" s="59" t="s">
        <v>405</v>
      </c>
      <c r="B50" s="486"/>
      <c r="H50" s="485">
        <f>190*12</f>
        <v>2280</v>
      </c>
      <c r="I50" s="485">
        <f t="shared" ref="I50:M50" si="14">190*12</f>
        <v>2280</v>
      </c>
      <c r="J50" s="485">
        <f t="shared" si="14"/>
        <v>2280</v>
      </c>
      <c r="K50" s="485">
        <f t="shared" si="14"/>
        <v>2280</v>
      </c>
      <c r="L50" s="485">
        <f t="shared" si="14"/>
        <v>2280</v>
      </c>
      <c r="M50" s="485">
        <f t="shared" si="14"/>
        <v>2280</v>
      </c>
    </row>
    <row r="51" spans="1:13" s="185" customFormat="1">
      <c r="A51" s="59" t="s">
        <v>1019</v>
      </c>
      <c r="B51" s="486"/>
      <c r="F51" s="485">
        <f>F17*'Assump Revenue'!$N$36/'Assump Revenue'!$N$54</f>
        <v>18605.427151013999</v>
      </c>
      <c r="G51" s="485">
        <f>G17*'Assump Revenue'!$N$36/'Assump Revenue'!$N$54</f>
        <v>20254.895545593485</v>
      </c>
      <c r="H51" s="485">
        <f>G51*(1+'Assump Revenue'!O$39)*1.06</f>
        <v>21470.189278329093</v>
      </c>
      <c r="I51" s="485">
        <f>H51*(1+'Assump Revenue'!P$39)*1.06</f>
        <v>26172.160730283162</v>
      </c>
      <c r="J51" s="485">
        <f>I51*(1+'Assump Revenue'!Q$39)*1.06</f>
        <v>31903.863930215171</v>
      </c>
      <c r="K51" s="485">
        <f>J51*(1+'Assump Revenue'!R$39)*1.06</f>
        <v>38890.810130932296</v>
      </c>
      <c r="L51" s="485">
        <f>K51*(1+'Assump Revenue'!S$39)*1.06</f>
        <v>47407.897549606467</v>
      </c>
      <c r="M51" s="485">
        <f>L51*(1+'Assump Revenue'!T$39)*1.06</f>
        <v>57790.227112970279</v>
      </c>
    </row>
    <row r="52" spans="1:13">
      <c r="A52" s="59" t="s">
        <v>1020</v>
      </c>
      <c r="B52" s="485">
        <f>B46*B47*B3*10000/1000000</f>
        <v>62611.199999999997</v>
      </c>
      <c r="F52" s="485">
        <f>F18*'Assump Revenue'!$N$36/'Assump Revenue'!$N$54</f>
        <v>726.51290017157442</v>
      </c>
      <c r="G52" s="485">
        <f>G18*'Assump Revenue'!$N$36/'Assump Revenue'!$N$54</f>
        <v>726.51290017157442</v>
      </c>
      <c r="H52" s="502">
        <f>$B$52/20</f>
        <v>3130.56</v>
      </c>
      <c r="I52" s="502">
        <f>$B$52/10*(1+I9)</f>
        <v>7200.2879999999996</v>
      </c>
      <c r="J52" s="502">
        <f>$B$52/9*(1+J9)</f>
        <v>7652.48</v>
      </c>
      <c r="K52" s="502">
        <f>$B$52/8*(1+K9)</f>
        <v>8609.0400000000009</v>
      </c>
      <c r="L52" s="502">
        <f>$B$52/7*(1+L9)</f>
        <v>9391.6799999999985</v>
      </c>
      <c r="M52" s="502">
        <f>$B$52/6*(1+M9)</f>
        <v>10956.96</v>
      </c>
    </row>
    <row r="53" spans="1:13" s="185" customFormat="1">
      <c r="A53" s="59" t="s">
        <v>1021</v>
      </c>
      <c r="B53" s="272">
        <f>B52/10</f>
        <v>6261.12</v>
      </c>
      <c r="F53" s="485">
        <f>F19*'Assump Revenue'!$N$36/'Assump Revenue'!$N$54</f>
        <v>482.17727676191646</v>
      </c>
      <c r="G53" s="485">
        <f>G19*'Assump Revenue'!$N$36/'Assump Revenue'!$N$54</f>
        <v>482.17727676191646</v>
      </c>
      <c r="H53" s="502">
        <f>(1+H9)*H52/9+G53</f>
        <v>847.40927676191654</v>
      </c>
      <c r="I53" s="502">
        <f>(1+I9)*I52/8</f>
        <v>1035.0413999999998</v>
      </c>
      <c r="J53" s="502">
        <f>(1+J9)*J52/7</f>
        <v>1202.5325714285716</v>
      </c>
      <c r="K53" s="502">
        <f>(1+K9)*K52/6</f>
        <v>1578.3240000000003</v>
      </c>
      <c r="L53" s="502">
        <f>(1+L9)*L52/5</f>
        <v>1972.2527999999998</v>
      </c>
      <c r="M53" s="502">
        <f>(1+M9)*M52/4</f>
        <v>2876.2019999999998</v>
      </c>
    </row>
    <row r="54" spans="1:13" s="185" customFormat="1">
      <c r="A54" s="59" t="s">
        <v>1022</v>
      </c>
      <c r="B54" s="486"/>
      <c r="H54" s="485">
        <f>'Assump Revenue'!$B$34*10*COGS!$B$10*COGS!$B$11*COGS!$B$12/1000000</f>
        <v>2756.25</v>
      </c>
      <c r="I54" s="485">
        <f>'Assump Revenue'!$B$34*10*COGS!$B$10*COGS!$B$11*COGS!$B$12/1000000</f>
        <v>2756.25</v>
      </c>
      <c r="J54" s="485">
        <f>'Assump Revenue'!$B$34*10*COGS!$B$10*COGS!$B$11*COGS!$B$12/1000000</f>
        <v>2756.25</v>
      </c>
      <c r="K54" s="485">
        <f>'Assump Revenue'!$B$34*10*COGS!$B$10*COGS!$B$11*COGS!$B$12/1000000</f>
        <v>2756.25</v>
      </c>
      <c r="L54" s="485">
        <f>'Assump Revenue'!$B$34*10*COGS!$B$10*COGS!$B$11*COGS!$B$12/1000000</f>
        <v>2756.25</v>
      </c>
      <c r="M54" s="485">
        <f>'Assump Revenue'!$B$34*10*COGS!$B$10*COGS!$B$11*COGS!$B$12/1000000</f>
        <v>2756.25</v>
      </c>
    </row>
    <row r="55" spans="1:13">
      <c r="A55" s="59" t="s">
        <v>1055</v>
      </c>
      <c r="B55" s="486"/>
      <c r="H55" s="485">
        <f t="shared" ref="H55:M55" si="15">SUM(H48:H51,H54)</f>
        <v>32062.923583317301</v>
      </c>
      <c r="I55" s="485">
        <f t="shared" si="15"/>
        <v>37917.865528556416</v>
      </c>
      <c r="J55" s="485">
        <f t="shared" si="15"/>
        <v>45041.780599130128</v>
      </c>
      <c r="K55" s="485">
        <f t="shared" si="15"/>
        <v>53709.822633647113</v>
      </c>
      <c r="L55" s="485">
        <f t="shared" si="15"/>
        <v>64819.342115540705</v>
      </c>
      <c r="M55" s="485">
        <f t="shared" si="15"/>
        <v>77381.862781648626</v>
      </c>
    </row>
    <row r="56" spans="1:13">
      <c r="A56" s="490" t="s">
        <v>796</v>
      </c>
      <c r="B56" s="491"/>
      <c r="C56" s="491"/>
      <c r="D56" s="491"/>
      <c r="E56" s="491"/>
      <c r="F56" s="491"/>
      <c r="G56" s="491"/>
      <c r="H56" s="492"/>
      <c r="I56" s="492"/>
      <c r="J56" s="492"/>
      <c r="K56" s="492"/>
      <c r="L56" s="492"/>
      <c r="M56" s="492"/>
    </row>
    <row r="57" spans="1:13" s="185" customFormat="1">
      <c r="A57" s="59" t="s">
        <v>1053</v>
      </c>
      <c r="B57" s="486">
        <v>20</v>
      </c>
      <c r="H57" s="485"/>
      <c r="I57" s="485"/>
      <c r="J57" s="485"/>
      <c r="K57" s="485"/>
      <c r="L57" s="485"/>
      <c r="M57" s="485"/>
    </row>
    <row r="58" spans="1:13" s="185" customFormat="1">
      <c r="A58" s="59" t="s">
        <v>1054</v>
      </c>
      <c r="B58" s="486">
        <v>8</v>
      </c>
      <c r="H58" s="501"/>
      <c r="I58" s="485"/>
      <c r="J58" s="485"/>
      <c r="K58" s="485"/>
      <c r="L58" s="485"/>
      <c r="M58" s="485"/>
    </row>
    <row r="59" spans="1:13">
      <c r="A59" s="59" t="s">
        <v>1017</v>
      </c>
      <c r="B59" s="486"/>
      <c r="F59" s="485">
        <f>F14*'Assump Revenue'!M45/'Assump Revenue'!M54</f>
        <v>5524.4818049022106</v>
      </c>
      <c r="G59" s="485">
        <f>G14*'Assump Revenue'!N45/'Assump Revenue'!N54</f>
        <v>6232.0211927292339</v>
      </c>
      <c r="H59" s="485">
        <f>G59*(1+'Assump Revenue'!O$48)</f>
        <v>10158.194544148651</v>
      </c>
      <c r="I59" s="485">
        <f>H59*(1+'Assump Revenue'!P$48)</f>
        <v>8634.4653625263527</v>
      </c>
      <c r="J59" s="485">
        <f>I59*(1+'Assump Revenue'!Q$48)</f>
        <v>10361.358435031623</v>
      </c>
      <c r="K59" s="485">
        <f>J59*(1+'Assump Revenue'!R$48)</f>
        <v>11915.562200286366</v>
      </c>
      <c r="L59" s="485">
        <f>K59*(1+'Assump Revenue'!S$48)</f>
        <v>13107.118420315002</v>
      </c>
      <c r="M59" s="485">
        <f>L59*(1+'Assump Revenue'!T$48)</f>
        <v>14417.830262346504</v>
      </c>
    </row>
    <row r="60" spans="1:13">
      <c r="A60" s="59" t="s">
        <v>1018</v>
      </c>
      <c r="B60" s="486"/>
      <c r="F60" s="485">
        <f>$G$15*'Assump Revenue'!$N$45/'Assump Revenue'!$N$54</f>
        <v>6228.9151657908851</v>
      </c>
      <c r="G60" s="485">
        <f>$G$15*'Assump Revenue'!$N$45/'Assump Revenue'!$N$54</f>
        <v>6228.9151657908851</v>
      </c>
      <c r="H60" s="485">
        <f>G60*(1+H8)*(1+'Assump Revenue'!O$48)</f>
        <v>10660.788306251099</v>
      </c>
      <c r="I60" s="485">
        <f>H60*(1+I8)*(1+'Assump Revenue'!P$48)</f>
        <v>9514.7535633291063</v>
      </c>
      <c r="J60" s="485">
        <f>I60*(1+J8)*(1+'Assump Revenue'!Q$48)</f>
        <v>11988.589489794673</v>
      </c>
      <c r="K60" s="485">
        <f>J60*(1+K8)*(1+'Assump Revenue'!R$48)</f>
        <v>14476.221808927066</v>
      </c>
      <c r="L60" s="485">
        <f>K60*(1+L8)*(1+'Assump Revenue'!S$48)</f>
        <v>17516.228388801752</v>
      </c>
      <c r="M60" s="485">
        <f>L60*(1+M8)*(1+'Assump Revenue'!T$48)</f>
        <v>21194.636350450121</v>
      </c>
    </row>
    <row r="61" spans="1:13" s="185" customFormat="1">
      <c r="A61" s="59" t="s">
        <v>405</v>
      </c>
      <c r="B61" s="486"/>
      <c r="H61" s="485">
        <f>398*12</f>
        <v>4776</v>
      </c>
      <c r="I61" s="485">
        <f t="shared" ref="I61:M61" si="16">398*12</f>
        <v>4776</v>
      </c>
      <c r="J61" s="485">
        <f t="shared" si="16"/>
        <v>4776</v>
      </c>
      <c r="K61" s="485">
        <f t="shared" si="16"/>
        <v>4776</v>
      </c>
      <c r="L61" s="485">
        <f t="shared" si="16"/>
        <v>4776</v>
      </c>
      <c r="M61" s="485">
        <f t="shared" si="16"/>
        <v>4776</v>
      </c>
    </row>
    <row r="62" spans="1:13" s="185" customFormat="1">
      <c r="A62" s="59" t="s">
        <v>1019</v>
      </c>
      <c r="B62" s="486"/>
      <c r="F62" s="485">
        <f>F17*'Assump Revenue'!$N$45/'Assump Revenue'!$N$54</f>
        <v>40680.522247818357</v>
      </c>
      <c r="G62" s="485">
        <f>G17*'Assump Revenue'!$N$45/'Assump Revenue'!$N$54</f>
        <v>44287.063241375014</v>
      </c>
      <c r="H62" s="485">
        <f>G62*(1+'Assump Revenue'!O$48)*1.01</f>
        <v>72909.792214275672</v>
      </c>
      <c r="I62" s="485">
        <f>H62*(1+'Assump Revenue'!P$48)*1.01</f>
        <v>62593.056615955662</v>
      </c>
      <c r="J62" s="485">
        <f>I62*(1+'Assump Revenue'!Q$48)*1.01</f>
        <v>75862.784618538266</v>
      </c>
      <c r="K62" s="485">
        <f>J62*(1+'Assump Revenue'!R$48)*1.01</f>
        <v>88114.624334432185</v>
      </c>
      <c r="L62" s="485">
        <f>K62*(1+'Assump Revenue'!S$48)*1.01</f>
        <v>97895.347635554164</v>
      </c>
      <c r="M62" s="485">
        <f>L62*(1+'Assump Revenue'!T$48)*1.01</f>
        <v>108761.73122310068</v>
      </c>
    </row>
    <row r="63" spans="1:13">
      <c r="A63" s="59" t="s">
        <v>1020</v>
      </c>
      <c r="B63" s="485">
        <f>B57*B58*B3*10000/1000000</f>
        <v>25600</v>
      </c>
      <c r="F63" s="485">
        <f>F18*'Assump Revenue'!$N$45/'Assump Revenue'!$N$54</f>
        <v>1588.5109198982314</v>
      </c>
      <c r="G63" s="485">
        <f>G18*'Assump Revenue'!$N$45/'Assump Revenue'!$N$54</f>
        <v>1588.5109198982314</v>
      </c>
      <c r="H63" s="502">
        <f>G63*(1+H7)</f>
        <v>1429.6598279084083</v>
      </c>
      <c r="I63" s="502">
        <f>$B$63/10</f>
        <v>2560</v>
      </c>
      <c r="J63" s="502">
        <f>$B$63/10*(1+J9)</f>
        <v>2816</v>
      </c>
      <c r="K63" s="502">
        <f>$B$63/10*(1+K9)</f>
        <v>2816</v>
      </c>
      <c r="L63" s="502">
        <f>$B$63/10*(1+L9)</f>
        <v>2688</v>
      </c>
      <c r="M63" s="502">
        <f>$B$63/10*(1+M9)</f>
        <v>2688</v>
      </c>
    </row>
    <row r="64" spans="1:13" s="185" customFormat="1">
      <c r="A64" s="59" t="s">
        <v>1021</v>
      </c>
      <c r="B64" s="486">
        <f>B63/5</f>
        <v>5120</v>
      </c>
      <c r="F64" s="485">
        <f>F19*'Assump Revenue'!$N$45/'Assump Revenue'!$N$54</f>
        <v>1054.2742865022897</v>
      </c>
      <c r="G64" s="485">
        <f>G19*'Assump Revenue'!$N$45/'Assump Revenue'!$N$54</f>
        <v>1054.2742865022897</v>
      </c>
      <c r="H64" s="502">
        <f>G64*(1+H8)</f>
        <v>1106.9880008274042</v>
      </c>
      <c r="I64" s="502">
        <f>H64+I63/6</f>
        <v>1533.654667494071</v>
      </c>
      <c r="J64" s="502">
        <f>I64+J63/5</f>
        <v>2096.8546674940708</v>
      </c>
      <c r="K64" s="502">
        <f>J64+K63/4</f>
        <v>2800.8546674940708</v>
      </c>
      <c r="L64" s="502">
        <f>K64+L63/3</f>
        <v>3696.8546674940708</v>
      </c>
      <c r="M64" s="502">
        <f>L64+M63/2</f>
        <v>5040.8546674940708</v>
      </c>
    </row>
    <row r="65" spans="1:14" s="185" customFormat="1">
      <c r="A65" s="59" t="s">
        <v>1022</v>
      </c>
      <c r="B65" s="486"/>
      <c r="H65" s="485">
        <f>'Assump Revenue'!$B$43*COGS!$B$10*COGS!$B$11*COGS!$B$12*6/1000000</f>
        <v>2193.75</v>
      </c>
      <c r="I65" s="485">
        <f>'Assump Revenue'!$B$43*COGS!$B$10*COGS!$B$11*COGS!$B$12*6/1000000</f>
        <v>2193.75</v>
      </c>
      <c r="J65" s="485">
        <f>'Assump Revenue'!$B$43*COGS!$B$10*COGS!$B$11*COGS!$B$12*6/1000000</f>
        <v>2193.75</v>
      </c>
      <c r="K65" s="485">
        <f>'Assump Revenue'!$B$43*COGS!$B$10*COGS!$B$11*COGS!$B$12*6/1000000</f>
        <v>2193.75</v>
      </c>
      <c r="L65" s="485">
        <f>'Assump Revenue'!$B$43*COGS!$B$10*COGS!$B$11*COGS!$B$12*6/1000000</f>
        <v>2193.75</v>
      </c>
      <c r="M65" s="485">
        <f>'Assump Revenue'!$B$43*COGS!$B$10*COGS!$B$11*COGS!$B$12*6/1000000</f>
        <v>2193.75</v>
      </c>
    </row>
    <row r="66" spans="1:14">
      <c r="A66" s="59" t="s">
        <v>1055</v>
      </c>
      <c r="H66" s="485">
        <f>SUM(H59:H62,H65)</f>
        <v>100698.52506467543</v>
      </c>
      <c r="I66" s="485">
        <f t="shared" ref="I66" si="17">SUM(I59:I62,I65)</f>
        <v>87712.025541811119</v>
      </c>
      <c r="J66" s="485">
        <f t="shared" ref="J66" si="18">SUM(J59:J62,J65)</f>
        <v>105182.48254336456</v>
      </c>
      <c r="K66" s="485">
        <f t="shared" ref="K66" si="19">SUM(K59:K62,K65)</f>
        <v>121476.15834364561</v>
      </c>
      <c r="L66" s="485">
        <f t="shared" ref="L66" si="20">SUM(L59:L62,L65)</f>
        <v>135488.44444467092</v>
      </c>
      <c r="M66" s="485">
        <f t="shared" ref="M66" si="21">SUM(M59:M62,M65)</f>
        <v>151343.9478358973</v>
      </c>
    </row>
    <row r="67" spans="1:14" s="185" customFormat="1">
      <c r="A67" s="59"/>
    </row>
    <row r="68" spans="1:14">
      <c r="A68" s="59" t="s">
        <v>894</v>
      </c>
      <c r="H68" s="542">
        <f>H72/'Assump Revenue'!O46</f>
        <v>0.22366352849155569</v>
      </c>
      <c r="I68" s="542">
        <f>I72/'Assump Revenue'!P46</f>
        <v>0.25085774843328057</v>
      </c>
      <c r="J68" s="542">
        <f>J72/'Assump Revenue'!Q46</f>
        <v>0.29263291484129728</v>
      </c>
      <c r="K68" s="542">
        <f>K72/'Assump Revenue'!R46</f>
        <v>0.32672333606587894</v>
      </c>
      <c r="L68" s="542">
        <f>L72/'Assump Revenue'!S46</f>
        <v>0.34983619965846746</v>
      </c>
      <c r="M68" s="542">
        <f>M72/'Assump Revenue'!T46</f>
        <v>0.33977357601511626</v>
      </c>
    </row>
    <row r="69" spans="1:14">
      <c r="A69" s="59" t="s">
        <v>857</v>
      </c>
      <c r="H69" s="434">
        <f>'Assump Revenue'!O16-COGS!H33</f>
        <v>3648</v>
      </c>
      <c r="I69" s="434">
        <f>'Assump Revenue'!P16-COGS!I33</f>
        <v>0</v>
      </c>
      <c r="J69" s="434">
        <f>'Assump Revenue'!Q16-COGS!J33</f>
        <v>0</v>
      </c>
      <c r="K69" s="434">
        <f>'Assump Revenue'!R16-COGS!K33</f>
        <v>0</v>
      </c>
      <c r="L69" s="434">
        <f>'Assump Revenue'!S16-COGS!L33</f>
        <v>0</v>
      </c>
      <c r="M69" s="434">
        <f>'Assump Revenue'!T16-COGS!M33</f>
        <v>0</v>
      </c>
      <c r="N69">
        <f>M69/$M$73</f>
        <v>0</v>
      </c>
    </row>
    <row r="70" spans="1:14">
      <c r="A70" s="59" t="s">
        <v>858</v>
      </c>
      <c r="H70" s="434">
        <f>'Assump Revenue'!O28-COGS!H44</f>
        <v>9321.5312964446493</v>
      </c>
      <c r="I70" s="434">
        <f>'Assump Revenue'!P28-COGS!I44</f>
        <v>10658.749504330222</v>
      </c>
      <c r="J70" s="434">
        <f>'Assump Revenue'!Q28-COGS!J44</f>
        <v>12133.032578524071</v>
      </c>
      <c r="K70" s="434">
        <f>'Assump Revenue'!R28-COGS!K44</f>
        <v>13758.429667822795</v>
      </c>
      <c r="L70" s="434">
        <f>'Assump Revenue'!S28-COGS!L44</f>
        <v>15336.432665843397</v>
      </c>
      <c r="M70" s="434">
        <f>'Assump Revenue'!T28-COGS!M44</f>
        <v>17043.011390756779</v>
      </c>
      <c r="N70" s="185">
        <f t="shared" ref="N70:N72" si="22">M70/$M$73</f>
        <v>0.14652227578548505</v>
      </c>
    </row>
    <row r="71" spans="1:14">
      <c r="A71" s="59" t="s">
        <v>859</v>
      </c>
      <c r="H71" s="434">
        <f>'Assump Revenue'!O37-COGS!H55</f>
        <v>5693.5792006827105</v>
      </c>
      <c r="I71" s="434">
        <f>'Assump Revenue'!P37-COGS!I55</f>
        <v>8541.5111471555938</v>
      </c>
      <c r="J71" s="434">
        <f>'Assump Revenue'!Q37-COGS!J55</f>
        <v>11057.916736792118</v>
      </c>
      <c r="K71" s="434">
        <f>'Assump Revenue'!R37-COGS!K55</f>
        <v>14030.561899478998</v>
      </c>
      <c r="L71" s="434">
        <f>'Assump Revenue'!S37-COGS!L55</f>
        <v>16977.172208209078</v>
      </c>
      <c r="M71" s="434">
        <f>'Assump Revenue'!T37-COGS!M55</f>
        <v>21387.428264279268</v>
      </c>
      <c r="N71" s="185">
        <f t="shared" si="22"/>
        <v>0.1838721215770926</v>
      </c>
    </row>
    <row r="72" spans="1:14">
      <c r="A72" s="59" t="s">
        <v>860</v>
      </c>
      <c r="H72" s="434">
        <f>'Assump Revenue'!O46-COGS!H66</f>
        <v>29011.373620124563</v>
      </c>
      <c r="I72" s="434">
        <f>'Assump Revenue'!P46-COGS!I66</f>
        <v>29371.245837388866</v>
      </c>
      <c r="J72" s="434">
        <f>'Assump Revenue'!Q46-COGS!J66</f>
        <v>43513.272108219404</v>
      </c>
      <c r="K72" s="434">
        <f>'Assump Revenue'!R46-COGS!K66</f>
        <v>58949.162851701563</v>
      </c>
      <c r="L72" s="434">
        <f>'Assump Revenue'!S46-COGS!L66</f>
        <v>72902.801535955077</v>
      </c>
      <c r="M72" s="434">
        <f>'Assump Revenue'!T46-COGS!M66</f>
        <v>77886.422742791328</v>
      </c>
      <c r="N72" s="185">
        <f t="shared" si="22"/>
        <v>0.6696056026374223</v>
      </c>
    </row>
    <row r="73" spans="1:14" s="540" customFormat="1">
      <c r="A73" s="539" t="s">
        <v>895</v>
      </c>
      <c r="H73" s="502">
        <f>SUM(H69:H72)</f>
        <v>47674.484117251923</v>
      </c>
      <c r="I73" s="502">
        <f t="shared" ref="I73:M73" si="23">SUM(I69:I72)</f>
        <v>48571.506488874686</v>
      </c>
      <c r="J73" s="502">
        <f t="shared" si="23"/>
        <v>66704.221423535593</v>
      </c>
      <c r="K73" s="502">
        <f t="shared" si="23"/>
        <v>86738.15441900336</v>
      </c>
      <c r="L73" s="502">
        <f t="shared" si="23"/>
        <v>105216.40641000755</v>
      </c>
      <c r="M73" s="502">
        <f t="shared" si="23"/>
        <v>116316.86239782738</v>
      </c>
    </row>
    <row r="74" spans="1:14" s="540" customFormat="1">
      <c r="A74" s="539" t="s">
        <v>896</v>
      </c>
      <c r="H74" s="502">
        <f>'PL&amp;BS Projection'!G7-COGS!H73</f>
        <v>8206.0000000000146</v>
      </c>
      <c r="I74" s="502">
        <f>'PL&amp;BS Projection'!H7-COGS!I73</f>
        <v>0</v>
      </c>
      <c r="J74" s="502">
        <f>'PL&amp;BS Projection'!I7-COGS!J73</f>
        <v>0</v>
      </c>
      <c r="K74" s="502">
        <f>'PL&amp;BS Projection'!J7-COGS!K73</f>
        <v>0</v>
      </c>
      <c r="L74" s="502">
        <f>'PL&amp;BS Projection'!K7-COGS!L73</f>
        <v>0</v>
      </c>
      <c r="M74" s="502">
        <f>'PL&amp;BS Projection'!L7-COGS!M73</f>
        <v>0</v>
      </c>
    </row>
    <row r="75" spans="1:14">
      <c r="I75" s="502"/>
    </row>
    <row r="76" spans="1:14">
      <c r="I76" s="538"/>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G102"/>
  <sheetViews>
    <sheetView topLeftCell="A85" workbookViewId="0">
      <selection activeCell="H78" sqref="H78"/>
    </sheetView>
  </sheetViews>
  <sheetFormatPr defaultColWidth="20.42578125" defaultRowHeight="18" customHeight="1"/>
  <cols>
    <col min="1" max="1" width="31.42578125" style="59" bestFit="1" customWidth="1"/>
    <col min="2" max="2" width="13.5703125" style="59" bestFit="1" customWidth="1"/>
    <col min="3" max="3" width="15.42578125" style="59" bestFit="1" customWidth="1"/>
    <col min="4" max="4" width="18.85546875" style="59" bestFit="1" customWidth="1"/>
    <col min="5" max="5" width="18.7109375" style="59" bestFit="1" customWidth="1"/>
    <col min="6" max="16384" width="20.42578125" style="59"/>
  </cols>
  <sheetData>
    <row r="1" spans="1:5" ht="18" customHeight="1">
      <c r="A1" s="544"/>
      <c r="B1" s="545" t="s">
        <v>828</v>
      </c>
      <c r="C1" s="545" t="s">
        <v>899</v>
      </c>
      <c r="D1" s="545" t="s">
        <v>900</v>
      </c>
      <c r="E1" s="546" t="s">
        <v>901</v>
      </c>
    </row>
    <row r="2" spans="1:5" ht="18" customHeight="1">
      <c r="A2" s="547" t="s">
        <v>792</v>
      </c>
      <c r="B2" s="548">
        <f>'Assump Revenue'!P8</f>
        <v>0</v>
      </c>
      <c r="C2" s="548">
        <f>'Assump Revenue'!P9</f>
        <v>0</v>
      </c>
      <c r="D2" s="548">
        <f>'Assump Revenue'!P7</f>
        <v>0</v>
      </c>
      <c r="E2" s="549">
        <v>1690</v>
      </c>
    </row>
    <row r="3" spans="1:5" ht="18" customHeight="1">
      <c r="A3" s="550" t="s">
        <v>794</v>
      </c>
      <c r="B3" s="551">
        <f>'Assump Revenue'!P36</f>
        <v>370388.96400000004</v>
      </c>
      <c r="C3" s="551">
        <f>'Assump Revenue'!P38</f>
        <v>125434.01988540891</v>
      </c>
      <c r="D3" s="551">
        <f>'Assump Revenue'!P37</f>
        <v>46459.37667571201</v>
      </c>
      <c r="E3" s="552">
        <f>COGS!I71</f>
        <v>8541.5111471555938</v>
      </c>
    </row>
    <row r="4" spans="1:5" ht="18" customHeight="1">
      <c r="A4" s="547" t="s">
        <v>793</v>
      </c>
      <c r="B4" s="551">
        <f>'Assump Revenue'!P17</f>
        <v>0</v>
      </c>
      <c r="C4" s="551">
        <f>'Assump Revenue'!P19</f>
        <v>0</v>
      </c>
      <c r="D4" s="551">
        <f>'Assump Revenue'!P16</f>
        <v>0</v>
      </c>
      <c r="E4" s="553">
        <f>COGS!I69</f>
        <v>0</v>
      </c>
    </row>
    <row r="5" spans="1:5" ht="18" customHeight="1">
      <c r="A5" s="550" t="s">
        <v>887</v>
      </c>
      <c r="B5" s="551">
        <f>'Assump Revenue'!P45</f>
        <v>975693.92815999989</v>
      </c>
      <c r="C5" s="551">
        <f>'Assump Revenue'!P47</f>
        <v>120000</v>
      </c>
      <c r="D5" s="551">
        <f>'Assump Revenue'!P46</f>
        <v>117083.27137919998</v>
      </c>
      <c r="E5" s="552">
        <f>COGS!I72</f>
        <v>29371.245837388866</v>
      </c>
    </row>
    <row r="6" spans="1:5" ht="18" customHeight="1">
      <c r="A6" s="554" t="s">
        <v>893</v>
      </c>
      <c r="B6" s="555">
        <f>'Assump Revenue'!P26</f>
        <v>185123.94074999998</v>
      </c>
      <c r="C6" s="555">
        <f>'Assump Revenue'!P29</f>
        <v>162502.8964983625</v>
      </c>
      <c r="D6" s="555">
        <f>'Assump Revenue'!P28</f>
        <v>30083.176583066237</v>
      </c>
      <c r="E6" s="556">
        <f>COGS!I70</f>
        <v>10658.749504330222</v>
      </c>
    </row>
    <row r="8" spans="1:5" ht="18" customHeight="1">
      <c r="A8" s="544"/>
      <c r="B8" s="545" t="s">
        <v>848</v>
      </c>
      <c r="C8" s="545" t="s">
        <v>847</v>
      </c>
      <c r="D8" s="546" t="s">
        <v>902</v>
      </c>
    </row>
    <row r="9" spans="1:5" ht="18" customHeight="1">
      <c r="A9" s="547" t="s">
        <v>792</v>
      </c>
      <c r="B9" s="557">
        <f>'Assump Revenue'!O8</f>
        <v>74600</v>
      </c>
      <c r="C9" s="557">
        <f>'Assump Revenue'!O7</f>
        <v>8206</v>
      </c>
      <c r="D9" s="558">
        <v>4413</v>
      </c>
    </row>
    <row r="10" spans="1:5" ht="18" customHeight="1">
      <c r="A10" s="550" t="s">
        <v>794</v>
      </c>
      <c r="B10" s="559">
        <f>'Assump Revenue'!O36</f>
        <v>322077.36000000004</v>
      </c>
      <c r="C10" s="559">
        <f>'Assump Revenue'!O37</f>
        <v>37756.502784000011</v>
      </c>
      <c r="D10" s="560">
        <f>COGS!H71</f>
        <v>5693.5792006827105</v>
      </c>
    </row>
    <row r="11" spans="1:5" ht="18" customHeight="1">
      <c r="A11" s="547" t="s">
        <v>793</v>
      </c>
      <c r="B11" s="557">
        <f>'Assump Revenue'!O17</f>
        <v>49720</v>
      </c>
      <c r="C11" s="557">
        <f>'Assump Revenue'!O16</f>
        <v>3648</v>
      </c>
      <c r="D11" s="561">
        <f>COGS!H69</f>
        <v>3648</v>
      </c>
    </row>
    <row r="12" spans="1:5" ht="18" customHeight="1">
      <c r="A12" s="550" t="s">
        <v>887</v>
      </c>
      <c r="B12" s="559">
        <f>'Assump Revenue'!O45</f>
        <v>1147875.2095999999</v>
      </c>
      <c r="C12" s="559">
        <f>'Assump Revenue'!P46</f>
        <v>117083.27137919998</v>
      </c>
      <c r="D12" s="560">
        <v>6850</v>
      </c>
    </row>
    <row r="13" spans="1:5" ht="18" customHeight="1">
      <c r="A13" s="554" t="s">
        <v>795</v>
      </c>
      <c r="B13" s="562">
        <f>'Assump Revenue'!O26</f>
        <v>176308.51499999998</v>
      </c>
      <c r="C13" s="562">
        <f>'Assump Revenue'!O28</f>
        <v>27286.32796649999</v>
      </c>
      <c r="D13" s="563">
        <f>COGS!H70</f>
        <v>9321.5312964446493</v>
      </c>
    </row>
    <row r="17" spans="1:5" ht="18" customHeight="1">
      <c r="A17" s="59" t="s">
        <v>903</v>
      </c>
    </row>
    <row r="18" spans="1:5" ht="18" customHeight="1">
      <c r="A18" s="59" t="s">
        <v>904</v>
      </c>
      <c r="B18" s="59" t="s">
        <v>905</v>
      </c>
      <c r="C18" s="59" t="s">
        <v>906</v>
      </c>
      <c r="D18" s="59" t="s">
        <v>907</v>
      </c>
      <c r="E18" s="59" t="s">
        <v>908</v>
      </c>
    </row>
    <row r="19" spans="1:5" ht="18" customHeight="1">
      <c r="A19" s="237" t="s">
        <v>846</v>
      </c>
    </row>
    <row r="20" spans="1:5" ht="18" customHeight="1">
      <c r="A20" s="59" t="s">
        <v>909</v>
      </c>
      <c r="B20" s="59" t="s">
        <v>917</v>
      </c>
      <c r="C20" s="272">
        <v>2700</v>
      </c>
      <c r="D20" s="272">
        <v>18000</v>
      </c>
      <c r="E20" s="325">
        <f>D20/C20-1</f>
        <v>5.666666666666667</v>
      </c>
    </row>
    <row r="21" spans="1:5" ht="18" customHeight="1">
      <c r="A21" s="59" t="s">
        <v>852</v>
      </c>
      <c r="B21" s="59" t="s">
        <v>918</v>
      </c>
      <c r="C21" s="272">
        <v>263</v>
      </c>
      <c r="D21" s="272">
        <v>2100</v>
      </c>
      <c r="E21" s="325">
        <f t="shared" ref="E21:E46" si="0">D21/C21-1</f>
        <v>6.9847908745247151</v>
      </c>
    </row>
    <row r="22" spans="1:5" ht="18" customHeight="1">
      <c r="A22" s="59" t="s">
        <v>910</v>
      </c>
      <c r="B22" s="59" t="s">
        <v>918</v>
      </c>
      <c r="C22" s="272">
        <v>54</v>
      </c>
      <c r="D22" s="272">
        <v>1500</v>
      </c>
      <c r="E22" s="325">
        <f t="shared" si="0"/>
        <v>26.777777777777779</v>
      </c>
    </row>
    <row r="23" spans="1:5" ht="18" customHeight="1">
      <c r="A23" s="59" t="s">
        <v>911</v>
      </c>
      <c r="B23" s="59" t="s">
        <v>832</v>
      </c>
      <c r="C23" s="272"/>
      <c r="D23" s="272"/>
      <c r="E23" s="325"/>
    </row>
    <row r="24" spans="1:5" ht="18" customHeight="1">
      <c r="A24" s="237" t="s">
        <v>912</v>
      </c>
      <c r="C24" s="272"/>
      <c r="D24" s="272"/>
      <c r="E24" s="325"/>
    </row>
    <row r="25" spans="1:5" ht="18" customHeight="1">
      <c r="A25" s="59" t="s">
        <v>909</v>
      </c>
      <c r="C25" s="272">
        <v>16000</v>
      </c>
      <c r="D25" s="272">
        <v>52600</v>
      </c>
      <c r="E25" s="325">
        <f t="shared" si="0"/>
        <v>2.2875000000000001</v>
      </c>
    </row>
    <row r="26" spans="1:5" ht="18" customHeight="1">
      <c r="A26" s="59" t="s">
        <v>852</v>
      </c>
      <c r="C26" s="272">
        <v>1800</v>
      </c>
      <c r="D26" s="272">
        <v>6400</v>
      </c>
      <c r="E26" s="325">
        <f t="shared" si="0"/>
        <v>2.5555555555555554</v>
      </c>
    </row>
    <row r="27" spans="1:5" ht="18" customHeight="1">
      <c r="A27" s="59" t="s">
        <v>910</v>
      </c>
      <c r="C27" s="272">
        <v>-310</v>
      </c>
      <c r="D27" s="272">
        <v>1000</v>
      </c>
      <c r="E27" s="325">
        <f t="shared" si="0"/>
        <v>-4.225806451612903</v>
      </c>
    </row>
    <row r="28" spans="1:5" ht="18" customHeight="1">
      <c r="A28" s="59" t="s">
        <v>911</v>
      </c>
      <c r="C28" s="425">
        <f>C27/C26</f>
        <v>-0.17222222222222222</v>
      </c>
      <c r="D28" s="425">
        <f t="shared" ref="D28" si="1">D27/D26</f>
        <v>0.15625</v>
      </c>
      <c r="E28" s="272"/>
    </row>
    <row r="29" spans="1:5" ht="18" customHeight="1">
      <c r="A29" s="237" t="s">
        <v>913</v>
      </c>
      <c r="C29" s="272"/>
      <c r="D29" s="272"/>
      <c r="E29" s="325"/>
    </row>
    <row r="30" spans="1:5" ht="18" customHeight="1">
      <c r="A30" s="59" t="s">
        <v>909</v>
      </c>
      <c r="C30" s="272">
        <v>14800</v>
      </c>
      <c r="D30" s="272">
        <v>49700</v>
      </c>
      <c r="E30" s="325">
        <f t="shared" si="0"/>
        <v>2.3581081081081079</v>
      </c>
    </row>
    <row r="31" spans="1:5" ht="18" customHeight="1">
      <c r="A31" s="59" t="s">
        <v>852</v>
      </c>
      <c r="C31" s="272">
        <v>1200</v>
      </c>
      <c r="D31" s="272">
        <v>3600</v>
      </c>
      <c r="E31" s="325">
        <f t="shared" si="0"/>
        <v>2</v>
      </c>
    </row>
    <row r="32" spans="1:5" ht="18" customHeight="1">
      <c r="A32" s="59" t="s">
        <v>910</v>
      </c>
      <c r="C32" s="272">
        <v>-518</v>
      </c>
      <c r="D32" s="272">
        <v>-82</v>
      </c>
      <c r="E32" s="325">
        <f t="shared" si="0"/>
        <v>-0.84169884169884168</v>
      </c>
    </row>
    <row r="33" spans="1:5" ht="18" customHeight="1">
      <c r="A33" s="59" t="s">
        <v>911</v>
      </c>
      <c r="C33" s="425">
        <f>C32/C31</f>
        <v>-0.43166666666666664</v>
      </c>
      <c r="D33" s="425">
        <f t="shared" ref="D33" si="2">D32/D31</f>
        <v>-2.2777777777777779E-2</v>
      </c>
      <c r="E33" s="325"/>
    </row>
    <row r="34" spans="1:5" ht="16.5" customHeight="1">
      <c r="A34" s="237" t="s">
        <v>919</v>
      </c>
      <c r="C34" s="272"/>
      <c r="D34" s="272"/>
      <c r="E34" s="325"/>
    </row>
    <row r="35" spans="1:5" ht="18" customHeight="1">
      <c r="A35" s="59" t="s">
        <v>909</v>
      </c>
      <c r="C35" s="272">
        <v>48900</v>
      </c>
      <c r="D35" s="272">
        <v>126500</v>
      </c>
      <c r="E35" s="325">
        <f t="shared" si="0"/>
        <v>1.5869120654396727</v>
      </c>
    </row>
    <row r="36" spans="1:5" ht="18" customHeight="1">
      <c r="A36" s="59" t="s">
        <v>852</v>
      </c>
      <c r="C36" s="272">
        <v>4670</v>
      </c>
      <c r="D36" s="272">
        <v>12700</v>
      </c>
      <c r="E36" s="325">
        <f t="shared" si="0"/>
        <v>1.7194860813704498</v>
      </c>
    </row>
    <row r="37" spans="1:5" ht="18" customHeight="1">
      <c r="A37" s="59" t="s">
        <v>910</v>
      </c>
      <c r="C37" s="272">
        <v>-7</v>
      </c>
      <c r="D37" s="272">
        <v>2800</v>
      </c>
      <c r="E37" s="325">
        <f t="shared" si="0"/>
        <v>-401</v>
      </c>
    </row>
    <row r="38" spans="1:5" ht="18" customHeight="1">
      <c r="A38" s="59" t="s">
        <v>911</v>
      </c>
      <c r="C38" s="425">
        <f>C37/C36</f>
        <v>-1.4989293361884369E-3</v>
      </c>
      <c r="D38" s="425">
        <f t="shared" ref="D38" si="3">D37/D36</f>
        <v>0.22047244094488189</v>
      </c>
      <c r="E38" s="325"/>
    </row>
    <row r="39" spans="1:5" ht="16.5" customHeight="1">
      <c r="A39" s="237" t="s">
        <v>914</v>
      </c>
      <c r="C39" s="272"/>
      <c r="D39" s="272"/>
      <c r="E39" s="325"/>
    </row>
    <row r="40" spans="1:5" ht="18" customHeight="1">
      <c r="A40" s="59" t="s">
        <v>909</v>
      </c>
      <c r="C40" s="272">
        <v>10300</v>
      </c>
      <c r="D40" s="272">
        <v>31600</v>
      </c>
      <c r="E40" s="325">
        <f t="shared" si="0"/>
        <v>2.0679611650485437</v>
      </c>
    </row>
    <row r="41" spans="1:5" ht="18" customHeight="1">
      <c r="A41" s="59" t="s">
        <v>852</v>
      </c>
      <c r="C41" s="272">
        <v>1200</v>
      </c>
      <c r="D41" s="272">
        <v>4900</v>
      </c>
      <c r="E41" s="325">
        <f t="shared" si="0"/>
        <v>3.083333333333333</v>
      </c>
    </row>
    <row r="42" spans="1:5" ht="18" customHeight="1">
      <c r="A42" s="59" t="s">
        <v>910</v>
      </c>
      <c r="C42" s="272">
        <v>85</v>
      </c>
      <c r="D42" s="272">
        <v>1700</v>
      </c>
      <c r="E42" s="325">
        <f t="shared" si="0"/>
        <v>19</v>
      </c>
    </row>
    <row r="43" spans="1:5" ht="18" customHeight="1">
      <c r="A43" s="59" t="s">
        <v>911</v>
      </c>
      <c r="C43" s="425">
        <f>C42/C41</f>
        <v>7.0833333333333331E-2</v>
      </c>
      <c r="D43" s="425">
        <f t="shared" ref="D43" si="4">D42/D41</f>
        <v>0.34693877551020408</v>
      </c>
      <c r="E43" s="325"/>
    </row>
    <row r="44" spans="1:5" ht="18" customHeight="1">
      <c r="A44" s="237" t="s">
        <v>909</v>
      </c>
      <c r="B44" s="237"/>
      <c r="C44" s="354">
        <f>C40+C35+C30+C25+C20</f>
        <v>92700</v>
      </c>
      <c r="D44" s="354">
        <f>D40+D35+D30+D25+D20</f>
        <v>278400</v>
      </c>
      <c r="E44" s="564">
        <f t="shared" si="0"/>
        <v>2.0032362459546924</v>
      </c>
    </row>
    <row r="45" spans="1:5" ht="18" customHeight="1">
      <c r="A45" s="237" t="s">
        <v>915</v>
      </c>
      <c r="B45" s="237"/>
      <c r="C45" s="354">
        <v>263</v>
      </c>
      <c r="D45" s="354">
        <v>29900</v>
      </c>
      <c r="E45" s="564">
        <f t="shared" si="0"/>
        <v>112.68821292775665</v>
      </c>
    </row>
    <row r="46" spans="1:5" ht="18" customHeight="1">
      <c r="A46" s="237" t="s">
        <v>916</v>
      </c>
      <c r="B46" s="237"/>
      <c r="C46" s="354">
        <v>54</v>
      </c>
      <c r="D46" s="354">
        <v>7200</v>
      </c>
      <c r="E46" s="564">
        <f t="shared" si="0"/>
        <v>132.33333333333334</v>
      </c>
    </row>
    <row r="48" spans="1:5" ht="18" customHeight="1">
      <c r="A48" s="59" t="s">
        <v>844</v>
      </c>
      <c r="B48" s="59" t="s">
        <v>848</v>
      </c>
      <c r="C48" s="59" t="s">
        <v>847</v>
      </c>
      <c r="D48" s="59" t="s">
        <v>902</v>
      </c>
    </row>
    <row r="49" spans="1:4" ht="18" customHeight="1">
      <c r="A49" s="480">
        <v>42005</v>
      </c>
    </row>
    <row r="50" spans="1:4" ht="18" customHeight="1">
      <c r="A50" s="480">
        <v>42036</v>
      </c>
    </row>
    <row r="51" spans="1:4" ht="18" customHeight="1">
      <c r="A51" s="480">
        <v>42064</v>
      </c>
    </row>
    <row r="52" spans="1:4" ht="18" customHeight="1">
      <c r="A52" s="480">
        <v>42095</v>
      </c>
    </row>
    <row r="53" spans="1:4" ht="18" customHeight="1">
      <c r="A53" s="480">
        <v>42125</v>
      </c>
    </row>
    <row r="54" spans="1:4" ht="18" customHeight="1">
      <c r="A54" s="480">
        <v>42156</v>
      </c>
    </row>
    <row r="55" spans="1:4" ht="18" customHeight="1">
      <c r="A55" s="480">
        <v>42186</v>
      </c>
    </row>
    <row r="56" spans="1:4" ht="18" customHeight="1">
      <c r="A56" s="480">
        <v>42217</v>
      </c>
    </row>
    <row r="57" spans="1:4" ht="18" customHeight="1">
      <c r="A57" s="480">
        <v>42248</v>
      </c>
    </row>
    <row r="60" spans="1:4" ht="18" customHeight="1">
      <c r="A60" s="584" t="s">
        <v>935</v>
      </c>
      <c r="B60" s="585" t="s">
        <v>936</v>
      </c>
      <c r="C60" s="585" t="s">
        <v>937</v>
      </c>
      <c r="D60" s="586" t="s">
        <v>893</v>
      </c>
    </row>
    <row r="61" spans="1:4" ht="18" customHeight="1">
      <c r="A61" s="587"/>
      <c r="B61" s="588" t="s">
        <v>797</v>
      </c>
      <c r="C61" s="588" t="s">
        <v>797</v>
      </c>
      <c r="D61" s="589" t="s">
        <v>797</v>
      </c>
    </row>
    <row r="62" spans="1:4" ht="18" customHeight="1">
      <c r="A62" s="43" t="s">
        <v>938</v>
      </c>
      <c r="B62" s="195">
        <v>14200</v>
      </c>
      <c r="C62" s="195">
        <v>16200</v>
      </c>
      <c r="D62" s="44">
        <v>15200</v>
      </c>
    </row>
    <row r="63" spans="1:4" ht="18" customHeight="1">
      <c r="A63" s="43" t="s">
        <v>949</v>
      </c>
      <c r="B63" s="195">
        <v>10</v>
      </c>
      <c r="C63" s="195">
        <v>18</v>
      </c>
      <c r="D63" s="44">
        <v>4</v>
      </c>
    </row>
    <row r="64" spans="1:4" ht="18" customHeight="1">
      <c r="A64" s="43" t="s">
        <v>939</v>
      </c>
      <c r="B64" s="195"/>
      <c r="C64" s="195"/>
      <c r="D64" s="44"/>
    </row>
    <row r="65" spans="1:7" ht="18" customHeight="1">
      <c r="A65" s="43" t="s">
        <v>940</v>
      </c>
      <c r="B65" s="195">
        <v>6000</v>
      </c>
      <c r="C65" s="195">
        <v>6000</v>
      </c>
      <c r="D65" s="44">
        <v>5813</v>
      </c>
    </row>
    <row r="66" spans="1:7" ht="18" customHeight="1">
      <c r="A66" s="43" t="s">
        <v>941</v>
      </c>
      <c r="B66" s="195">
        <v>5252</v>
      </c>
      <c r="C66" s="195">
        <v>5252</v>
      </c>
      <c r="D66" s="44">
        <v>4825</v>
      </c>
    </row>
    <row r="67" spans="1:7" ht="18" customHeight="1">
      <c r="A67" s="43" t="s">
        <v>942</v>
      </c>
      <c r="B67" s="195">
        <v>40000</v>
      </c>
      <c r="C67" s="195">
        <v>40000</v>
      </c>
      <c r="D67" s="44">
        <v>3667</v>
      </c>
    </row>
    <row r="68" spans="1:7" ht="18" customHeight="1">
      <c r="A68" s="43" t="s">
        <v>943</v>
      </c>
      <c r="B68" s="195">
        <v>3500</v>
      </c>
      <c r="C68" s="195">
        <v>3500</v>
      </c>
      <c r="D68" s="44">
        <v>3394</v>
      </c>
    </row>
    <row r="69" spans="1:7" ht="18" customHeight="1">
      <c r="A69" s="43" t="s">
        <v>944</v>
      </c>
      <c r="B69" s="195">
        <v>1300</v>
      </c>
      <c r="C69" s="195">
        <v>1800</v>
      </c>
      <c r="D69" s="44">
        <v>3000</v>
      </c>
    </row>
    <row r="70" spans="1:7" ht="18" customHeight="1">
      <c r="A70" s="43" t="s">
        <v>945</v>
      </c>
      <c r="B70" s="195">
        <v>9390</v>
      </c>
      <c r="C70" s="195">
        <v>10100</v>
      </c>
      <c r="D70" s="44">
        <v>10200</v>
      </c>
    </row>
    <row r="71" spans="1:7" ht="18" customHeight="1">
      <c r="A71" s="43" t="s">
        <v>946</v>
      </c>
      <c r="B71" s="195">
        <v>18487</v>
      </c>
      <c r="C71" s="195">
        <v>17221</v>
      </c>
      <c r="D71" s="44">
        <v>14377</v>
      </c>
    </row>
    <row r="72" spans="1:7" ht="18" customHeight="1">
      <c r="A72" s="43" t="s">
        <v>947</v>
      </c>
      <c r="B72" s="195">
        <v>25000</v>
      </c>
      <c r="C72" s="195">
        <v>25100</v>
      </c>
      <c r="D72" s="44">
        <v>25000</v>
      </c>
    </row>
    <row r="73" spans="1:7" ht="18" customHeight="1">
      <c r="A73" s="43" t="s">
        <v>948</v>
      </c>
      <c r="B73" s="195">
        <v>5100</v>
      </c>
      <c r="C73" s="195">
        <v>5100</v>
      </c>
      <c r="D73" s="44">
        <v>6552</v>
      </c>
    </row>
    <row r="74" spans="1:7" ht="18" customHeight="1">
      <c r="A74" s="201" t="s">
        <v>772</v>
      </c>
      <c r="B74" s="409">
        <v>0.26100000000000001</v>
      </c>
      <c r="C74" s="409">
        <v>0.113</v>
      </c>
      <c r="D74" s="590">
        <v>0.36099999999999999</v>
      </c>
    </row>
    <row r="76" spans="1:7" ht="18" customHeight="1">
      <c r="A76" s="584" t="s">
        <v>381</v>
      </c>
      <c r="B76" s="585">
        <v>2014</v>
      </c>
      <c r="C76" s="585">
        <v>2015</v>
      </c>
      <c r="D76" s="585">
        <v>2016</v>
      </c>
      <c r="E76" s="585">
        <v>2017</v>
      </c>
      <c r="F76" s="585">
        <v>2018</v>
      </c>
      <c r="G76" s="586">
        <v>2019</v>
      </c>
    </row>
    <row r="77" spans="1:7" ht="18" customHeight="1">
      <c r="A77" s="43" t="s">
        <v>956</v>
      </c>
      <c r="B77" s="195">
        <f>'Assump Revenue'!N54</f>
        <v>1587083.9300000002</v>
      </c>
      <c r="C77" s="453">
        <f>'Assump Revenue'!O54</f>
        <v>1770581.0845999999</v>
      </c>
      <c r="D77" s="453">
        <f>'Assump Revenue'!P54</f>
        <v>1531206.8329099999</v>
      </c>
      <c r="E77" s="453">
        <f>'Assump Revenue'!Q54</f>
        <v>1791160.1601794998</v>
      </c>
      <c r="F77" s="453">
        <f>'Assump Revenue'!R54</f>
        <v>2040396.1704276747</v>
      </c>
      <c r="G77" s="591">
        <f>'Assump Revenue'!S54</f>
        <v>2258722.8004810987</v>
      </c>
    </row>
    <row r="78" spans="1:7" ht="18" customHeight="1">
      <c r="A78" s="43" t="s">
        <v>950</v>
      </c>
      <c r="B78" s="195">
        <f>'Assump Revenue'!N45</f>
        <v>704217.92</v>
      </c>
      <c r="C78" s="453">
        <f>'Assump Revenue'!O45</f>
        <v>1147875.2095999999</v>
      </c>
      <c r="D78" s="453">
        <f>'Assump Revenue'!P45</f>
        <v>975693.92815999989</v>
      </c>
      <c r="E78" s="453">
        <f>'Assump Revenue'!Q45</f>
        <v>1170832.7137919997</v>
      </c>
      <c r="F78" s="453">
        <f>'Assump Revenue'!R45</f>
        <v>1346457.6208607997</v>
      </c>
      <c r="G78" s="591">
        <f>'Assump Revenue'!S45</f>
        <v>1481103.3829468798</v>
      </c>
    </row>
    <row r="79" spans="1:7" ht="18" customHeight="1">
      <c r="A79" s="43" t="s">
        <v>951</v>
      </c>
      <c r="B79" s="195">
        <f>'Assump Revenue'!N36</f>
        <v>322077.36000000004</v>
      </c>
      <c r="C79" s="453">
        <f>'Assump Revenue'!O36</f>
        <v>322077.36000000004</v>
      </c>
      <c r="D79" s="453">
        <f>'Assump Revenue'!P36</f>
        <v>370388.96400000004</v>
      </c>
      <c r="E79" s="453">
        <f>'Assump Revenue'!Q36</f>
        <v>425947.30859999999</v>
      </c>
      <c r="F79" s="453">
        <f>'Assump Revenue'!R36</f>
        <v>489839.40488999995</v>
      </c>
      <c r="G79" s="591">
        <f>'Assump Revenue'!S36</f>
        <v>563315.31562349992</v>
      </c>
    </row>
    <row r="80" spans="1:7" ht="18" customHeight="1">
      <c r="A80" s="43" t="s">
        <v>952</v>
      </c>
      <c r="B80" s="195">
        <f>'Assump Revenue'!N26</f>
        <v>195898.34999999998</v>
      </c>
      <c r="C80" s="453">
        <f>'Assump Revenue'!O26</f>
        <v>176308.51499999998</v>
      </c>
      <c r="D80" s="453">
        <f>'Assump Revenue'!P26</f>
        <v>185123.94074999998</v>
      </c>
      <c r="E80" s="453">
        <f>'Assump Revenue'!Q26</f>
        <v>194380.13778749999</v>
      </c>
      <c r="F80" s="453">
        <f>'Assump Revenue'!R26</f>
        <v>204099.144676875</v>
      </c>
      <c r="G80" s="591">
        <f>'Assump Revenue'!S26</f>
        <v>214304.10191071877</v>
      </c>
    </row>
    <row r="81" spans="1:7" ht="18" customHeight="1">
      <c r="A81" s="43" t="s">
        <v>957</v>
      </c>
      <c r="B81" s="195">
        <f ca="1">'PL&amp;BS Projection'!F5</f>
        <v>171110.26989900001</v>
      </c>
      <c r="C81" s="453">
        <f>'PL&amp;BS Projection'!G5</f>
        <v>206606.72943529999</v>
      </c>
      <c r="D81" s="453">
        <f>'PL&amp;BS Projection'!H5</f>
        <v>193625.82463797822</v>
      </c>
      <c r="E81" s="453">
        <f>'PL&amp;BS Projection'!I5</f>
        <v>237962.15417033673</v>
      </c>
      <c r="F81" s="453">
        <f>'PL&amp;BS Projection'!J5</f>
        <v>284731.99488504394</v>
      </c>
      <c r="G81" s="591">
        <f>'PL&amp;BS Projection'!K5</f>
        <v>330502.09409949498</v>
      </c>
    </row>
    <row r="82" spans="1:7" ht="18" customHeight="1">
      <c r="A82" s="43" t="s">
        <v>950</v>
      </c>
      <c r="B82" s="195">
        <f>'Assump Revenue'!N46</f>
        <v>76614.988800000021</v>
      </c>
      <c r="C82" s="453">
        <f>'Assump Revenue'!O46</f>
        <v>129709.89868479999</v>
      </c>
      <c r="D82" s="453">
        <f>'Assump Revenue'!P46</f>
        <v>117083.27137919998</v>
      </c>
      <c r="E82" s="453">
        <f>'Assump Revenue'!Q46</f>
        <v>148695.75465158396</v>
      </c>
      <c r="F82" s="453">
        <f>'Assump Revenue'!R46</f>
        <v>180425.32119534718</v>
      </c>
      <c r="G82" s="591">
        <f>'Assump Revenue'!S46</f>
        <v>208391.245980626</v>
      </c>
    </row>
    <row r="83" spans="1:7" ht="18" customHeight="1">
      <c r="A83" s="43" t="s">
        <v>951</v>
      </c>
      <c r="B83" s="195">
        <f>'Assump Revenue'!N37</f>
        <v>37016.179200000006</v>
      </c>
      <c r="C83" s="453">
        <f>'Assump Revenue'!O37</f>
        <v>37756.502784000011</v>
      </c>
      <c r="D83" s="453">
        <f>'Assump Revenue'!P37</f>
        <v>46459.37667571201</v>
      </c>
      <c r="E83" s="453">
        <f>'Assump Revenue'!Q37</f>
        <v>56099.697335922247</v>
      </c>
      <c r="F83" s="453">
        <f>'Assump Revenue'!R37</f>
        <v>67740.384533126111</v>
      </c>
      <c r="G83" s="591">
        <f>'Assump Revenue'!S37</f>
        <v>81796.514323749783</v>
      </c>
    </row>
    <row r="84" spans="1:7" ht="18" customHeight="1">
      <c r="A84" s="43" t="s">
        <v>952</v>
      </c>
      <c r="B84" s="195">
        <f>'Assump Revenue'!N28</f>
        <v>26363.601899999991</v>
      </c>
      <c r="C84" s="453">
        <f>'Assump Revenue'!O28</f>
        <v>27286.32796649999</v>
      </c>
      <c r="D84" s="453">
        <f>'Assump Revenue'!P28</f>
        <v>30083.176583066237</v>
      </c>
      <c r="E84" s="453">
        <f>'Assump Revenue'!Q28</f>
        <v>33166.70218283053</v>
      </c>
      <c r="F84" s="453">
        <f>'Assump Revenue'!R28</f>
        <v>36566.289156570667</v>
      </c>
      <c r="G84" s="591">
        <f>'Assump Revenue'!S28</f>
        <v>40314.333795119164</v>
      </c>
    </row>
    <row r="85" spans="1:7" ht="18" customHeight="1">
      <c r="A85" s="43" t="s">
        <v>953</v>
      </c>
      <c r="B85" s="195">
        <f ca="1">'PL&amp;BS Projection'!F7</f>
        <v>30442.920066999999</v>
      </c>
      <c r="C85" s="453">
        <f>'PL&amp;BS Projection'!G7</f>
        <v>55880.484117251937</v>
      </c>
      <c r="D85" s="453">
        <f>'PL&amp;BS Projection'!H7</f>
        <v>48571.506488874671</v>
      </c>
      <c r="E85" s="453">
        <f>'PL&amp;BS Projection'!I7</f>
        <v>66704.221423535579</v>
      </c>
      <c r="F85" s="453">
        <f>'PL&amp;BS Projection'!J7</f>
        <v>86738.154419003346</v>
      </c>
      <c r="G85" s="591">
        <f>'PL&amp;BS Projection'!K7</f>
        <v>105216.40641000759</v>
      </c>
    </row>
    <row r="86" spans="1:7" ht="18" customHeight="1">
      <c r="A86" s="43" t="s">
        <v>954</v>
      </c>
      <c r="B86" s="195">
        <f ca="1">'PL&amp;BS Projection'!F19</f>
        <v>18922.743263</v>
      </c>
      <c r="C86" s="453">
        <f ca="1">'PL&amp;BS Projection'!G19</f>
        <v>51867.144175970294</v>
      </c>
      <c r="D86" s="453">
        <f ca="1">'PL&amp;BS Projection'!H19</f>
        <v>47317.528807069772</v>
      </c>
      <c r="E86" s="453">
        <f ca="1">'PL&amp;BS Projection'!I19</f>
        <v>63609.0158466785</v>
      </c>
      <c r="F86" s="453">
        <f ca="1">'PL&amp;BS Projection'!J19</f>
        <v>81991.051212495804</v>
      </c>
      <c r="G86" s="591">
        <f ca="1">'PL&amp;BS Projection'!K19</f>
        <v>99320.06460270856</v>
      </c>
    </row>
    <row r="87" spans="1:7" ht="18" customHeight="1">
      <c r="A87" s="43" t="s">
        <v>955</v>
      </c>
      <c r="B87" s="195">
        <f ca="1">'PL&amp;BS Projection'!F21</f>
        <v>14847.033325</v>
      </c>
      <c r="C87" s="453">
        <f ca="1">'PL&amp;BS Projection'!G21</f>
        <v>41493.715340776238</v>
      </c>
      <c r="D87" s="453">
        <f ca="1">'PL&amp;BS Projection'!H21</f>
        <v>37854.02304565582</v>
      </c>
      <c r="E87" s="453">
        <f ca="1">'PL&amp;BS Projection'!I21</f>
        <v>52159.392994276364</v>
      </c>
      <c r="F87" s="453">
        <f ca="1">'PL&amp;BS Projection'!J21</f>
        <v>67232.661994246562</v>
      </c>
      <c r="G87" s="591">
        <f ca="1">'PL&amp;BS Projection'!K21</f>
        <v>81442.452974221014</v>
      </c>
    </row>
    <row r="88" spans="1:7" ht="18" customHeight="1">
      <c r="A88" s="66" t="s">
        <v>496</v>
      </c>
      <c r="B88" s="196">
        <f ca="1">'PL&amp;BS Projection'!F22</f>
        <v>981.95015544367686</v>
      </c>
      <c r="C88" s="592">
        <f ca="1">'PL&amp;BS Projection'!G22</f>
        <v>2744.3031437265872</v>
      </c>
      <c r="D88" s="592">
        <f ca="1">'PL&amp;BS Projection'!H22</f>
        <v>2503.5818941189223</v>
      </c>
      <c r="E88" s="592">
        <f ca="1">'PL&amp;BS Projection'!I22</f>
        <v>3449.7076242386293</v>
      </c>
      <c r="F88" s="592">
        <f ca="1">'PL&amp;BS Projection'!J22</f>
        <v>4446.6205100366469</v>
      </c>
      <c r="G88" s="593">
        <f ca="1">'PL&amp;BS Projection'!K22</f>
        <v>5386.4248572197948</v>
      </c>
    </row>
    <row r="90" spans="1:7" ht="18" customHeight="1">
      <c r="A90" s="594"/>
      <c r="B90" s="594" t="s">
        <v>851</v>
      </c>
      <c r="C90" s="594"/>
      <c r="D90" s="594"/>
      <c r="E90" s="594" t="s">
        <v>847</v>
      </c>
      <c r="F90" s="594"/>
      <c r="G90" s="594"/>
    </row>
    <row r="91" spans="1:7" ht="18" customHeight="1">
      <c r="A91" s="594"/>
      <c r="B91" s="594" t="s">
        <v>860</v>
      </c>
      <c r="C91" s="594" t="s">
        <v>859</v>
      </c>
      <c r="D91" s="594" t="s">
        <v>858</v>
      </c>
      <c r="E91" s="594" t="s">
        <v>860</v>
      </c>
      <c r="F91" s="594" t="s">
        <v>859</v>
      </c>
      <c r="G91" s="594" t="s">
        <v>858</v>
      </c>
    </row>
    <row r="92" spans="1:7" ht="18" customHeight="1">
      <c r="A92" s="59">
        <v>2014</v>
      </c>
      <c r="B92" s="272">
        <f>'Assump Revenue'!N45/12</f>
        <v>58684.826666666668</v>
      </c>
      <c r="C92" s="272">
        <f>'Assump Revenue'!N36/12</f>
        <v>26839.780000000002</v>
      </c>
      <c r="D92" s="272">
        <f>'Assump Revenue'!N26/12</f>
        <v>16324.862499999997</v>
      </c>
      <c r="E92" s="272">
        <f>'Assump Revenue'!N46/12</f>
        <v>6384.5824000000021</v>
      </c>
      <c r="F92" s="272">
        <f>'Assump Revenue'!N37/12</f>
        <v>3084.6816000000003</v>
      </c>
      <c r="G92" s="272">
        <f>'Assump Revenue'!N28/12</f>
        <v>2196.9668249999991</v>
      </c>
    </row>
    <row r="93" spans="1:7" ht="18" customHeight="1">
      <c r="A93" s="480">
        <v>42005</v>
      </c>
      <c r="B93" s="272">
        <f>126500*0.6</f>
        <v>75900</v>
      </c>
      <c r="C93" s="272">
        <f>52600*0.6</f>
        <v>31560</v>
      </c>
      <c r="D93" s="272">
        <f>31600*0.6</f>
        <v>18960</v>
      </c>
      <c r="E93" s="272">
        <f>12700*0.6</f>
        <v>7620</v>
      </c>
      <c r="F93" s="272">
        <f>6400*0.6</f>
        <v>3840</v>
      </c>
      <c r="G93" s="272">
        <f>4900*0.6</f>
        <v>2940</v>
      </c>
    </row>
    <row r="94" spans="1:7" ht="18" customHeight="1">
      <c r="A94" s="480">
        <v>42036</v>
      </c>
      <c r="B94" s="272">
        <f>126500*0.4</f>
        <v>50600</v>
      </c>
      <c r="C94" s="272">
        <f>52600*0.4</f>
        <v>21040</v>
      </c>
      <c r="D94" s="272">
        <f>31600*0.4</f>
        <v>12640</v>
      </c>
      <c r="E94" s="272">
        <f>12700*0.4</f>
        <v>5080</v>
      </c>
      <c r="F94" s="272">
        <f>6400*0.4</f>
        <v>2560</v>
      </c>
      <c r="G94" s="272">
        <f>4900*0.4</f>
        <v>1960</v>
      </c>
    </row>
    <row r="95" spans="1:7" ht="18" customHeight="1">
      <c r="A95" s="480">
        <v>42064</v>
      </c>
      <c r="B95" s="272">
        <v>79695</v>
      </c>
      <c r="C95" s="272">
        <v>33138</v>
      </c>
      <c r="D95" s="194">
        <v>18997.919999999998</v>
      </c>
      <c r="E95" s="272">
        <v>8001</v>
      </c>
      <c r="F95" s="272">
        <v>4032</v>
      </c>
      <c r="G95" s="194">
        <v>2945.88</v>
      </c>
    </row>
    <row r="96" spans="1:7" ht="18" customHeight="1">
      <c r="A96" s="480">
        <v>42095</v>
      </c>
      <c r="B96" s="272">
        <v>83643</v>
      </c>
      <c r="C96" s="272">
        <v>25810</v>
      </c>
      <c r="D96" s="272">
        <v>18969</v>
      </c>
      <c r="E96" s="272">
        <v>8797</v>
      </c>
      <c r="F96" s="272">
        <v>3462</v>
      </c>
      <c r="G96" s="272">
        <v>3062</v>
      </c>
    </row>
    <row r="97" spans="1:7" ht="18" customHeight="1">
      <c r="A97" s="480">
        <v>42125</v>
      </c>
      <c r="B97" s="272">
        <v>156006</v>
      </c>
      <c r="C97" s="272">
        <v>20236</v>
      </c>
      <c r="D97" s="272">
        <v>13314</v>
      </c>
      <c r="E97" s="272">
        <v>9976</v>
      </c>
      <c r="F97" s="272">
        <v>2462</v>
      </c>
      <c r="G97" s="272">
        <v>2218</v>
      </c>
    </row>
    <row r="98" spans="1:7" ht="18" customHeight="1">
      <c r="A98" s="480">
        <v>42156</v>
      </c>
      <c r="B98" s="272">
        <v>95597</v>
      </c>
      <c r="C98" s="272">
        <v>19709</v>
      </c>
      <c r="D98" s="272">
        <v>9050</v>
      </c>
      <c r="E98" s="272">
        <v>12121</v>
      </c>
      <c r="F98" s="272">
        <v>2458</v>
      </c>
      <c r="G98" s="272">
        <v>1429</v>
      </c>
    </row>
    <row r="99" spans="1:7" ht="18" customHeight="1">
      <c r="A99" s="480">
        <v>42186</v>
      </c>
      <c r="B99" s="272">
        <v>83624</v>
      </c>
      <c r="C99" s="272">
        <v>24810</v>
      </c>
      <c r="D99" s="272">
        <v>9692</v>
      </c>
      <c r="E99" s="272">
        <v>10935</v>
      </c>
      <c r="F99" s="272">
        <v>3557</v>
      </c>
      <c r="G99" s="272">
        <v>1500</v>
      </c>
    </row>
    <row r="100" spans="1:7" ht="18" customHeight="1">
      <c r="A100" s="480">
        <v>42217</v>
      </c>
      <c r="B100" s="272">
        <v>113835</v>
      </c>
      <c r="C100" s="272">
        <v>25452</v>
      </c>
      <c r="D100" s="272">
        <v>9072</v>
      </c>
      <c r="E100" s="272">
        <v>15221</v>
      </c>
      <c r="F100" s="272">
        <v>3111</v>
      </c>
      <c r="G100" s="272">
        <v>1484</v>
      </c>
    </row>
    <row r="101" spans="1:7" ht="18" customHeight="1">
      <c r="A101" s="480">
        <v>42248</v>
      </c>
      <c r="B101" s="272">
        <v>86738</v>
      </c>
      <c r="C101" s="272">
        <v>21045</v>
      </c>
      <c r="D101" s="272">
        <v>11849</v>
      </c>
      <c r="E101" s="272">
        <v>11485</v>
      </c>
      <c r="F101" s="272">
        <v>2908</v>
      </c>
      <c r="G101" s="272">
        <v>1639</v>
      </c>
    </row>
    <row r="102" spans="1:7" s="595" customFormat="1" ht="18" customHeight="1">
      <c r="B102" s="596">
        <f>AVERAGE(B93:B101)/B92-1</f>
        <v>0.56322444431216234</v>
      </c>
      <c r="C102" s="596">
        <f t="shared" ref="C102:D102" si="5">AVERAGE(C93:C101)/C92-1</f>
        <v>-7.7654304336490343E-2</v>
      </c>
      <c r="D102" s="596">
        <f t="shared" si="5"/>
        <v>-0.1659353264928809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U72"/>
  <sheetViews>
    <sheetView workbookViewId="0">
      <pane xSplit="1" ySplit="2" topLeftCell="B3" activePane="bottomRight" state="frozen"/>
      <selection pane="topRight" activeCell="B1" sqref="B1"/>
      <selection pane="bottomLeft" activeCell="A3" sqref="A3"/>
      <selection pane="bottomRight" activeCell="P51" sqref="P51"/>
    </sheetView>
  </sheetViews>
  <sheetFormatPr defaultRowHeight="18" customHeight="1"/>
  <cols>
    <col min="1" max="1" width="26.5703125" style="59" customWidth="1"/>
    <col min="2" max="2" width="11" style="59" bestFit="1" customWidth="1"/>
    <col min="3" max="3" width="11" style="59" hidden="1" customWidth="1"/>
    <col min="4" max="4" width="12.42578125" style="59" hidden="1" customWidth="1"/>
    <col min="5" max="6" width="11" style="59" hidden="1" customWidth="1"/>
    <col min="7" max="9" width="12.42578125" style="59" hidden="1" customWidth="1"/>
    <col min="10" max="10" width="12.5703125" style="59" bestFit="1" customWidth="1"/>
    <col min="11" max="14" width="13.140625" style="59" bestFit="1" customWidth="1"/>
    <col min="15" max="15" width="11.42578125" style="59" customWidth="1"/>
    <col min="16" max="16" width="10.7109375" style="59" customWidth="1"/>
    <col min="17" max="17" width="10.140625" style="59" customWidth="1"/>
    <col min="18" max="18" width="11" style="59" customWidth="1"/>
    <col min="19" max="20" width="10.7109375" style="59" customWidth="1"/>
    <col min="21" max="16384" width="9.140625" style="59"/>
  </cols>
  <sheetData>
    <row r="1" spans="1:20" ht="18" customHeight="1">
      <c r="A1" s="237" t="s">
        <v>993</v>
      </c>
    </row>
    <row r="2" spans="1:20" ht="18" customHeight="1">
      <c r="A2" s="478"/>
      <c r="B2" s="478">
        <v>2000</v>
      </c>
      <c r="C2" s="478">
        <v>2001</v>
      </c>
      <c r="D2" s="478">
        <v>2002</v>
      </c>
      <c r="E2" s="478">
        <v>2003</v>
      </c>
      <c r="F2" s="478">
        <v>2004</v>
      </c>
      <c r="G2" s="478">
        <v>2005</v>
      </c>
      <c r="H2" s="478">
        <v>2006</v>
      </c>
      <c r="I2" s="478">
        <v>2007</v>
      </c>
      <c r="J2" s="478">
        <v>2010</v>
      </c>
      <c r="K2" s="478">
        <v>2011</v>
      </c>
      <c r="L2" s="478">
        <v>2012</v>
      </c>
      <c r="M2" s="478">
        <v>2013</v>
      </c>
      <c r="N2" s="478">
        <v>2014</v>
      </c>
      <c r="O2" s="481" t="s">
        <v>539</v>
      </c>
      <c r="P2" s="481" t="s">
        <v>770</v>
      </c>
      <c r="Q2" s="481" t="s">
        <v>771</v>
      </c>
      <c r="R2" s="481" t="s">
        <v>856</v>
      </c>
      <c r="S2" s="481" t="s">
        <v>897</v>
      </c>
      <c r="T2" s="481" t="s">
        <v>920</v>
      </c>
    </row>
    <row r="3" spans="1:20" ht="18" customHeight="1">
      <c r="A3" s="369" t="s">
        <v>972</v>
      </c>
      <c r="B3" s="369"/>
      <c r="C3" s="369"/>
      <c r="D3" s="369"/>
      <c r="E3" s="369"/>
      <c r="F3" s="369"/>
      <c r="G3" s="369"/>
      <c r="H3" s="369"/>
      <c r="I3" s="369"/>
      <c r="J3" s="369"/>
      <c r="K3" s="369"/>
      <c r="L3" s="369"/>
      <c r="M3" s="369"/>
      <c r="N3" s="369"/>
      <c r="O3" s="369"/>
      <c r="P3" s="369"/>
      <c r="Q3" s="369"/>
      <c r="R3" s="369"/>
      <c r="S3" s="369"/>
      <c r="T3" s="369"/>
    </row>
    <row r="4" spans="1:20" ht="18" customHeight="1">
      <c r="A4" s="59" t="s">
        <v>973</v>
      </c>
      <c r="B4" s="272">
        <v>16031700</v>
      </c>
      <c r="C4" s="272"/>
      <c r="D4" s="272"/>
      <c r="E4" s="272"/>
      <c r="F4" s="272"/>
      <c r="G4" s="272"/>
      <c r="H4" s="272"/>
      <c r="I4" s="272"/>
      <c r="J4" s="272"/>
      <c r="K4" s="272"/>
      <c r="L4" s="272"/>
      <c r="M4" s="272"/>
      <c r="N4" s="272"/>
    </row>
    <row r="5" spans="1:20" ht="18" customHeight="1">
      <c r="A5" s="59" t="s">
        <v>974</v>
      </c>
      <c r="B5" s="272">
        <v>1000000</v>
      </c>
      <c r="C5" s="272"/>
      <c r="D5" s="272"/>
      <c r="E5" s="272"/>
      <c r="F5" s="272"/>
      <c r="G5" s="272"/>
      <c r="H5" s="272"/>
      <c r="I5" s="272"/>
      <c r="J5" s="272"/>
      <c r="K5" s="272"/>
      <c r="L5" s="272"/>
      <c r="M5" s="272"/>
      <c r="N5" s="272"/>
    </row>
    <row r="6" spans="1:20" ht="18" customHeight="1" thickBot="1">
      <c r="A6" s="59" t="s">
        <v>975</v>
      </c>
      <c r="B6" s="479">
        <v>2010</v>
      </c>
      <c r="C6" s="272"/>
      <c r="D6" s="272"/>
      <c r="E6" s="272"/>
      <c r="F6" s="272"/>
      <c r="G6" s="272"/>
      <c r="H6" s="272"/>
      <c r="I6" s="272"/>
      <c r="J6" s="272"/>
      <c r="K6" s="272"/>
      <c r="L6" s="272"/>
      <c r="M6" s="272"/>
      <c r="N6" s="272"/>
    </row>
    <row r="7" spans="1:20" ht="18" customHeight="1" thickBot="1">
      <c r="A7" s="59" t="s">
        <v>490</v>
      </c>
      <c r="B7" s="272">
        <v>56280</v>
      </c>
      <c r="C7" s="272">
        <v>86385</v>
      </c>
      <c r="D7" s="272">
        <v>74256</v>
      </c>
      <c r="E7" s="272">
        <v>58581</v>
      </c>
      <c r="F7" s="272">
        <v>65514</v>
      </c>
      <c r="G7" s="272">
        <v>88426</v>
      </c>
      <c r="H7" s="272">
        <v>83978</v>
      </c>
      <c r="I7" s="272">
        <v>101351</v>
      </c>
      <c r="J7" s="272">
        <v>202280</v>
      </c>
      <c r="K7" s="272">
        <v>164919</v>
      </c>
      <c r="L7" s="272">
        <v>103672</v>
      </c>
      <c r="M7" s="272">
        <v>26522</v>
      </c>
      <c r="N7" s="272">
        <f>N8*N9/1000000</f>
        <v>8729.1</v>
      </c>
      <c r="O7" s="616">
        <f>O8*O9/1000000</f>
        <v>8206</v>
      </c>
      <c r="P7" s="272">
        <f>P8*P9/1000000</f>
        <v>0</v>
      </c>
    </row>
    <row r="8" spans="1:20" ht="18" customHeight="1">
      <c r="A8" s="59" t="s">
        <v>976</v>
      </c>
      <c r="B8" s="272">
        <f t="shared" ref="B8:I8" si="0">B54</f>
        <v>620489</v>
      </c>
      <c r="C8" s="272">
        <f t="shared" si="0"/>
        <v>964992</v>
      </c>
      <c r="D8" s="272">
        <f t="shared" si="0"/>
        <v>1097335</v>
      </c>
      <c r="E8" s="272">
        <f t="shared" si="0"/>
        <v>664239</v>
      </c>
      <c r="F8" s="272">
        <f t="shared" si="0"/>
        <v>941184</v>
      </c>
      <c r="G8" s="272">
        <f t="shared" si="0"/>
        <v>1005926</v>
      </c>
      <c r="H8" s="272">
        <f t="shared" si="0"/>
        <v>1155484</v>
      </c>
      <c r="I8" s="272">
        <f t="shared" si="0"/>
        <v>1248315</v>
      </c>
      <c r="J8" s="272">
        <f>J54-J17</f>
        <v>1371841</v>
      </c>
      <c r="K8" s="272">
        <v>925117</v>
      </c>
      <c r="L8" s="272">
        <v>574166</v>
      </c>
      <c r="M8" s="272">
        <v>181302</v>
      </c>
      <c r="N8" s="272">
        <v>95400</v>
      </c>
      <c r="O8" s="607">
        <f>170000-N8</f>
        <v>74600</v>
      </c>
      <c r="P8" s="272">
        <v>0</v>
      </c>
      <c r="Q8" s="272">
        <v>0</v>
      </c>
      <c r="R8" s="272">
        <v>0</v>
      </c>
      <c r="S8" s="272">
        <v>0</v>
      </c>
      <c r="T8" s="272">
        <v>0</v>
      </c>
    </row>
    <row r="9" spans="1:20" ht="18" customHeight="1">
      <c r="A9" s="59" t="s">
        <v>977</v>
      </c>
      <c r="B9" s="272">
        <f t="shared" ref="B9:L9" si="1">B7/B8*1000000</f>
        <v>90702.655486237476</v>
      </c>
      <c r="C9" s="272">
        <f t="shared" si="1"/>
        <v>89518.876840429759</v>
      </c>
      <c r="D9" s="272">
        <f t="shared" si="1"/>
        <v>67669.399044047619</v>
      </c>
      <c r="E9" s="272">
        <f t="shared" si="1"/>
        <v>88192.653547894661</v>
      </c>
      <c r="F9" s="272">
        <f t="shared" si="1"/>
        <v>69608.068135454916</v>
      </c>
      <c r="G9" s="272">
        <f t="shared" si="1"/>
        <v>87905.074528345038</v>
      </c>
      <c r="H9" s="272">
        <f t="shared" si="1"/>
        <v>72677.769661890605</v>
      </c>
      <c r="I9" s="272">
        <f t="shared" si="1"/>
        <v>81190.244449517952</v>
      </c>
      <c r="J9" s="272">
        <f t="shared" si="1"/>
        <v>147451.49036951075</v>
      </c>
      <c r="K9" s="272">
        <f t="shared" si="1"/>
        <v>178268.26228466237</v>
      </c>
      <c r="L9" s="272">
        <f t="shared" si="1"/>
        <v>180561.022422087</v>
      </c>
      <c r="M9" s="272">
        <f t="shared" ref="M9" si="2">M7/M8*1000000</f>
        <v>146286.3068250764</v>
      </c>
      <c r="N9" s="272">
        <v>91500</v>
      </c>
      <c r="O9" s="272">
        <v>110000</v>
      </c>
      <c r="P9" s="272">
        <v>0</v>
      </c>
      <c r="Q9" s="272"/>
      <c r="R9" s="272"/>
    </row>
    <row r="10" spans="1:20" ht="18" customHeight="1">
      <c r="A10" s="59" t="s">
        <v>978</v>
      </c>
      <c r="B10" s="272"/>
      <c r="C10" s="402">
        <f>C8/B8-1</f>
        <v>0.55521209884462097</v>
      </c>
      <c r="D10" s="402">
        <f t="shared" ref="D10:I10" si="3">D8/C8-1</f>
        <v>0.13714414212760317</v>
      </c>
      <c r="E10" s="402">
        <f t="shared" si="3"/>
        <v>-0.39467983797108452</v>
      </c>
      <c r="F10" s="402">
        <f t="shared" si="3"/>
        <v>0.41693577161232631</v>
      </c>
      <c r="G10" s="402">
        <f t="shared" si="3"/>
        <v>6.8787824697402522E-2</v>
      </c>
      <c r="H10" s="402">
        <f t="shared" si="3"/>
        <v>0.14867694045088808</v>
      </c>
      <c r="I10" s="402">
        <f t="shared" si="3"/>
        <v>8.033949409944241E-2</v>
      </c>
      <c r="J10" s="402">
        <f t="shared" ref="J10:J11" si="4">J8/I8-1</f>
        <v>9.8954190248454976E-2</v>
      </c>
      <c r="K10" s="402">
        <f t="shared" ref="K10:K11" si="5">K8/J8-1</f>
        <v>-0.3256383210590732</v>
      </c>
      <c r="L10" s="402">
        <f t="shared" ref="L10:L11" si="6">L8/K8-1</f>
        <v>-0.37935850276235328</v>
      </c>
      <c r="M10" s="402">
        <f t="shared" ref="M10:M11" si="7">M8/L8-1</f>
        <v>-0.6842341761790145</v>
      </c>
      <c r="N10" s="402"/>
      <c r="O10" s="402"/>
      <c r="P10" s="402"/>
      <c r="Q10" s="402"/>
      <c r="R10" s="402"/>
    </row>
    <row r="11" spans="1:20" ht="18" customHeight="1">
      <c r="A11" s="59" t="s">
        <v>979</v>
      </c>
      <c r="B11" s="272"/>
      <c r="C11" s="402">
        <f>C9/B9-1</f>
        <v>-1.3051201637501508E-2</v>
      </c>
      <c r="D11" s="402">
        <f t="shared" ref="D11:I11" si="8">D9/C9-1</f>
        <v>-0.24407676422627067</v>
      </c>
      <c r="E11" s="402">
        <f t="shared" si="8"/>
        <v>0.30328708092247081</v>
      </c>
      <c r="F11" s="402">
        <f t="shared" si="8"/>
        <v>-0.21072713729321046</v>
      </c>
      <c r="G11" s="402">
        <f t="shared" si="8"/>
        <v>0.26285755204820194</v>
      </c>
      <c r="H11" s="402">
        <f t="shared" si="8"/>
        <v>-0.17322441222143981</v>
      </c>
      <c r="I11" s="402">
        <f t="shared" si="8"/>
        <v>0.11712625232211771</v>
      </c>
      <c r="J11" s="402">
        <f t="shared" si="4"/>
        <v>0.8161232469399986</v>
      </c>
      <c r="K11" s="402">
        <f t="shared" si="5"/>
        <v>0.20899600158618514</v>
      </c>
      <c r="L11" s="402">
        <f t="shared" si="6"/>
        <v>1.2861291785991158E-2</v>
      </c>
      <c r="M11" s="402">
        <f t="shared" si="7"/>
        <v>-0.18982344659573636</v>
      </c>
      <c r="N11" s="402"/>
      <c r="O11" s="402"/>
      <c r="P11" s="402"/>
      <c r="Q11" s="402"/>
      <c r="R11" s="402"/>
    </row>
    <row r="12" spans="1:20" ht="18" customHeight="1">
      <c r="A12" s="369" t="s">
        <v>980</v>
      </c>
      <c r="B12" s="369"/>
      <c r="C12" s="369"/>
      <c r="D12" s="369"/>
      <c r="E12" s="369"/>
      <c r="F12" s="369"/>
      <c r="G12" s="369"/>
      <c r="H12" s="369"/>
      <c r="I12" s="369"/>
      <c r="J12" s="369"/>
      <c r="K12" s="369"/>
      <c r="L12" s="369"/>
      <c r="M12" s="369"/>
      <c r="N12" s="369"/>
      <c r="O12" s="369"/>
      <c r="P12" s="369"/>
      <c r="Q12" s="369"/>
      <c r="R12" s="369"/>
      <c r="S12" s="369"/>
      <c r="T12" s="369"/>
    </row>
    <row r="13" spans="1:20" ht="18" customHeight="1">
      <c r="A13" s="59" t="s">
        <v>973</v>
      </c>
      <c r="B13" s="272">
        <v>4485000</v>
      </c>
      <c r="C13" s="272"/>
      <c r="D13" s="272"/>
      <c r="E13" s="272"/>
      <c r="F13" s="272"/>
      <c r="G13" s="272"/>
      <c r="H13" s="272"/>
      <c r="I13" s="272"/>
      <c r="J13" s="272"/>
      <c r="K13" s="272"/>
      <c r="L13" s="272"/>
      <c r="M13" s="272"/>
    </row>
    <row r="14" spans="1:20" ht="18" customHeight="1">
      <c r="A14" s="59" t="s">
        <v>974</v>
      </c>
      <c r="B14" s="272">
        <v>490000</v>
      </c>
      <c r="C14" s="272"/>
      <c r="D14" s="272"/>
      <c r="E14" s="272"/>
      <c r="F14" s="272"/>
      <c r="G14" s="272"/>
      <c r="H14" s="272"/>
      <c r="I14" s="272"/>
      <c r="J14" s="272"/>
      <c r="K14" s="272"/>
      <c r="L14" s="272"/>
      <c r="M14" s="272"/>
    </row>
    <row r="15" spans="1:20" ht="18" customHeight="1" thickBot="1">
      <c r="A15" s="59" t="s">
        <v>975</v>
      </c>
      <c r="B15" s="480">
        <v>42095</v>
      </c>
      <c r="C15" s="272"/>
      <c r="D15" s="272"/>
      <c r="E15" s="272"/>
      <c r="F15" s="272"/>
      <c r="G15" s="272"/>
      <c r="H15" s="272"/>
      <c r="I15" s="272"/>
      <c r="J15" s="272"/>
      <c r="K15" s="272"/>
      <c r="L15" s="272"/>
      <c r="M15" s="272"/>
      <c r="O15" s="270"/>
    </row>
    <row r="16" spans="1:20" ht="18" customHeight="1" thickBot="1">
      <c r="A16" s="59" t="s">
        <v>490</v>
      </c>
      <c r="J16" s="272">
        <v>34028</v>
      </c>
      <c r="K16" s="272">
        <v>28273</v>
      </c>
      <c r="L16" s="272">
        <v>17757</v>
      </c>
      <c r="M16" s="272">
        <v>16167</v>
      </c>
      <c r="N16" s="272">
        <f>N17*N19/1000000</f>
        <v>22367.694900000002</v>
      </c>
      <c r="O16" s="616">
        <v>3648</v>
      </c>
      <c r="P16" s="272"/>
      <c r="Q16" s="272"/>
      <c r="R16" s="272"/>
      <c r="S16" s="272"/>
      <c r="T16" s="272"/>
    </row>
    <row r="17" spans="1:21" ht="18" customHeight="1">
      <c r="A17" s="59" t="s">
        <v>976</v>
      </c>
      <c r="J17" s="272">
        <v>475891</v>
      </c>
      <c r="K17" s="272">
        <v>330445</v>
      </c>
      <c r="L17" s="272">
        <v>184217</v>
      </c>
      <c r="M17" s="272">
        <v>236395</v>
      </c>
      <c r="N17" s="272">
        <f>M17*(1+N20)</f>
        <v>269490.30000000005</v>
      </c>
      <c r="O17" s="272">
        <v>49720</v>
      </c>
      <c r="P17" s="272"/>
      <c r="Q17" s="272"/>
      <c r="R17" s="272"/>
      <c r="S17" s="272"/>
      <c r="T17" s="272"/>
    </row>
    <row r="18" spans="1:21" ht="18" customHeight="1">
      <c r="A18" s="59" t="s">
        <v>981</v>
      </c>
      <c r="J18" s="272">
        <f>J17+I17</f>
        <v>475891</v>
      </c>
      <c r="K18" s="272">
        <f>J18+K17</f>
        <v>806336</v>
      </c>
      <c r="L18" s="272">
        <f t="shared" ref="L18" si="9">K18+L17</f>
        <v>990553</v>
      </c>
      <c r="M18" s="272">
        <f t="shared" ref="M18" si="10">L18+M17</f>
        <v>1226948</v>
      </c>
      <c r="N18" s="272">
        <f t="shared" ref="N18" si="11">M18+N17</f>
        <v>1496438.3</v>
      </c>
      <c r="O18" s="272"/>
      <c r="P18" s="272"/>
      <c r="Q18" s="272"/>
      <c r="R18" s="272"/>
      <c r="S18" s="272"/>
      <c r="T18" s="272"/>
    </row>
    <row r="19" spans="1:21" ht="18" customHeight="1">
      <c r="A19" s="59" t="s">
        <v>977</v>
      </c>
      <c r="J19" s="272">
        <f>J16/J17*1000000</f>
        <v>71503.768720148102</v>
      </c>
      <c r="K19" s="272">
        <f>K16/K17*1000000</f>
        <v>85560.380698754714</v>
      </c>
      <c r="L19" s="272">
        <f>L16/L17*1000000</f>
        <v>96391.755375453955</v>
      </c>
      <c r="M19" s="272">
        <f>M16/M17*1000000</f>
        <v>68389.771357262201</v>
      </c>
      <c r="N19" s="272">
        <v>83000</v>
      </c>
      <c r="O19" s="272"/>
      <c r="P19" s="272"/>
      <c r="Q19" s="272"/>
      <c r="R19" s="272"/>
      <c r="S19" s="272"/>
      <c r="T19" s="272"/>
    </row>
    <row r="20" spans="1:21" ht="18" customHeight="1">
      <c r="A20" s="59" t="s">
        <v>978</v>
      </c>
      <c r="B20" s="272"/>
      <c r="C20" s="272"/>
      <c r="D20" s="272"/>
      <c r="E20" s="272"/>
      <c r="F20" s="272"/>
      <c r="G20" s="272"/>
      <c r="H20" s="272"/>
      <c r="I20" s="272"/>
      <c r="J20" s="402"/>
      <c r="K20" s="402">
        <f>K16/J16-1</f>
        <v>-0.16912542611966619</v>
      </c>
      <c r="L20" s="402">
        <f>L16/K16-1</f>
        <v>-0.37194496516110775</v>
      </c>
      <c r="M20" s="402">
        <f>M16/L16-1</f>
        <v>-8.9542152390606478E-2</v>
      </c>
      <c r="N20" s="402">
        <v>0.14000000000000001</v>
      </c>
      <c r="O20" s="402"/>
      <c r="P20" s="402"/>
      <c r="Q20" s="402"/>
      <c r="R20" s="402"/>
      <c r="S20" s="402"/>
      <c r="T20" s="402"/>
    </row>
    <row r="21" spans="1:21" ht="18" customHeight="1">
      <c r="A21" s="59" t="s">
        <v>1004</v>
      </c>
      <c r="B21" s="272"/>
      <c r="C21" s="272"/>
      <c r="D21" s="272"/>
      <c r="E21" s="272"/>
      <c r="F21" s="272"/>
      <c r="G21" s="272"/>
      <c r="H21" s="272"/>
      <c r="I21" s="272"/>
      <c r="J21" s="402"/>
      <c r="K21" s="402">
        <f t="shared" ref="K21" si="12">K19/J19-1</f>
        <v>0.19658560982458795</v>
      </c>
      <c r="L21" s="402">
        <f t="shared" ref="L21" si="13">L19/K19-1</f>
        <v>0.12659334365089947</v>
      </c>
      <c r="M21" s="402">
        <f t="shared" ref="M21" si="14">M19/L19-1</f>
        <v>-0.29050185785207128</v>
      </c>
      <c r="N21" s="402">
        <f t="shared" ref="N21" si="15">N19/M19-1</f>
        <v>0.21363178078802503</v>
      </c>
      <c r="O21" s="402"/>
      <c r="P21" s="402"/>
      <c r="Q21" s="402"/>
      <c r="R21" s="402"/>
      <c r="S21" s="402"/>
      <c r="T21" s="402"/>
    </row>
    <row r="22" spans="1:21" ht="18" customHeight="1">
      <c r="A22" s="369" t="s">
        <v>982</v>
      </c>
      <c r="B22" s="369"/>
      <c r="C22" s="369"/>
      <c r="D22" s="369"/>
      <c r="E22" s="369"/>
      <c r="F22" s="369"/>
      <c r="G22" s="369"/>
      <c r="H22" s="369"/>
      <c r="I22" s="369"/>
      <c r="J22" s="369"/>
      <c r="K22" s="369"/>
      <c r="L22" s="369"/>
      <c r="M22" s="369"/>
      <c r="N22" s="369"/>
      <c r="O22" s="369"/>
      <c r="P22" s="369"/>
      <c r="Q22" s="369"/>
      <c r="R22" s="369"/>
      <c r="S22" s="369"/>
      <c r="T22" s="369"/>
    </row>
    <row r="23" spans="1:21" ht="18" customHeight="1">
      <c r="A23" s="59" t="s">
        <v>973</v>
      </c>
      <c r="B23" s="272">
        <v>7500000</v>
      </c>
      <c r="C23" s="272"/>
      <c r="D23" s="272"/>
      <c r="E23" s="272"/>
      <c r="F23" s="272"/>
      <c r="G23" s="272"/>
      <c r="H23" s="272"/>
      <c r="I23" s="272"/>
      <c r="J23" s="272"/>
      <c r="K23" s="272"/>
      <c r="L23" s="272"/>
      <c r="M23" s="272"/>
    </row>
    <row r="24" spans="1:21" ht="18" customHeight="1">
      <c r="A24" s="59" t="s">
        <v>974</v>
      </c>
      <c r="B24" s="272">
        <v>280000</v>
      </c>
      <c r="C24" s="272"/>
      <c r="D24" s="272"/>
      <c r="E24" s="272"/>
      <c r="F24" s="272"/>
      <c r="G24" s="272"/>
      <c r="H24" s="272"/>
      <c r="I24" s="272"/>
      <c r="J24" s="272"/>
      <c r="K24" s="272"/>
      <c r="L24" s="272"/>
      <c r="M24" s="272"/>
    </row>
    <row r="25" spans="1:21" ht="18" customHeight="1">
      <c r="A25" s="59" t="s">
        <v>975</v>
      </c>
      <c r="B25" s="480">
        <v>45870</v>
      </c>
      <c r="C25" s="272"/>
      <c r="D25" s="272"/>
      <c r="E25" s="272"/>
      <c r="F25" s="272"/>
      <c r="G25" s="272"/>
      <c r="H25" s="272"/>
      <c r="I25" s="272"/>
      <c r="J25" s="272"/>
      <c r="K25" s="272"/>
      <c r="L25" s="272"/>
      <c r="M25" s="272"/>
      <c r="O25" s="59">
        <f>200*1.3</f>
        <v>260</v>
      </c>
      <c r="S25" s="59">
        <f>(S26/O26)^(1/4)-1</f>
        <v>5.0000000000000044E-2</v>
      </c>
      <c r="T25" s="59">
        <f>(T26/P26)^(1/4)-1</f>
        <v>5.0000000000000044E-2</v>
      </c>
    </row>
    <row r="26" spans="1:21" ht="18" customHeight="1">
      <c r="A26" s="59" t="s">
        <v>976</v>
      </c>
      <c r="K26" s="272">
        <v>43930</v>
      </c>
      <c r="L26" s="272">
        <v>96699</v>
      </c>
      <c r="M26" s="272">
        <v>138935</v>
      </c>
      <c r="N26" s="272">
        <f>M26*(1+N30)</f>
        <v>195898.34999999998</v>
      </c>
      <c r="O26" s="272">
        <f>N26*(1+O30)</f>
        <v>176308.51499999998</v>
      </c>
      <c r="P26" s="272">
        <f t="shared" ref="P26" si="16">O26*(1+P30)</f>
        <v>185123.94074999998</v>
      </c>
      <c r="Q26" s="272">
        <f t="shared" ref="Q26" si="17">P26*(1+Q30)</f>
        <v>194380.13778749999</v>
      </c>
      <c r="R26" s="272">
        <f t="shared" ref="R26" si="18">Q26*(1+R30)</f>
        <v>204099.144676875</v>
      </c>
      <c r="S26" s="272">
        <f t="shared" ref="S26" si="19">R26*(1+S30)</f>
        <v>214304.10191071877</v>
      </c>
      <c r="T26" s="272">
        <f t="shared" ref="T26" si="20">S26*(1+T30)</f>
        <v>225019.30700625473</v>
      </c>
      <c r="U26" s="59">
        <f>15300/20710</f>
        <v>0.73877353935296963</v>
      </c>
    </row>
    <row r="27" spans="1:21" ht="18" customHeight="1" thickBot="1">
      <c r="A27" s="59" t="s">
        <v>981</v>
      </c>
      <c r="J27" s="272">
        <f>J26+I26</f>
        <v>0</v>
      </c>
      <c r="K27" s="272">
        <f>J27+K26</f>
        <v>43930</v>
      </c>
      <c r="L27" s="272">
        <f t="shared" ref="L27" si="21">K27+L26</f>
        <v>140629</v>
      </c>
      <c r="M27" s="272">
        <f t="shared" ref="M27" si="22">L27+M26</f>
        <v>279564</v>
      </c>
      <c r="N27" s="272">
        <f t="shared" ref="N27" si="23">M27+N26</f>
        <v>475462.35</v>
      </c>
      <c r="O27" s="272">
        <f t="shared" ref="O27" si="24">N27+O26</f>
        <v>651770.86499999999</v>
      </c>
      <c r="P27" s="272">
        <f t="shared" ref="P27" si="25">O27+P26</f>
        <v>836894.80574999994</v>
      </c>
      <c r="Q27" s="272">
        <f t="shared" ref="Q27" si="26">P27+Q26</f>
        <v>1031274.9435375</v>
      </c>
      <c r="R27" s="272">
        <f t="shared" ref="R27" si="27">Q27+R26</f>
        <v>1235374.0882143751</v>
      </c>
      <c r="S27" s="272">
        <f t="shared" ref="S27" si="28">R27+S26</f>
        <v>1449678.1901250938</v>
      </c>
      <c r="T27" s="272">
        <f t="shared" ref="T27" si="29">S27+T26</f>
        <v>1674697.4971313486</v>
      </c>
    </row>
    <row r="28" spans="1:21" ht="18" customHeight="1" thickBot="1">
      <c r="A28" s="59" t="s">
        <v>490</v>
      </c>
      <c r="K28" s="272">
        <v>7046</v>
      </c>
      <c r="L28" s="272">
        <v>13791</v>
      </c>
      <c r="M28" s="272">
        <v>18153</v>
      </c>
      <c r="N28" s="272">
        <f>N26*N29/1000000</f>
        <v>26363.601899999991</v>
      </c>
      <c r="O28" s="616">
        <f>O26*O29/1000000</f>
        <v>27286.32796649999</v>
      </c>
      <c r="P28" s="272">
        <f t="shared" ref="P28:R28" si="30">P26*P29/1000000</f>
        <v>30083.176583066237</v>
      </c>
      <c r="Q28" s="272">
        <f t="shared" si="30"/>
        <v>33166.70218283053</v>
      </c>
      <c r="R28" s="272">
        <f t="shared" si="30"/>
        <v>36566.289156570667</v>
      </c>
      <c r="S28" s="272">
        <f t="shared" ref="S28:T28" si="31">S26*S29/1000000</f>
        <v>40314.333795119164</v>
      </c>
      <c r="T28" s="272">
        <f t="shared" si="31"/>
        <v>44446.553009118892</v>
      </c>
    </row>
    <row r="29" spans="1:21" ht="18" customHeight="1">
      <c r="A29" s="59" t="s">
        <v>977</v>
      </c>
      <c r="J29" s="272"/>
      <c r="K29" s="272">
        <f t="shared" ref="K29:L29" si="32">K28/K26*1000000</f>
        <v>160391.53198269976</v>
      </c>
      <c r="L29" s="272">
        <f t="shared" si="32"/>
        <v>142617.81404151025</v>
      </c>
      <c r="M29" s="272">
        <f t="shared" ref="M29" si="33">M28/M26*1000000</f>
        <v>130658.22147047179</v>
      </c>
      <c r="N29" s="272">
        <f>M29*(1+N31)</f>
        <v>134577.96811458594</v>
      </c>
      <c r="O29" s="272">
        <f>N29*(1+O31)</f>
        <v>154764.6633317738</v>
      </c>
      <c r="P29" s="272">
        <f t="shared" ref="P29" si="34">O29*(1+P31)</f>
        <v>162502.8964983625</v>
      </c>
      <c r="Q29" s="272">
        <f t="shared" ref="Q29" si="35">P29*(1+Q31)</f>
        <v>170628.04132328063</v>
      </c>
      <c r="R29" s="272">
        <f t="shared" ref="R29" si="36">Q29*(1+R31)</f>
        <v>179159.44338944467</v>
      </c>
      <c r="S29" s="272">
        <f t="shared" ref="S29" si="37">R29*(1+S31)</f>
        <v>188117.41555891692</v>
      </c>
      <c r="T29" s="272">
        <f t="shared" ref="T29" si="38">S29*(1+T31)</f>
        <v>197523.28633686277</v>
      </c>
    </row>
    <row r="30" spans="1:21" ht="18" customHeight="1">
      <c r="A30" s="59" t="s">
        <v>978</v>
      </c>
      <c r="B30" s="272"/>
      <c r="C30" s="272"/>
      <c r="D30" s="272"/>
      <c r="E30" s="272"/>
      <c r="F30" s="272"/>
      <c r="G30" s="272"/>
      <c r="H30" s="272"/>
      <c r="I30" s="272"/>
      <c r="J30" s="272"/>
      <c r="K30" s="272"/>
      <c r="L30" s="402">
        <f>L28/K28-1</f>
        <v>0.95728072665342046</v>
      </c>
      <c r="M30" s="402">
        <f>M28/L28-1</f>
        <v>0.31629323471829451</v>
      </c>
      <c r="N30" s="271">
        <v>0.41</v>
      </c>
      <c r="O30" s="271">
        <v>-0.1</v>
      </c>
      <c r="P30" s="271">
        <v>0.05</v>
      </c>
      <c r="Q30" s="271">
        <v>0.05</v>
      </c>
      <c r="R30" s="271">
        <v>0.05</v>
      </c>
      <c r="S30" s="271">
        <v>0.05</v>
      </c>
      <c r="T30" s="271">
        <v>0.05</v>
      </c>
    </row>
    <row r="31" spans="1:21" ht="18" customHeight="1">
      <c r="A31" s="59" t="s">
        <v>1004</v>
      </c>
      <c r="B31" s="272"/>
      <c r="C31" s="272"/>
      <c r="D31" s="272"/>
      <c r="E31" s="272"/>
      <c r="F31" s="272"/>
      <c r="G31" s="272"/>
      <c r="H31" s="272"/>
      <c r="I31" s="272"/>
      <c r="J31" s="272"/>
      <c r="K31" s="272"/>
      <c r="L31" s="402">
        <f>L29/K29-1</f>
        <v>-0.11081456559132197</v>
      </c>
      <c r="M31" s="402">
        <f>M29/L29-1</f>
        <v>-8.3857634836259076E-2</v>
      </c>
      <c r="N31" s="402">
        <v>0.03</v>
      </c>
      <c r="O31" s="402">
        <v>0.15</v>
      </c>
      <c r="P31" s="402">
        <v>0.05</v>
      </c>
      <c r="Q31" s="402">
        <v>0.05</v>
      </c>
      <c r="R31" s="402">
        <v>0.05</v>
      </c>
      <c r="S31" s="402">
        <v>0.05</v>
      </c>
      <c r="T31" s="402">
        <v>0.05</v>
      </c>
    </row>
    <row r="32" spans="1:21" ht="18" customHeight="1">
      <c r="A32" s="369" t="s">
        <v>983</v>
      </c>
      <c r="B32" s="369"/>
      <c r="C32" s="369"/>
      <c r="D32" s="369"/>
      <c r="E32" s="369"/>
      <c r="F32" s="369"/>
      <c r="G32" s="369"/>
      <c r="H32" s="369"/>
      <c r="I32" s="369"/>
      <c r="J32" s="369"/>
      <c r="K32" s="369"/>
      <c r="L32" s="369"/>
      <c r="M32" s="369"/>
      <c r="N32" s="369"/>
      <c r="O32" s="369"/>
      <c r="P32" s="369"/>
      <c r="Q32" s="369"/>
      <c r="R32" s="369"/>
      <c r="S32" s="369"/>
      <c r="T32" s="369"/>
    </row>
    <row r="33" spans="1:21" ht="18" customHeight="1">
      <c r="A33" s="59" t="s">
        <v>973</v>
      </c>
      <c r="B33" s="272">
        <v>6600000</v>
      </c>
      <c r="C33" s="272"/>
      <c r="D33" s="272"/>
      <c r="E33" s="272"/>
      <c r="F33" s="272"/>
      <c r="G33" s="272"/>
      <c r="H33" s="272"/>
      <c r="I33" s="272"/>
      <c r="J33" s="272"/>
      <c r="K33" s="272"/>
      <c r="L33" s="272"/>
      <c r="M33" s="272"/>
      <c r="O33" s="325">
        <f>O36/12</f>
        <v>26839.780000000002</v>
      </c>
    </row>
    <row r="34" spans="1:21" ht="18" customHeight="1">
      <c r="A34" s="59" t="s">
        <v>974</v>
      </c>
      <c r="B34" s="272">
        <v>490000</v>
      </c>
      <c r="C34" s="272"/>
      <c r="D34" s="272"/>
      <c r="E34" s="272"/>
      <c r="F34" s="272"/>
      <c r="G34" s="272"/>
      <c r="H34" s="272"/>
      <c r="I34" s="272"/>
      <c r="J34" s="272"/>
      <c r="K34" s="272"/>
      <c r="L34" s="272"/>
      <c r="M34" s="272"/>
    </row>
    <row r="35" spans="1:21" ht="18" customHeight="1">
      <c r="A35" s="59" t="s">
        <v>975</v>
      </c>
      <c r="B35" s="480">
        <v>45352</v>
      </c>
      <c r="C35" s="272"/>
      <c r="D35" s="272"/>
      <c r="E35" s="272"/>
      <c r="F35" s="272"/>
      <c r="G35" s="272"/>
      <c r="H35" s="272"/>
      <c r="I35" s="272"/>
      <c r="J35" s="272"/>
      <c r="K35" s="272"/>
      <c r="L35" s="272"/>
      <c r="M35" s="272"/>
      <c r="O35" s="59">
        <f>O37/N37-1</f>
        <v>2.000000000000024E-2</v>
      </c>
    </row>
    <row r="36" spans="1:21" ht="18" customHeight="1" thickBot="1">
      <c r="A36" s="59" t="s">
        <v>976</v>
      </c>
      <c r="K36" s="272">
        <v>102103</v>
      </c>
      <c r="L36" s="272">
        <v>148944</v>
      </c>
      <c r="M36" s="272">
        <v>243998</v>
      </c>
      <c r="N36" s="272">
        <f>M36*(1+N39)</f>
        <v>322077.36000000004</v>
      </c>
      <c r="O36" s="272">
        <f t="shared" ref="O36" si="39">N36*(1+O39)</f>
        <v>322077.36000000004</v>
      </c>
      <c r="P36" s="272">
        <f t="shared" ref="P36" si="40">O36*(1+P39)</f>
        <v>370388.96400000004</v>
      </c>
      <c r="Q36" s="272">
        <f t="shared" ref="Q36" si="41">P36*(1+Q39)</f>
        <v>425947.30859999999</v>
      </c>
      <c r="R36" s="272">
        <f t="shared" ref="R36" si="42">Q36*(1+R39)</f>
        <v>489839.40488999995</v>
      </c>
      <c r="S36" s="272">
        <f t="shared" ref="S36" si="43">R36*(1+S39)</f>
        <v>563315.31562349992</v>
      </c>
      <c r="T36" s="272">
        <f t="shared" ref="T36" si="44">S36*(1+T39)</f>
        <v>647812.61296702491</v>
      </c>
    </row>
    <row r="37" spans="1:21" ht="18" customHeight="1" thickBot="1">
      <c r="A37" s="59" t="s">
        <v>490</v>
      </c>
      <c r="K37" s="272">
        <v>9339</v>
      </c>
      <c r="L37" s="272">
        <v>13819</v>
      </c>
      <c r="M37" s="272">
        <v>26208</v>
      </c>
      <c r="N37" s="272">
        <f>N36*N38/1000000</f>
        <v>37016.179200000006</v>
      </c>
      <c r="O37" s="616">
        <f>O36*O38/1000000</f>
        <v>37756.502784000011</v>
      </c>
      <c r="P37" s="272">
        <f t="shared" ref="P37:R37" si="45">P36*P38/1000000</f>
        <v>46459.37667571201</v>
      </c>
      <c r="Q37" s="272">
        <f t="shared" si="45"/>
        <v>56099.697335922247</v>
      </c>
      <c r="R37" s="272">
        <f t="shared" si="45"/>
        <v>67740.384533126111</v>
      </c>
      <c r="S37" s="272">
        <f t="shared" ref="S37:T37" si="46">S36*S38/1000000</f>
        <v>81796.514323749783</v>
      </c>
      <c r="T37" s="272">
        <f t="shared" si="46"/>
        <v>98769.291045927894</v>
      </c>
      <c r="U37" s="59">
        <f>(T37/P37)^(1/4)-1</f>
        <v>0.20750000000000002</v>
      </c>
    </row>
    <row r="38" spans="1:21" ht="18" customHeight="1">
      <c r="A38" s="59" t="s">
        <v>977</v>
      </c>
      <c r="J38" s="272"/>
      <c r="K38" s="272">
        <f t="shared" ref="K38:L38" si="47">K37/K36*1000000</f>
        <v>91466.460339069366</v>
      </c>
      <c r="L38" s="272">
        <f t="shared" si="47"/>
        <v>92779.836717155442</v>
      </c>
      <c r="M38" s="272">
        <f t="shared" ref="M38" si="48">M37/M36*1000000</f>
        <v>107410.71648128262</v>
      </c>
      <c r="N38" s="272">
        <f>M38*(1+N40)</f>
        <v>114929.46663497241</v>
      </c>
      <c r="O38" s="272">
        <f t="shared" ref="O38" si="49">N38*(1+O40)</f>
        <v>117228.05596767187</v>
      </c>
      <c r="P38" s="272">
        <f t="shared" ref="P38" si="50">O38*(1+P40)</f>
        <v>125434.01988540891</v>
      </c>
      <c r="Q38" s="272">
        <f t="shared" ref="Q38" si="51">P38*(1+Q40)</f>
        <v>131705.72087967937</v>
      </c>
      <c r="R38" s="272">
        <f t="shared" ref="R38" si="52">Q38*(1+R40)</f>
        <v>138291.00692366334</v>
      </c>
      <c r="S38" s="272">
        <f t="shared" ref="S38" si="53">R38*(1+S40)</f>
        <v>145205.55726984653</v>
      </c>
      <c r="T38" s="272">
        <f t="shared" ref="T38" si="54">S38*(1+T40)</f>
        <v>152465.83513333887</v>
      </c>
    </row>
    <row r="39" spans="1:21" ht="18" customHeight="1">
      <c r="A39" s="59" t="s">
        <v>978</v>
      </c>
      <c r="B39" s="272"/>
      <c r="C39" s="272"/>
      <c r="D39" s="272"/>
      <c r="E39" s="272"/>
      <c r="F39" s="272"/>
      <c r="G39" s="272"/>
      <c r="H39" s="272"/>
      <c r="I39" s="272"/>
      <c r="J39" s="272"/>
      <c r="K39" s="272"/>
      <c r="L39" s="402">
        <f>L37/K37-1</f>
        <v>0.47970874825998511</v>
      </c>
      <c r="M39" s="402">
        <f>M37/L37-1</f>
        <v>0.89651928504233291</v>
      </c>
      <c r="N39" s="271">
        <v>0.32</v>
      </c>
      <c r="O39" s="271">
        <v>0</v>
      </c>
      <c r="P39" s="271">
        <v>0.15</v>
      </c>
      <c r="Q39" s="271">
        <v>0.15</v>
      </c>
      <c r="R39" s="271">
        <v>0.15</v>
      </c>
      <c r="S39" s="271">
        <v>0.15</v>
      </c>
      <c r="T39" s="271">
        <v>0.15</v>
      </c>
    </row>
    <row r="40" spans="1:21" ht="18" customHeight="1">
      <c r="A40" s="606" t="s">
        <v>979</v>
      </c>
      <c r="B40" s="272"/>
      <c r="C40" s="272"/>
      <c r="D40" s="272"/>
      <c r="E40" s="272"/>
      <c r="F40" s="272"/>
      <c r="G40" s="272"/>
      <c r="H40" s="272"/>
      <c r="I40" s="272"/>
      <c r="J40" s="272"/>
      <c r="K40" s="272"/>
      <c r="L40" s="402">
        <f>L38/K38-1</f>
        <v>1.435910357979675E-2</v>
      </c>
      <c r="M40" s="402">
        <f>M38/L38-1</f>
        <v>0.15769460565801863</v>
      </c>
      <c r="N40" s="402">
        <v>7.0000000000000007E-2</v>
      </c>
      <c r="O40" s="402">
        <v>0.02</v>
      </c>
      <c r="P40" s="402">
        <v>7.0000000000000007E-2</v>
      </c>
      <c r="Q40" s="402">
        <v>0.05</v>
      </c>
      <c r="R40" s="402">
        <v>0.05</v>
      </c>
      <c r="S40" s="402">
        <v>0.05</v>
      </c>
      <c r="T40" s="402">
        <v>0.05</v>
      </c>
    </row>
    <row r="41" spans="1:21" ht="18" customHeight="1">
      <c r="A41" s="369" t="s">
        <v>984</v>
      </c>
      <c r="B41" s="369"/>
      <c r="C41" s="369"/>
      <c r="D41" s="369"/>
      <c r="E41" s="369"/>
      <c r="F41" s="369"/>
      <c r="G41" s="369"/>
      <c r="H41" s="369"/>
      <c r="I41" s="369"/>
      <c r="J41" s="369"/>
      <c r="K41" s="369"/>
      <c r="L41" s="369"/>
      <c r="M41" s="369"/>
      <c r="N41" s="369"/>
      <c r="O41" s="369"/>
      <c r="P41" s="369"/>
      <c r="Q41" s="369"/>
      <c r="R41" s="369"/>
      <c r="S41" s="369"/>
      <c r="T41" s="369"/>
    </row>
    <row r="42" spans="1:21" ht="18" customHeight="1">
      <c r="A42" s="59" t="s">
        <v>973</v>
      </c>
      <c r="B42" s="272">
        <v>8780000</v>
      </c>
      <c r="C42" s="272"/>
      <c r="D42" s="272"/>
      <c r="E42" s="272"/>
      <c r="F42" s="272"/>
      <c r="G42" s="272"/>
      <c r="H42" s="272"/>
      <c r="I42" s="272"/>
      <c r="J42" s="272"/>
      <c r="K42" s="272"/>
      <c r="L42" s="272"/>
      <c r="M42" s="272"/>
      <c r="O42" s="325"/>
    </row>
    <row r="43" spans="1:21" ht="18" customHeight="1">
      <c r="A43" s="59" t="s">
        <v>974</v>
      </c>
      <c r="B43" s="272">
        <v>650000</v>
      </c>
      <c r="C43" s="272"/>
      <c r="D43" s="272"/>
      <c r="E43" s="272"/>
      <c r="F43" s="272"/>
      <c r="G43" s="272"/>
      <c r="H43" s="272"/>
      <c r="I43" s="272"/>
      <c r="J43" s="272"/>
      <c r="K43" s="272"/>
      <c r="L43" s="272"/>
      <c r="M43" s="272"/>
    </row>
    <row r="44" spans="1:21" ht="18" customHeight="1">
      <c r="A44" s="59" t="s">
        <v>975</v>
      </c>
      <c r="B44" s="480">
        <v>43952</v>
      </c>
      <c r="C44" s="272"/>
      <c r="D44" s="272"/>
      <c r="E44" s="272"/>
      <c r="F44" s="272"/>
      <c r="G44" s="272"/>
      <c r="H44" s="272"/>
      <c r="I44" s="272"/>
      <c r="J44" s="272"/>
      <c r="K44" s="272">
        <f>B42-SUM(K45:N45)</f>
        <v>6614491.0800000001</v>
      </c>
      <c r="L44" s="272"/>
      <c r="M44" s="272"/>
      <c r="O44" s="270">
        <f>O45/12</f>
        <v>95656.267466666657</v>
      </c>
      <c r="S44" s="59">
        <f>(S47/O47)^(1/4)-1</f>
        <v>5.634045759822226E-2</v>
      </c>
      <c r="T44" s="59">
        <f>(T47/P47)^(1/4)-1</f>
        <v>4.0586561216982897E-2</v>
      </c>
    </row>
    <row r="45" spans="1:21" ht="18" customHeight="1" thickBot="1">
      <c r="A45" s="59" t="s">
        <v>976</v>
      </c>
      <c r="K45" s="272">
        <v>99668</v>
      </c>
      <c r="L45" s="272">
        <v>732857</v>
      </c>
      <c r="M45" s="272">
        <v>628766</v>
      </c>
      <c r="N45" s="272">
        <f>M45*(1+N48)</f>
        <v>704217.92</v>
      </c>
      <c r="O45" s="272">
        <f t="shared" ref="O45" si="55">N45*(1+O48)</f>
        <v>1147875.2095999999</v>
      </c>
      <c r="P45" s="272">
        <f t="shared" ref="P45" si="56">O45*(1+P48)</f>
        <v>975693.92815999989</v>
      </c>
      <c r="Q45" s="272">
        <f t="shared" ref="Q45" si="57">P45*(1+Q48)</f>
        <v>1170832.7137919997</v>
      </c>
      <c r="R45" s="272">
        <f t="shared" ref="R45" si="58">Q45*(1+R48)</f>
        <v>1346457.6208607997</v>
      </c>
      <c r="S45" s="272">
        <f t="shared" ref="S45" si="59">R45*(1+S48)</f>
        <v>1481103.3829468798</v>
      </c>
      <c r="T45" s="272">
        <f t="shared" ref="T45" si="60">S45*(1+T48)</f>
        <v>1629213.721241568</v>
      </c>
    </row>
    <row r="46" spans="1:21" ht="18" customHeight="1" thickBot="1">
      <c r="A46" s="59" t="s">
        <v>490</v>
      </c>
      <c r="K46" s="272">
        <v>7309</v>
      </c>
      <c r="L46" s="272">
        <v>66958</v>
      </c>
      <c r="M46" s="272">
        <v>61077</v>
      </c>
      <c r="N46" s="272">
        <f>N45*N47/1000000</f>
        <v>76614.988800000021</v>
      </c>
      <c r="O46" s="616">
        <f t="shared" ref="O46:R46" si="61">O45*O47/1000000</f>
        <v>129709.89868479999</v>
      </c>
      <c r="P46" s="272">
        <f t="shared" si="61"/>
        <v>117083.27137919998</v>
      </c>
      <c r="Q46" s="272">
        <f t="shared" si="61"/>
        <v>148695.75465158396</v>
      </c>
      <c r="R46" s="272">
        <f t="shared" si="61"/>
        <v>180425.32119534718</v>
      </c>
      <c r="S46" s="272">
        <f t="shared" ref="S46:T46" si="62">S45*S47/1000000</f>
        <v>208391.245980626</v>
      </c>
      <c r="T46" s="272">
        <f t="shared" si="62"/>
        <v>229230.37057868863</v>
      </c>
      <c r="U46" s="59">
        <f>(T46/P46)^(1/4)-1</f>
        <v>0.18288990926663629</v>
      </c>
    </row>
    <row r="47" spans="1:21" ht="18" customHeight="1">
      <c r="A47" s="59" t="s">
        <v>977</v>
      </c>
      <c r="J47" s="272"/>
      <c r="K47" s="272">
        <f t="shared" ref="K47:L47" si="63">K46/K45*1000000</f>
        <v>73333.467110807876</v>
      </c>
      <c r="L47" s="272">
        <f t="shared" si="63"/>
        <v>91365.709817877156</v>
      </c>
      <c r="M47" s="272">
        <f t="shared" ref="M47" si="64">M46/M45*1000000</f>
        <v>97137.885954393205</v>
      </c>
      <c r="N47" s="272">
        <f>M47*(1+N49)</f>
        <v>108794.4322689204</v>
      </c>
      <c r="O47" s="272">
        <f>(155*40%+85*60%)*1000</f>
        <v>113000</v>
      </c>
      <c r="P47" s="272">
        <f>(155*50%+85*50%)*1000</f>
        <v>120000</v>
      </c>
      <c r="Q47" s="272">
        <f>(155*60%+85*40%)*1000</f>
        <v>127000</v>
      </c>
      <c r="R47" s="272">
        <f>(155*70%+85*30%)*1000</f>
        <v>134000</v>
      </c>
      <c r="S47" s="272">
        <f>(155*70%+85*30%)*1000*1.05</f>
        <v>140700</v>
      </c>
      <c r="T47" s="272">
        <f>(155*70%+85*30%)*1000*1.05</f>
        <v>140700</v>
      </c>
    </row>
    <row r="48" spans="1:21" ht="18" customHeight="1">
      <c r="A48" s="59" t="s">
        <v>978</v>
      </c>
      <c r="B48" s="272"/>
      <c r="C48" s="272"/>
      <c r="D48" s="272"/>
      <c r="E48" s="272"/>
      <c r="F48" s="272"/>
      <c r="G48" s="272"/>
      <c r="H48" s="272"/>
      <c r="I48" s="272"/>
      <c r="J48" s="272"/>
      <c r="K48" s="272"/>
      <c r="L48" s="402">
        <f>L46/K46-1</f>
        <v>8.1610343412231501</v>
      </c>
      <c r="M48" s="402">
        <f>M46/L46-1</f>
        <v>-8.783117775321847E-2</v>
      </c>
      <c r="N48" s="271">
        <v>0.12</v>
      </c>
      <c r="O48" s="271">
        <v>0.63</v>
      </c>
      <c r="P48" s="271">
        <v>-0.15</v>
      </c>
      <c r="Q48" s="271">
        <v>0.2</v>
      </c>
      <c r="R48" s="382">
        <v>0.15</v>
      </c>
      <c r="S48" s="382">
        <v>0.1</v>
      </c>
      <c r="T48" s="382">
        <v>0.1</v>
      </c>
    </row>
    <row r="49" spans="1:21" ht="18" customHeight="1">
      <c r="A49" s="59" t="s">
        <v>979</v>
      </c>
      <c r="B49" s="272"/>
      <c r="C49" s="272"/>
      <c r="D49" s="272"/>
      <c r="E49" s="272"/>
      <c r="F49" s="272"/>
      <c r="G49" s="272"/>
      <c r="H49" s="272"/>
      <c r="I49" s="272"/>
      <c r="J49" s="272"/>
      <c r="K49" s="272"/>
      <c r="L49" s="402">
        <f>L47/K47-1</f>
        <v>0.24589377016393232</v>
      </c>
      <c r="M49" s="402">
        <f>M47/L47-1</f>
        <v>6.3176613502176515E-2</v>
      </c>
      <c r="N49" s="402">
        <v>0.12</v>
      </c>
      <c r="O49" s="402">
        <v>0.15</v>
      </c>
      <c r="P49" s="402">
        <v>0.05</v>
      </c>
      <c r="Q49" s="402">
        <f t="shared" ref="Q49" si="65">Q47/P47-1</f>
        <v>5.8333333333333348E-2</v>
      </c>
      <c r="R49" s="402">
        <f t="shared" ref="R49" si="66">R47/Q47-1</f>
        <v>5.5118110236220375E-2</v>
      </c>
      <c r="S49" s="402">
        <f t="shared" ref="S49" si="67">S47/R47-1</f>
        <v>5.0000000000000044E-2</v>
      </c>
      <c r="T49" s="402">
        <f t="shared" ref="T49" si="68">T47/S47-1</f>
        <v>0</v>
      </c>
    </row>
    <row r="50" spans="1:21" ht="15.75" customHeight="1">
      <c r="B50" s="272"/>
      <c r="C50" s="272"/>
      <c r="D50" s="272"/>
      <c r="E50" s="272"/>
      <c r="F50" s="272"/>
      <c r="G50" s="272"/>
      <c r="H50" s="272"/>
      <c r="I50" s="272"/>
      <c r="J50" s="272"/>
      <c r="K50" s="272"/>
      <c r="L50" s="402"/>
      <c r="M50" s="402"/>
      <c r="O50" s="617">
        <f>O47/N47-1</f>
        <v>3.8656093362242849E-2</v>
      </c>
      <c r="P50" s="617">
        <f t="shared" ref="P50:S50" si="69">P47/O47-1</f>
        <v>6.1946902654867353E-2</v>
      </c>
      <c r="Q50" s="617">
        <f t="shared" si="69"/>
        <v>5.8333333333333348E-2</v>
      </c>
      <c r="R50" s="617">
        <f t="shared" si="69"/>
        <v>5.5118110236220375E-2</v>
      </c>
      <c r="S50" s="617">
        <f t="shared" si="69"/>
        <v>5.0000000000000044E-2</v>
      </c>
    </row>
    <row r="51" spans="1:21" ht="17.25" customHeight="1">
      <c r="A51" s="369" t="s">
        <v>985</v>
      </c>
      <c r="B51" s="369"/>
      <c r="C51" s="369"/>
      <c r="D51" s="369"/>
      <c r="E51" s="369"/>
      <c r="F51" s="369"/>
      <c r="G51" s="369"/>
      <c r="H51" s="369"/>
      <c r="I51" s="369"/>
      <c r="J51" s="369"/>
      <c r="K51" s="369"/>
      <c r="L51" s="369"/>
      <c r="M51" s="369"/>
      <c r="N51" s="369"/>
      <c r="O51" s="369"/>
      <c r="P51" s="369"/>
      <c r="Q51" s="369"/>
      <c r="R51" s="369"/>
      <c r="S51" s="369"/>
      <c r="T51" s="369"/>
    </row>
    <row r="52" spans="1:21" ht="18" customHeight="1">
      <c r="A52" s="59" t="s">
        <v>986</v>
      </c>
      <c r="B52" s="272">
        <v>600810</v>
      </c>
      <c r="C52" s="272">
        <v>950677</v>
      </c>
      <c r="D52" s="272">
        <v>777394</v>
      </c>
      <c r="E52" s="272">
        <v>587757</v>
      </c>
      <c r="F52" s="272">
        <v>784830</v>
      </c>
      <c r="G52" s="272">
        <v>838604</v>
      </c>
      <c r="H52" s="272">
        <v>793284</v>
      </c>
      <c r="I52" s="272">
        <v>881085</v>
      </c>
      <c r="J52" s="272">
        <v>1437974</v>
      </c>
      <c r="K52" s="272"/>
      <c r="L52" s="272"/>
      <c r="M52" s="272"/>
      <c r="N52" s="59">
        <f>N46/N55</f>
        <v>0.44780108761972121</v>
      </c>
      <c r="O52" s="59">
        <f>O46/O55</f>
        <v>0.62781061894413925</v>
      </c>
    </row>
    <row r="53" spans="1:21" ht="18" customHeight="1">
      <c r="A53" s="59" t="s">
        <v>782</v>
      </c>
      <c r="B53" s="272">
        <v>19679</v>
      </c>
      <c r="C53" s="272">
        <v>14315</v>
      </c>
      <c r="D53" s="272">
        <v>319941</v>
      </c>
      <c r="E53" s="272">
        <v>76482</v>
      </c>
      <c r="F53" s="272">
        <v>156354</v>
      </c>
      <c r="G53" s="272">
        <v>167322</v>
      </c>
      <c r="H53" s="272">
        <v>362200</v>
      </c>
      <c r="I53" s="272">
        <v>367230</v>
      </c>
      <c r="J53" s="272">
        <v>409758</v>
      </c>
      <c r="K53" s="272"/>
      <c r="L53" s="272"/>
      <c r="M53" s="272"/>
    </row>
    <row r="54" spans="1:21" ht="18" customHeight="1">
      <c r="A54" s="59" t="s">
        <v>987</v>
      </c>
      <c r="B54" s="272">
        <f>SUM(B52:B53)</f>
        <v>620489</v>
      </c>
      <c r="C54" s="272">
        <f t="shared" ref="C54:J54" si="70">SUM(C52:C53)</f>
        <v>964992</v>
      </c>
      <c r="D54" s="272">
        <f t="shared" si="70"/>
        <v>1097335</v>
      </c>
      <c r="E54" s="272">
        <f t="shared" si="70"/>
        <v>664239</v>
      </c>
      <c r="F54" s="272">
        <f t="shared" si="70"/>
        <v>941184</v>
      </c>
      <c r="G54" s="272">
        <f t="shared" si="70"/>
        <v>1005926</v>
      </c>
      <c r="H54" s="272">
        <f t="shared" si="70"/>
        <v>1155484</v>
      </c>
      <c r="I54" s="272">
        <f t="shared" si="70"/>
        <v>1248315</v>
      </c>
      <c r="J54" s="272">
        <f t="shared" si="70"/>
        <v>1847732</v>
      </c>
      <c r="K54" s="272">
        <v>1501000</v>
      </c>
      <c r="L54" s="272">
        <v>1736000</v>
      </c>
      <c r="M54" s="272">
        <f>M8+M17+M26+M36+M45</f>
        <v>1429396</v>
      </c>
      <c r="N54" s="272">
        <f>N8+N17+N26+N36+N45</f>
        <v>1587083.9300000002</v>
      </c>
      <c r="O54" s="272">
        <f t="shared" ref="O54:S54" si="71">O8+O17+O26+O36+O45</f>
        <v>1770581.0845999999</v>
      </c>
      <c r="P54" s="272">
        <f t="shared" si="71"/>
        <v>1531206.8329099999</v>
      </c>
      <c r="Q54" s="272">
        <f t="shared" si="71"/>
        <v>1791160.1601794998</v>
      </c>
      <c r="R54" s="272">
        <f t="shared" si="71"/>
        <v>2040396.1704276747</v>
      </c>
      <c r="S54" s="272">
        <f t="shared" si="71"/>
        <v>2258722.8004810987</v>
      </c>
      <c r="T54" s="272">
        <f t="shared" ref="T54" si="72">T8+T17+T26+T36+T45</f>
        <v>2502045.6412148476</v>
      </c>
      <c r="U54" s="59">
        <f>P54/O54-1</f>
        <v>-0.13519530609019137</v>
      </c>
    </row>
    <row r="55" spans="1:21" ht="18" customHeight="1">
      <c r="A55" s="237" t="s">
        <v>988</v>
      </c>
      <c r="B55" s="354"/>
      <c r="C55" s="354"/>
      <c r="D55" s="354"/>
      <c r="E55" s="354"/>
      <c r="F55" s="354"/>
      <c r="G55" s="354"/>
      <c r="H55" s="354">
        <v>83693</v>
      </c>
      <c r="I55" s="354">
        <v>101352</v>
      </c>
      <c r="J55" s="354">
        <v>236308</v>
      </c>
      <c r="K55" s="354">
        <v>219475</v>
      </c>
      <c r="L55" s="354">
        <v>215475</v>
      </c>
      <c r="M55" s="482">
        <f>M7+M16+M28+M37+M46</f>
        <v>148127</v>
      </c>
      <c r="N55" s="482">
        <f>N7+N16+N28+N37+N46</f>
        <v>171091.56480000002</v>
      </c>
      <c r="O55" s="482">
        <f>O7+O16+O28+O37+O46</f>
        <v>206606.72943529999</v>
      </c>
      <c r="P55" s="482">
        <f t="shared" ref="P55:R55" si="73">P7+P16+P28+P37+P46</f>
        <v>193625.82463797822</v>
      </c>
      <c r="Q55" s="482">
        <f t="shared" si="73"/>
        <v>237962.15417033673</v>
      </c>
      <c r="R55" s="482">
        <f t="shared" si="73"/>
        <v>284731.99488504394</v>
      </c>
      <c r="S55" s="482">
        <f t="shared" ref="S55:T55" si="74">S7+S16+S28+S37+S46</f>
        <v>330502.09409949498</v>
      </c>
      <c r="T55" s="482">
        <f t="shared" si="74"/>
        <v>372446.21463373542</v>
      </c>
      <c r="U55" s="59">
        <f>(T55/P55)^(1/4)-1</f>
        <v>0.17767395663492769</v>
      </c>
    </row>
    <row r="56" spans="1:21" ht="18" customHeight="1">
      <c r="A56" s="59" t="s">
        <v>989</v>
      </c>
      <c r="H56" s="272">
        <v>40490</v>
      </c>
      <c r="I56" s="272">
        <v>44700</v>
      </c>
      <c r="J56" s="272">
        <v>57467</v>
      </c>
      <c r="K56" s="272">
        <v>72220</v>
      </c>
      <c r="L56" s="272">
        <v>89510</v>
      </c>
      <c r="M56" s="272">
        <f>L56</f>
        <v>89510</v>
      </c>
      <c r="N56" s="272">
        <f>M56+4259</f>
        <v>93769</v>
      </c>
    </row>
    <row r="57" spans="1:21" ht="18" customHeight="1">
      <c r="A57" s="59" t="s">
        <v>978</v>
      </c>
      <c r="H57" s="425">
        <f>H54/G54-1</f>
        <v>0.14867694045088808</v>
      </c>
      <c r="I57" s="425">
        <f t="shared" ref="I57" si="75">I54/H54-1</f>
        <v>8.033949409944241E-2</v>
      </c>
      <c r="J57" s="425">
        <f t="shared" ref="J57:J59" si="76">J54/I54-1</f>
        <v>0.48018088383140478</v>
      </c>
      <c r="K57" s="425">
        <f t="shared" ref="K57:K59" si="77">K54/J54-1</f>
        <v>-0.18765275483674038</v>
      </c>
      <c r="L57" s="425">
        <f t="shared" ref="L57:L58" si="78">L54/K54-1</f>
        <v>0.15656229180546299</v>
      </c>
      <c r="M57" s="425">
        <f t="shared" ref="M57:M58" si="79">M54/L54-1</f>
        <v>-0.17661520737327185</v>
      </c>
      <c r="N57" s="425">
        <f t="shared" ref="N57:N58" si="80">N54/M54-1</f>
        <v>0.1103178755222487</v>
      </c>
      <c r="O57" s="425">
        <f t="shared" ref="O57:O58" si="81">O54/N54-1</f>
        <v>0.11561906155775881</v>
      </c>
      <c r="P57" s="425">
        <f t="shared" ref="P57:P58" si="82">P54/O54-1</f>
        <v>-0.13519530609019137</v>
      </c>
      <c r="Q57" s="425">
        <f t="shared" ref="Q57:Q58" si="83">Q54/P54-1</f>
        <v>0.16977022416721366</v>
      </c>
      <c r="R57" s="425">
        <f t="shared" ref="R57:R58" si="84">R54/Q54-1</f>
        <v>0.13914780810176008</v>
      </c>
      <c r="S57" s="425">
        <f t="shared" ref="S57:S58" si="85">S54/R54-1</f>
        <v>0.10700207793845351</v>
      </c>
      <c r="T57" s="425">
        <f t="shared" ref="T57:T58" si="86">T54/S54-1</f>
        <v>0.10772585315999028</v>
      </c>
    </row>
    <row r="58" spans="1:21" ht="18" customHeight="1">
      <c r="A58" s="59" t="s">
        <v>990</v>
      </c>
      <c r="I58" s="425">
        <f>I55/H55-1</f>
        <v>0.21099733549998212</v>
      </c>
      <c r="J58" s="425">
        <f t="shared" si="76"/>
        <v>1.3315573446996605</v>
      </c>
      <c r="K58" s="425">
        <f t="shared" si="77"/>
        <v>-7.1233305685799886E-2</v>
      </c>
      <c r="L58" s="425">
        <f t="shared" si="78"/>
        <v>-1.8225310399817785E-2</v>
      </c>
      <c r="M58" s="425">
        <f t="shared" si="79"/>
        <v>-0.31255598097227055</v>
      </c>
      <c r="N58" s="425">
        <f t="shared" si="80"/>
        <v>0.15503294335266382</v>
      </c>
      <c r="O58" s="425">
        <f t="shared" si="81"/>
        <v>0.20757986915845872</v>
      </c>
      <c r="P58" s="425">
        <f t="shared" si="82"/>
        <v>-6.2829051274376879E-2</v>
      </c>
      <c r="Q58" s="425">
        <f t="shared" si="83"/>
        <v>0.22897942263256477</v>
      </c>
      <c r="R58" s="425">
        <f t="shared" si="84"/>
        <v>0.1965431893057612</v>
      </c>
      <c r="S58" s="425">
        <f t="shared" si="85"/>
        <v>0.16074800175839044</v>
      </c>
      <c r="T58" s="425">
        <f t="shared" si="86"/>
        <v>0.12691030188030661</v>
      </c>
    </row>
    <row r="59" spans="1:21" ht="18" customHeight="1">
      <c r="A59" s="59" t="s">
        <v>991</v>
      </c>
      <c r="I59" s="425">
        <f>I56/H56-1</f>
        <v>0.10397629044208445</v>
      </c>
      <c r="J59" s="425">
        <f t="shared" si="76"/>
        <v>0.28561521252796429</v>
      </c>
      <c r="K59" s="425">
        <f t="shared" si="77"/>
        <v>0.2567212487166548</v>
      </c>
      <c r="L59" s="425">
        <f>L56/K56-1</f>
        <v>0.23940736638050408</v>
      </c>
      <c r="M59" s="425">
        <f>M56/L56-1</f>
        <v>0</v>
      </c>
      <c r="N59" s="425">
        <f>N56/M56-1</f>
        <v>4.7581275835102188E-2</v>
      </c>
    </row>
    <row r="60" spans="1:21" ht="18" customHeight="1">
      <c r="I60" s="402">
        <f>CORREL(I57:N57,I59:N59)</f>
        <v>0.45725328312376828</v>
      </c>
    </row>
    <row r="61" spans="1:21" ht="18" customHeight="1">
      <c r="A61" s="237" t="s">
        <v>981</v>
      </c>
      <c r="I61" s="425">
        <f>CORREL(I58:N58,I59:N59)</f>
        <v>0.53305263164294825</v>
      </c>
    </row>
    <row r="62" spans="1:21" ht="18" customHeight="1">
      <c r="A62" s="59" t="s">
        <v>980</v>
      </c>
      <c r="I62" s="425">
        <f>CORREL(I55:N55,I56:N56)</f>
        <v>0.22832320134235748</v>
      </c>
      <c r="J62" s="194">
        <f>J17+I17</f>
        <v>475891</v>
      </c>
      <c r="K62" s="194">
        <f>J62+K17</f>
        <v>806336</v>
      </c>
      <c r="L62" s="194">
        <f>K62+L17</f>
        <v>990553</v>
      </c>
      <c r="M62" s="194">
        <f>L62+M17</f>
        <v>1226948</v>
      </c>
      <c r="N62" s="194">
        <f t="shared" ref="N62:T62" si="87">M62+N17</f>
        <v>1496438.3</v>
      </c>
      <c r="O62" s="194">
        <f t="shared" ref="O62" si="88">N62+O17</f>
        <v>1546158.3</v>
      </c>
      <c r="P62" s="194">
        <f t="shared" ref="P62" si="89">O62+P17</f>
        <v>1546158.3</v>
      </c>
      <c r="Q62" s="194">
        <f t="shared" ref="Q62" si="90">P62+Q17</f>
        <v>1546158.3</v>
      </c>
      <c r="R62" s="194">
        <f t="shared" ref="R62" si="91">Q62+R17</f>
        <v>1546158.3</v>
      </c>
      <c r="S62" s="194">
        <f t="shared" ref="S62" si="92">R62+S17</f>
        <v>1546158.3</v>
      </c>
      <c r="T62" s="194">
        <f t="shared" si="87"/>
        <v>1546158.3</v>
      </c>
    </row>
    <row r="63" spans="1:21" ht="18" customHeight="1">
      <c r="A63" s="59" t="s">
        <v>982</v>
      </c>
      <c r="K63" s="194">
        <f>K26</f>
        <v>43930</v>
      </c>
      <c r="L63" s="194">
        <f>K63+L26</f>
        <v>140629</v>
      </c>
      <c r="M63" s="194">
        <f>L63+M26</f>
        <v>279564</v>
      </c>
      <c r="N63" s="194">
        <f>M63+N26</f>
        <v>475462.35</v>
      </c>
      <c r="O63" s="194">
        <f t="shared" ref="O63" si="93">N63+O26</f>
        <v>651770.86499999999</v>
      </c>
      <c r="P63" s="194">
        <f t="shared" ref="P63" si="94">O63+P26</f>
        <v>836894.80574999994</v>
      </c>
      <c r="Q63" s="194">
        <f t="shared" ref="Q63" si="95">P63+Q26</f>
        <v>1031274.9435375</v>
      </c>
      <c r="R63" s="194">
        <f t="shared" ref="R63" si="96">Q63+R26</f>
        <v>1235374.0882143751</v>
      </c>
      <c r="S63" s="194">
        <f t="shared" ref="S63" si="97">R63+S26</f>
        <v>1449678.1901250938</v>
      </c>
      <c r="T63" s="194">
        <f t="shared" ref="T63" si="98">S63+T26</f>
        <v>1674697.4971313486</v>
      </c>
    </row>
    <row r="64" spans="1:21" ht="18" customHeight="1">
      <c r="A64" s="59" t="s">
        <v>983</v>
      </c>
      <c r="K64" s="194">
        <f>K36</f>
        <v>102103</v>
      </c>
      <c r="L64" s="194">
        <f>K64+L36</f>
        <v>251047</v>
      </c>
      <c r="M64" s="194">
        <f>L64+M36</f>
        <v>495045</v>
      </c>
      <c r="N64" s="194">
        <f>M64+N36</f>
        <v>817122.3600000001</v>
      </c>
      <c r="O64" s="194">
        <f t="shared" ref="O64" si="99">N64+O36</f>
        <v>1139199.7200000002</v>
      </c>
      <c r="P64" s="194">
        <f t="shared" ref="P64" si="100">O64+P36</f>
        <v>1509588.6840000004</v>
      </c>
      <c r="Q64" s="194">
        <f t="shared" ref="Q64" si="101">P64+Q36</f>
        <v>1935535.9926000005</v>
      </c>
      <c r="R64" s="194">
        <f t="shared" ref="R64" si="102">Q64+R36</f>
        <v>2425375.3974900004</v>
      </c>
      <c r="S64" s="194">
        <f t="shared" ref="S64" si="103">R64+S36</f>
        <v>2988690.7131135003</v>
      </c>
      <c r="T64" s="194">
        <f t="shared" ref="T64" si="104">S64+T36</f>
        <v>3636503.3260805253</v>
      </c>
    </row>
    <row r="65" spans="1:20" ht="18" customHeight="1">
      <c r="A65" s="59" t="s">
        <v>984</v>
      </c>
      <c r="K65" s="194">
        <f>K45</f>
        <v>99668</v>
      </c>
      <c r="L65" s="194">
        <f>K65+L45</f>
        <v>832525</v>
      </c>
      <c r="M65" s="194">
        <f>L65+M45</f>
        <v>1461291</v>
      </c>
      <c r="N65" s="194">
        <f t="shared" ref="N65:T65" si="105">M65+N45</f>
        <v>2165508.92</v>
      </c>
      <c r="O65" s="194">
        <f t="shared" ref="O65" si="106">N65+O45</f>
        <v>3313384.1295999996</v>
      </c>
      <c r="P65" s="194">
        <f t="shared" ref="P65" si="107">O65+P45</f>
        <v>4289078.0577599993</v>
      </c>
      <c r="Q65" s="194">
        <f t="shared" ref="Q65" si="108">P65+Q45</f>
        <v>5459910.7715519993</v>
      </c>
      <c r="R65" s="194">
        <f t="shared" ref="R65" si="109">Q65+R45</f>
        <v>6806368.3924127985</v>
      </c>
      <c r="S65" s="194">
        <f t="shared" ref="S65" si="110">R65+S45</f>
        <v>8287471.7753596781</v>
      </c>
      <c r="T65" s="194">
        <f t="shared" si="105"/>
        <v>9916685.4966012463</v>
      </c>
    </row>
    <row r="67" spans="1:20" ht="18" customHeight="1">
      <c r="A67" s="237" t="s">
        <v>992</v>
      </c>
    </row>
    <row r="68" spans="1:20" ht="18" customHeight="1">
      <c r="A68" s="59" t="s">
        <v>793</v>
      </c>
      <c r="J68" s="194">
        <f t="shared" ref="J68:S68" si="111">$B$13-J62</f>
        <v>4009109</v>
      </c>
      <c r="K68" s="194">
        <f t="shared" si="111"/>
        <v>3678664</v>
      </c>
      <c r="L68" s="194">
        <f t="shared" si="111"/>
        <v>3494447</v>
      </c>
      <c r="M68" s="194">
        <f t="shared" si="111"/>
        <v>3258052</v>
      </c>
      <c r="N68" s="194">
        <f t="shared" si="111"/>
        <v>2988561.7</v>
      </c>
      <c r="O68" s="194">
        <f t="shared" si="111"/>
        <v>2938841.7</v>
      </c>
      <c r="P68" s="194">
        <f t="shared" si="111"/>
        <v>2938841.7</v>
      </c>
      <c r="Q68" s="194">
        <f t="shared" si="111"/>
        <v>2938841.7</v>
      </c>
      <c r="R68" s="194">
        <f t="shared" si="111"/>
        <v>2938841.7</v>
      </c>
      <c r="S68" s="194">
        <f t="shared" si="111"/>
        <v>2938841.7</v>
      </c>
      <c r="T68" s="194">
        <f t="shared" ref="T68" si="112">$B$13-T62</f>
        <v>2938841.7</v>
      </c>
    </row>
    <row r="69" spans="1:20" ht="18" customHeight="1">
      <c r="A69" s="59" t="s">
        <v>893</v>
      </c>
      <c r="K69" s="194">
        <f>$B$23-K63</f>
        <v>7456070</v>
      </c>
      <c r="L69" s="194">
        <f t="shared" ref="L69:S69" si="113">$B$23-L63</f>
        <v>7359371</v>
      </c>
      <c r="M69" s="194">
        <f t="shared" si="113"/>
        <v>7220436</v>
      </c>
      <c r="N69" s="194">
        <f t="shared" si="113"/>
        <v>7024537.6500000004</v>
      </c>
      <c r="O69" s="194">
        <f t="shared" si="113"/>
        <v>6848229.1349999998</v>
      </c>
      <c r="P69" s="194">
        <f t="shared" si="113"/>
        <v>6663105.1942499997</v>
      </c>
      <c r="Q69" s="194">
        <f t="shared" si="113"/>
        <v>6468725.0564625002</v>
      </c>
      <c r="R69" s="194">
        <f t="shared" si="113"/>
        <v>6264625.9117856249</v>
      </c>
      <c r="S69" s="194">
        <f t="shared" si="113"/>
        <v>6050321.8098749062</v>
      </c>
      <c r="T69" s="194">
        <f t="shared" ref="T69" si="114">$B$23-T63</f>
        <v>5825302.5028686514</v>
      </c>
    </row>
    <row r="70" spans="1:20" ht="18" customHeight="1">
      <c r="A70" s="59" t="s">
        <v>794</v>
      </c>
      <c r="K70" s="194">
        <f>$B$33-K64</f>
        <v>6497897</v>
      </c>
      <c r="L70" s="194">
        <f t="shared" ref="L70:S70" si="115">$B$33-L64</f>
        <v>6348953</v>
      </c>
      <c r="M70" s="194">
        <f t="shared" si="115"/>
        <v>6104955</v>
      </c>
      <c r="N70" s="194">
        <f t="shared" si="115"/>
        <v>5782877.6399999997</v>
      </c>
      <c r="O70" s="194">
        <f t="shared" si="115"/>
        <v>5460800.2799999993</v>
      </c>
      <c r="P70" s="194">
        <f t="shared" si="115"/>
        <v>5090411.3159999996</v>
      </c>
      <c r="Q70" s="194">
        <f t="shared" si="115"/>
        <v>4664464.0073999995</v>
      </c>
      <c r="R70" s="194">
        <f t="shared" si="115"/>
        <v>4174624.6025099996</v>
      </c>
      <c r="S70" s="194">
        <f t="shared" si="115"/>
        <v>3611309.2868864997</v>
      </c>
      <c r="T70" s="194">
        <f t="shared" ref="T70" si="116">$B$33-T64</f>
        <v>2963496.6739194747</v>
      </c>
    </row>
    <row r="71" spans="1:20" ht="18" customHeight="1">
      <c r="A71" s="59" t="s">
        <v>796</v>
      </c>
      <c r="K71" s="194">
        <f>$B$42-K65</f>
        <v>8680332</v>
      </c>
      <c r="L71" s="194">
        <f t="shared" ref="L71:S71" si="117">$B$42-L65</f>
        <v>7947475</v>
      </c>
      <c r="M71" s="194">
        <f t="shared" si="117"/>
        <v>7318709</v>
      </c>
      <c r="N71" s="194">
        <f t="shared" si="117"/>
        <v>6614491.0800000001</v>
      </c>
      <c r="O71" s="194">
        <f t="shared" si="117"/>
        <v>5466615.8704000004</v>
      </c>
      <c r="P71" s="194">
        <f t="shared" si="117"/>
        <v>4490921.9422400007</v>
      </c>
      <c r="Q71" s="194">
        <f t="shared" si="117"/>
        <v>3320089.2284480007</v>
      </c>
      <c r="R71" s="194">
        <f t="shared" si="117"/>
        <v>1973631.6075872015</v>
      </c>
      <c r="S71" s="194">
        <f t="shared" si="117"/>
        <v>492528.22464032192</v>
      </c>
      <c r="T71" s="194">
        <f t="shared" ref="T71" si="118">$B$42-T65</f>
        <v>-1136685.4966012463</v>
      </c>
    </row>
    <row r="72" spans="1:20" ht="18" customHeight="1">
      <c r="N72" s="194">
        <f>N26+N36+N45</f>
        <v>1222193.6300000001</v>
      </c>
      <c r="O72" s="194">
        <f>O26+O36+O45</f>
        <v>1646261.0845999999</v>
      </c>
      <c r="P72" s="59">
        <f>O72/N72-1</f>
        <v>0.34697239798247015</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2:N102"/>
  <sheetViews>
    <sheetView showGridLines="0" workbookViewId="0">
      <pane xSplit="2" ySplit="3" topLeftCell="C4" activePane="bottomRight" state="frozen"/>
      <selection pane="topRight" activeCell="C1" sqref="C1"/>
      <selection pane="bottomLeft" activeCell="A16" sqref="A16"/>
      <selection pane="bottomRight" activeCell="G27" sqref="G27"/>
    </sheetView>
  </sheetViews>
  <sheetFormatPr defaultRowHeight="12"/>
  <cols>
    <col min="1" max="1" width="9.140625" style="452"/>
    <col min="2" max="2" width="14.140625" style="452" customWidth="1"/>
    <col min="3" max="3" width="13.5703125" style="453" customWidth="1"/>
    <col min="4" max="4" width="14.5703125" style="453" bestFit="1" customWidth="1"/>
    <col min="5" max="5" width="12.28515625" style="453" customWidth="1"/>
    <col min="6" max="6" width="14" style="453" customWidth="1"/>
    <col min="7" max="7" width="13.42578125" style="452" customWidth="1"/>
    <col min="8" max="8" width="16.42578125" style="452" customWidth="1"/>
    <col min="9" max="9" width="13.42578125" style="452" customWidth="1"/>
    <col min="10" max="10" width="10.85546875" style="452" customWidth="1"/>
    <col min="11" max="12" width="10.42578125" style="459" customWidth="1"/>
    <col min="13" max="13" width="11" style="452" bestFit="1" customWidth="1"/>
    <col min="14" max="16384" width="9.140625" style="452"/>
  </cols>
  <sheetData>
    <row r="2" spans="1:14">
      <c r="A2" s="452" t="s">
        <v>802</v>
      </c>
    </row>
    <row r="3" spans="1:14" s="463" customFormat="1" ht="29.25" customHeight="1">
      <c r="C3" s="464" t="s">
        <v>811</v>
      </c>
      <c r="D3" s="464" t="s">
        <v>740</v>
      </c>
      <c r="E3" s="464" t="s">
        <v>812</v>
      </c>
      <c r="F3" s="464" t="s">
        <v>817</v>
      </c>
      <c r="G3" s="463" t="s">
        <v>815</v>
      </c>
      <c r="H3" s="463" t="s">
        <v>816</v>
      </c>
      <c r="I3" s="463" t="s">
        <v>818</v>
      </c>
      <c r="J3" s="463" t="s">
        <v>819</v>
      </c>
      <c r="K3" s="465" t="s">
        <v>824</v>
      </c>
      <c r="L3" s="465" t="s">
        <v>820</v>
      </c>
    </row>
    <row r="4" spans="1:14">
      <c r="A4" s="455" t="s">
        <v>792</v>
      </c>
      <c r="E4" s="453">
        <f t="shared" ref="E4:E8" si="0">C4*D4</f>
        <v>0</v>
      </c>
      <c r="F4" s="453">
        <v>1000000</v>
      </c>
      <c r="H4" s="453"/>
      <c r="I4" s="458"/>
      <c r="J4" s="454"/>
    </row>
    <row r="5" spans="1:14">
      <c r="A5" s="455"/>
      <c r="B5" s="452" t="s">
        <v>803</v>
      </c>
      <c r="D5" s="453">
        <v>170000</v>
      </c>
      <c r="E5" s="453">
        <f t="shared" si="0"/>
        <v>0</v>
      </c>
      <c r="H5" s="453"/>
      <c r="I5" s="458"/>
      <c r="J5" s="454"/>
    </row>
    <row r="6" spans="1:14">
      <c r="A6" s="455"/>
      <c r="B6" s="452" t="s">
        <v>804</v>
      </c>
      <c r="D6" s="453">
        <v>140000</v>
      </c>
      <c r="E6" s="453">
        <f t="shared" si="0"/>
        <v>0</v>
      </c>
      <c r="H6" s="453"/>
      <c r="I6" s="458"/>
      <c r="J6" s="454"/>
    </row>
    <row r="7" spans="1:14">
      <c r="A7" s="455"/>
      <c r="B7" s="452" t="s">
        <v>805</v>
      </c>
      <c r="D7" s="453">
        <v>130000</v>
      </c>
      <c r="E7" s="453">
        <f t="shared" si="0"/>
        <v>0</v>
      </c>
      <c r="H7" s="453"/>
      <c r="I7" s="458"/>
      <c r="J7" s="454"/>
    </row>
    <row r="8" spans="1:14">
      <c r="A8" s="455"/>
      <c r="B8" s="452" t="s">
        <v>813</v>
      </c>
      <c r="E8" s="453">
        <f t="shared" si="0"/>
        <v>0</v>
      </c>
      <c r="H8" s="453"/>
      <c r="I8" s="458"/>
      <c r="J8" s="454"/>
    </row>
    <row r="9" spans="1:14">
      <c r="A9" s="455"/>
      <c r="H9" s="453"/>
      <c r="I9" s="458"/>
    </row>
    <row r="10" spans="1:14" s="455" customFormat="1">
      <c r="A10" s="455" t="s">
        <v>793</v>
      </c>
      <c r="C10" s="456"/>
      <c r="D10" s="456"/>
      <c r="E10" s="456"/>
      <c r="F10" s="456">
        <v>490000</v>
      </c>
      <c r="G10" s="455">
        <v>19.84</v>
      </c>
      <c r="H10" s="456">
        <v>4485000</v>
      </c>
      <c r="I10" s="461">
        <v>22.335000000000001</v>
      </c>
      <c r="J10" s="462">
        <v>6.9530000000000003</v>
      </c>
      <c r="K10" s="460"/>
      <c r="L10" s="460" t="s">
        <v>821</v>
      </c>
      <c r="N10" s="455" t="s">
        <v>827</v>
      </c>
    </row>
    <row r="11" spans="1:14">
      <c r="A11" s="455"/>
      <c r="B11" s="452" t="s">
        <v>803</v>
      </c>
      <c r="D11" s="453">
        <v>130000</v>
      </c>
      <c r="E11" s="453">
        <f>C11*D11</f>
        <v>0</v>
      </c>
      <c r="H11" s="453"/>
      <c r="I11" s="458"/>
      <c r="J11" s="454"/>
      <c r="N11" s="452" t="s">
        <v>834</v>
      </c>
    </row>
    <row r="12" spans="1:14">
      <c r="A12" s="455"/>
      <c r="B12" s="452" t="s">
        <v>814</v>
      </c>
      <c r="D12" s="453">
        <v>100000</v>
      </c>
      <c r="E12" s="453">
        <f t="shared" ref="E12:E30" si="1">C12*D12</f>
        <v>0</v>
      </c>
      <c r="H12" s="453"/>
      <c r="I12" s="454"/>
      <c r="J12" s="454"/>
    </row>
    <row r="13" spans="1:14">
      <c r="A13" s="455"/>
      <c r="B13" s="452" t="s">
        <v>805</v>
      </c>
      <c r="D13" s="453">
        <v>90000</v>
      </c>
      <c r="E13" s="453">
        <f t="shared" si="1"/>
        <v>0</v>
      </c>
      <c r="H13" s="453"/>
      <c r="I13" s="454"/>
      <c r="J13" s="454"/>
    </row>
    <row r="14" spans="1:14">
      <c r="A14" s="455"/>
      <c r="B14" s="452" t="s">
        <v>806</v>
      </c>
      <c r="E14" s="453">
        <f t="shared" si="1"/>
        <v>0</v>
      </c>
      <c r="H14" s="453"/>
      <c r="I14" s="454"/>
      <c r="J14" s="454"/>
    </row>
    <row r="15" spans="1:14">
      <c r="A15" s="455"/>
      <c r="B15" s="452" t="s">
        <v>808</v>
      </c>
      <c r="E15" s="453">
        <f t="shared" si="1"/>
        <v>0</v>
      </c>
      <c r="H15" s="453"/>
      <c r="I15" s="454"/>
      <c r="J15" s="454"/>
    </row>
    <row r="16" spans="1:14">
      <c r="A16" s="455"/>
      <c r="D16" s="453">
        <f>AVERAGE(D11:D13)</f>
        <v>106666.66666666667</v>
      </c>
      <c r="H16" s="453"/>
      <c r="I16" s="454"/>
      <c r="J16" s="454"/>
    </row>
    <row r="17" spans="1:12" s="455" customFormat="1">
      <c r="A17" s="455" t="s">
        <v>794</v>
      </c>
      <c r="C17" s="456"/>
      <c r="D17" s="456"/>
      <c r="E17" s="456">
        <f t="shared" si="1"/>
        <v>0</v>
      </c>
      <c r="F17" s="456">
        <v>490000</v>
      </c>
      <c r="G17" s="455">
        <v>21.74</v>
      </c>
      <c r="H17" s="456">
        <v>6600000</v>
      </c>
      <c r="I17" s="462">
        <v>42.87</v>
      </c>
      <c r="J17" s="462">
        <v>6.7519999999999998</v>
      </c>
      <c r="K17" s="460" t="s">
        <v>835</v>
      </c>
      <c r="L17" s="460" t="s">
        <v>823</v>
      </c>
    </row>
    <row r="18" spans="1:12">
      <c r="A18" s="455"/>
      <c r="B18" s="452" t="s">
        <v>803</v>
      </c>
      <c r="E18" s="453">
        <f t="shared" si="1"/>
        <v>0</v>
      </c>
      <c r="H18" s="453"/>
      <c r="I18" s="454"/>
      <c r="J18" s="454"/>
    </row>
    <row r="19" spans="1:12">
      <c r="A19" s="455"/>
      <c r="B19" s="452" t="s">
        <v>806</v>
      </c>
      <c r="E19" s="453">
        <f t="shared" si="1"/>
        <v>0</v>
      </c>
      <c r="H19" s="453"/>
      <c r="I19" s="454"/>
      <c r="J19" s="454"/>
    </row>
    <row r="20" spans="1:12">
      <c r="A20" s="455"/>
      <c r="B20" s="452" t="s">
        <v>807</v>
      </c>
      <c r="E20" s="453">
        <f t="shared" si="1"/>
        <v>0</v>
      </c>
      <c r="H20" s="453"/>
      <c r="I20" s="454"/>
      <c r="J20" s="454"/>
    </row>
    <row r="21" spans="1:12">
      <c r="A21" s="455"/>
      <c r="E21" s="453">
        <f t="shared" si="1"/>
        <v>0</v>
      </c>
      <c r="H21" s="453"/>
      <c r="I21" s="454"/>
      <c r="J21" s="454"/>
    </row>
    <row r="22" spans="1:12" s="455" customFormat="1">
      <c r="A22" s="455" t="s">
        <v>795</v>
      </c>
      <c r="C22" s="456"/>
      <c r="D22" s="456"/>
      <c r="E22" s="456"/>
      <c r="F22" s="456">
        <v>200000</v>
      </c>
      <c r="G22" s="455">
        <v>18.52</v>
      </c>
      <c r="H22" s="456">
        <v>7500000</v>
      </c>
      <c r="I22" s="462">
        <v>24.239000000000001</v>
      </c>
      <c r="J22" s="462">
        <v>3.1269999999999998</v>
      </c>
      <c r="K22" s="460" t="s">
        <v>835</v>
      </c>
      <c r="L22" s="460" t="s">
        <v>822</v>
      </c>
    </row>
    <row r="23" spans="1:12">
      <c r="A23" s="455"/>
      <c r="B23" s="452" t="s">
        <v>803</v>
      </c>
      <c r="E23" s="453">
        <f t="shared" si="1"/>
        <v>0</v>
      </c>
      <c r="H23" s="453"/>
      <c r="I23" s="454"/>
      <c r="J23" s="454"/>
    </row>
    <row r="24" spans="1:12">
      <c r="A24" s="455"/>
      <c r="B24" s="452" t="s">
        <v>806</v>
      </c>
      <c r="E24" s="453">
        <f t="shared" si="1"/>
        <v>0</v>
      </c>
      <c r="H24" s="453"/>
      <c r="I24" s="454"/>
      <c r="J24" s="454"/>
    </row>
    <row r="25" spans="1:12">
      <c r="A25" s="455"/>
      <c r="B25" s="452" t="s">
        <v>809</v>
      </c>
      <c r="E25" s="453">
        <f t="shared" si="1"/>
        <v>0</v>
      </c>
      <c r="H25" s="453"/>
      <c r="I25" s="454"/>
      <c r="J25" s="454"/>
    </row>
    <row r="26" spans="1:12">
      <c r="A26" s="455"/>
      <c r="H26" s="453"/>
    </row>
    <row r="27" spans="1:12" s="455" customFormat="1">
      <c r="A27" s="455" t="s">
        <v>796</v>
      </c>
      <c r="C27" s="456"/>
      <c r="D27" s="456"/>
      <c r="E27" s="456">
        <f t="shared" si="1"/>
        <v>0</v>
      </c>
      <c r="F27" s="456">
        <v>1000000</v>
      </c>
      <c r="G27" s="455">
        <v>20</v>
      </c>
      <c r="H27" s="456">
        <v>8780000</v>
      </c>
      <c r="I27" s="462">
        <v>64.631</v>
      </c>
      <c r="J27" s="462">
        <v>7.7110000000000003</v>
      </c>
      <c r="K27" s="460" t="s">
        <v>826</v>
      </c>
      <c r="L27" s="460" t="s">
        <v>825</v>
      </c>
    </row>
    <row r="28" spans="1:12">
      <c r="B28" s="452" t="s">
        <v>803</v>
      </c>
      <c r="D28" s="453">
        <v>150000</v>
      </c>
      <c r="E28" s="453">
        <f t="shared" si="1"/>
        <v>0</v>
      </c>
      <c r="I28" s="454"/>
      <c r="J28" s="454"/>
    </row>
    <row r="29" spans="1:12">
      <c r="B29" s="452" t="s">
        <v>806</v>
      </c>
      <c r="E29" s="453">
        <f t="shared" si="1"/>
        <v>0</v>
      </c>
      <c r="I29" s="454"/>
      <c r="J29" s="454"/>
    </row>
    <row r="30" spans="1:12">
      <c r="B30" s="452" t="s">
        <v>810</v>
      </c>
      <c r="D30" s="453">
        <v>80000</v>
      </c>
      <c r="E30" s="453">
        <f t="shared" si="1"/>
        <v>0</v>
      </c>
      <c r="I30" s="454"/>
      <c r="J30" s="454"/>
    </row>
    <row r="31" spans="1:12">
      <c r="I31" s="454"/>
      <c r="J31" s="454"/>
    </row>
    <row r="33" spans="1:13">
      <c r="A33" s="455" t="s">
        <v>828</v>
      </c>
    </row>
    <row r="34" spans="1:13" s="457" customFormat="1">
      <c r="C34" s="466">
        <v>2003</v>
      </c>
      <c r="D34" s="466">
        <v>2004</v>
      </c>
      <c r="E34" s="466">
        <v>2005</v>
      </c>
      <c r="F34" s="466">
        <v>2006</v>
      </c>
      <c r="G34" s="466">
        <v>2007</v>
      </c>
      <c r="H34" s="466">
        <v>2008</v>
      </c>
      <c r="I34" s="466">
        <v>2009</v>
      </c>
      <c r="J34" s="466">
        <v>2010</v>
      </c>
      <c r="K34" s="466">
        <v>2011</v>
      </c>
      <c r="L34" s="467">
        <v>2012</v>
      </c>
      <c r="M34" s="467" t="s">
        <v>537</v>
      </c>
    </row>
    <row r="35" spans="1:13">
      <c r="A35" s="455" t="s">
        <v>792</v>
      </c>
      <c r="H35" s="453"/>
      <c r="I35" s="453"/>
      <c r="J35" s="453"/>
      <c r="K35" s="453"/>
      <c r="L35" s="452"/>
    </row>
    <row r="36" spans="1:13">
      <c r="A36" s="468" t="s">
        <v>811</v>
      </c>
      <c r="H36" s="453">
        <v>1232423</v>
      </c>
      <c r="I36" s="453">
        <v>1269059</v>
      </c>
      <c r="J36" s="453">
        <v>1371841</v>
      </c>
      <c r="K36" s="453">
        <v>925117</v>
      </c>
      <c r="L36" s="453">
        <v>574166</v>
      </c>
      <c r="M36" s="453">
        <v>150000</v>
      </c>
    </row>
    <row r="37" spans="1:13" s="470" customFormat="1">
      <c r="A37" s="469" t="s">
        <v>832</v>
      </c>
      <c r="H37" s="471" t="s">
        <v>783</v>
      </c>
      <c r="I37" s="471">
        <f t="shared" ref="I37:L37" si="2">I36/H36-1</f>
        <v>2.9726806461742417E-2</v>
      </c>
      <c r="J37" s="471">
        <f t="shared" si="2"/>
        <v>8.0990718319636779E-2</v>
      </c>
      <c r="K37" s="471">
        <f t="shared" si="2"/>
        <v>-0.3256383210590732</v>
      </c>
      <c r="L37" s="471">
        <f t="shared" si="2"/>
        <v>-0.37935850276235328</v>
      </c>
      <c r="M37" s="471">
        <f>M36/L36-1</f>
        <v>-0.73875151088709545</v>
      </c>
    </row>
    <row r="38" spans="1:13">
      <c r="A38" s="468" t="s">
        <v>829</v>
      </c>
      <c r="H38" s="453">
        <v>153088</v>
      </c>
      <c r="I38" s="453">
        <v>180043.56700000001</v>
      </c>
      <c r="J38" s="453">
        <v>202280.00899999999</v>
      </c>
      <c r="K38" s="453">
        <v>164919.00599999999</v>
      </c>
      <c r="L38" s="453">
        <v>103672.789</v>
      </c>
      <c r="M38" s="453">
        <v>24610</v>
      </c>
    </row>
    <row r="39" spans="1:13" s="470" customFormat="1">
      <c r="A39" s="469" t="s">
        <v>832</v>
      </c>
      <c r="H39" s="471" t="s">
        <v>783</v>
      </c>
      <c r="I39" s="471">
        <f t="shared" ref="I39" si="3">I38/H38-1</f>
        <v>0.17607890233068568</v>
      </c>
      <c r="J39" s="471">
        <f t="shared" ref="J39" si="4">J38/I38-1</f>
        <v>0.12350589565913217</v>
      </c>
      <c r="K39" s="471">
        <f t="shared" ref="K39" si="5">K38/J38-1</f>
        <v>-0.18469943315060855</v>
      </c>
      <c r="L39" s="471">
        <f t="shared" ref="L39" si="6">L38/K38-1</f>
        <v>-0.37137149007555859</v>
      </c>
      <c r="M39" s="471">
        <f>M38/L38-1</f>
        <v>-0.76261852085410764</v>
      </c>
    </row>
    <row r="40" spans="1:13" s="470" customFormat="1">
      <c r="A40" s="452" t="s">
        <v>833</v>
      </c>
      <c r="H40" s="453">
        <f>H38/H36*1000000</f>
        <v>124217.09104747315</v>
      </c>
      <c r="I40" s="453">
        <f t="shared" ref="I40:M40" si="7">I38/I36*1000000</f>
        <v>141871.70730438852</v>
      </c>
      <c r="J40" s="453">
        <f t="shared" si="7"/>
        <v>147451.4969300378</v>
      </c>
      <c r="K40" s="453">
        <f t="shared" si="7"/>
        <v>178268.26877032849</v>
      </c>
      <c r="L40" s="453">
        <f t="shared" si="7"/>
        <v>180562.39658913971</v>
      </c>
      <c r="M40" s="453">
        <f t="shared" si="7"/>
        <v>164066.66666666666</v>
      </c>
    </row>
    <row r="41" spans="1:13" s="470" customFormat="1">
      <c r="A41" s="452"/>
      <c r="H41" s="471"/>
      <c r="I41" s="471"/>
      <c r="J41" s="471"/>
      <c r="K41" s="471"/>
      <c r="L41" s="471"/>
      <c r="M41" s="453">
        <f>AVERAGE(K40:M40)</f>
        <v>174299.11067537827</v>
      </c>
    </row>
    <row r="42" spans="1:13">
      <c r="A42" s="455" t="s">
        <v>793</v>
      </c>
      <c r="H42" s="453"/>
      <c r="I42" s="453"/>
      <c r="J42" s="453"/>
      <c r="K42" s="453"/>
      <c r="L42" s="453"/>
      <c r="M42" s="453"/>
    </row>
    <row r="43" spans="1:13">
      <c r="A43" s="468" t="s">
        <v>811</v>
      </c>
      <c r="H43" s="453">
        <v>116792</v>
      </c>
      <c r="I43" s="453">
        <v>193895</v>
      </c>
      <c r="J43" s="453">
        <v>475891</v>
      </c>
      <c r="K43" s="453">
        <v>330445</v>
      </c>
      <c r="L43" s="453">
        <v>184217</v>
      </c>
      <c r="M43" s="453">
        <v>275880</v>
      </c>
    </row>
    <row r="44" spans="1:13" s="470" customFormat="1">
      <c r="A44" s="469" t="s">
        <v>832</v>
      </c>
      <c r="H44" s="472" t="s">
        <v>783</v>
      </c>
      <c r="I44" s="471">
        <f t="shared" ref="I44:I46" si="8">I43/H43-1</f>
        <v>0.66017364203027595</v>
      </c>
      <c r="J44" s="471">
        <f t="shared" ref="J44" si="9">J43/I43-1</f>
        <v>1.4543747904793833</v>
      </c>
      <c r="K44" s="471">
        <f t="shared" ref="K44" si="10">K43/J43-1</f>
        <v>-0.30562880995858299</v>
      </c>
      <c r="L44" s="471">
        <f t="shared" ref="L44" si="11">L43/K43-1</f>
        <v>-0.44251842212773684</v>
      </c>
      <c r="M44" s="471">
        <f t="shared" ref="M44" si="12">M43/L43-1</f>
        <v>0.49758165641607444</v>
      </c>
    </row>
    <row r="45" spans="1:13">
      <c r="A45" s="468" t="s">
        <v>829</v>
      </c>
      <c r="H45" s="453">
        <v>5644</v>
      </c>
      <c r="I45" s="453">
        <v>12563.133</v>
      </c>
      <c r="J45" s="453">
        <v>34028.286</v>
      </c>
      <c r="K45" s="453">
        <v>28273.583999999999</v>
      </c>
      <c r="L45" s="453">
        <v>17757.09</v>
      </c>
      <c r="M45" s="453">
        <v>23837</v>
      </c>
    </row>
    <row r="46" spans="1:13" s="470" customFormat="1">
      <c r="A46" s="469" t="s">
        <v>832</v>
      </c>
      <c r="H46" s="472" t="s">
        <v>783</v>
      </c>
      <c r="I46" s="471">
        <f t="shared" si="8"/>
        <v>1.2259271793054571</v>
      </c>
      <c r="J46" s="471">
        <f t="shared" ref="J46" si="13">J45/I45-1</f>
        <v>1.7085828033500881</v>
      </c>
      <c r="K46" s="471">
        <f t="shared" ref="K46" si="14">K45/J45-1</f>
        <v>-0.16911524723872373</v>
      </c>
      <c r="L46" s="471">
        <f t="shared" ref="L46" si="15">L45/K45-1</f>
        <v>-0.37195475465720929</v>
      </c>
      <c r="M46" s="471">
        <f t="shared" ref="M46" si="16">M45/L45-1</f>
        <v>0.34239337639219047</v>
      </c>
    </row>
    <row r="47" spans="1:13" s="470" customFormat="1">
      <c r="A47" s="452" t="s">
        <v>833</v>
      </c>
      <c r="H47" s="453">
        <f>H45/H43*1000000</f>
        <v>48325.227755325708</v>
      </c>
      <c r="I47" s="453">
        <f t="shared" ref="I47:M47" si="17">I45/I43*1000000</f>
        <v>64793.486165192495</v>
      </c>
      <c r="J47" s="453">
        <f t="shared" si="17"/>
        <v>71504.369698103139</v>
      </c>
      <c r="K47" s="453">
        <f t="shared" si="17"/>
        <v>85562.148012528545</v>
      </c>
      <c r="L47" s="453">
        <f t="shared" si="17"/>
        <v>96392.243929713324</v>
      </c>
      <c r="M47" s="453">
        <f t="shared" si="17"/>
        <v>86403.508771929832</v>
      </c>
    </row>
    <row r="48" spans="1:13" s="470" customFormat="1">
      <c r="A48" s="469"/>
      <c r="H48" s="471"/>
      <c r="I48" s="471"/>
      <c r="J48" s="471"/>
      <c r="K48" s="471"/>
      <c r="L48" s="471"/>
      <c r="M48" s="453">
        <f>AVERAGE(K47:M47)</f>
        <v>89452.633571390572</v>
      </c>
    </row>
    <row r="49" spans="1:13">
      <c r="A49" s="455" t="s">
        <v>795</v>
      </c>
      <c r="H49" s="453"/>
      <c r="I49" s="453"/>
      <c r="J49" s="453"/>
      <c r="K49" s="453"/>
      <c r="L49" s="453"/>
      <c r="M49" s="453"/>
    </row>
    <row r="50" spans="1:13">
      <c r="A50" s="468" t="s">
        <v>811</v>
      </c>
      <c r="H50" s="453"/>
      <c r="I50" s="453"/>
      <c r="J50" s="453"/>
      <c r="K50" s="453">
        <v>43930</v>
      </c>
      <c r="L50" s="453">
        <v>96699</v>
      </c>
      <c r="M50" s="453">
        <v>133000</v>
      </c>
    </row>
    <row r="51" spans="1:13" s="470" customFormat="1">
      <c r="A51" s="469" t="s">
        <v>832</v>
      </c>
      <c r="H51" s="471"/>
      <c r="I51" s="471"/>
      <c r="J51" s="471"/>
      <c r="K51" s="472" t="s">
        <v>783</v>
      </c>
      <c r="L51" s="471">
        <f t="shared" ref="L51" si="18">L50/K50-1</f>
        <v>1.2012064648304119</v>
      </c>
      <c r="M51" s="471">
        <f t="shared" ref="M51" si="19">M50/L50-1</f>
        <v>0.37540202070341988</v>
      </c>
    </row>
    <row r="52" spans="1:13">
      <c r="A52" s="468" t="s">
        <v>829</v>
      </c>
      <c r="H52" s="453"/>
      <c r="I52" s="453"/>
      <c r="J52" s="453"/>
      <c r="K52" s="473">
        <v>7046.2719999999999</v>
      </c>
      <c r="L52" s="453">
        <v>13791.351000000001</v>
      </c>
      <c r="M52" s="453">
        <v>19212.2</v>
      </c>
    </row>
    <row r="53" spans="1:13" s="470" customFormat="1">
      <c r="A53" s="469" t="s">
        <v>832</v>
      </c>
      <c r="H53" s="471"/>
      <c r="I53" s="471"/>
      <c r="J53" s="471"/>
      <c r="K53" s="472" t="s">
        <v>783</v>
      </c>
      <c r="L53" s="471">
        <f t="shared" ref="L53" si="20">L52/K52-1</f>
        <v>0.95725498533125042</v>
      </c>
      <c r="M53" s="471">
        <f t="shared" ref="M53" si="21">M52/L52-1</f>
        <v>0.39306149194520534</v>
      </c>
    </row>
    <row r="54" spans="1:13" s="470" customFormat="1">
      <c r="A54" s="452" t="s">
        <v>833</v>
      </c>
      <c r="H54" s="453"/>
      <c r="I54" s="453"/>
      <c r="J54" s="453"/>
      <c r="K54" s="473">
        <f t="shared" ref="K54:M54" si="22">K52/K50*1000000</f>
        <v>160397.72365126337</v>
      </c>
      <c r="L54" s="453">
        <f t="shared" si="22"/>
        <v>142621.44386188069</v>
      </c>
      <c r="M54" s="453">
        <f t="shared" si="22"/>
        <v>144452.63157894736</v>
      </c>
    </row>
    <row r="55" spans="1:13" s="470" customFormat="1">
      <c r="A55" s="452"/>
      <c r="H55" s="453"/>
      <c r="I55" s="453"/>
      <c r="J55" s="453"/>
      <c r="K55" s="473"/>
      <c r="L55" s="453"/>
      <c r="M55" s="453"/>
    </row>
    <row r="56" spans="1:13">
      <c r="A56" s="455" t="s">
        <v>794</v>
      </c>
      <c r="H56" s="453"/>
      <c r="I56" s="453"/>
      <c r="J56" s="453"/>
      <c r="K56" s="473"/>
      <c r="L56" s="453"/>
      <c r="M56" s="453"/>
    </row>
    <row r="57" spans="1:13">
      <c r="A57" s="468" t="s">
        <v>811</v>
      </c>
      <c r="H57" s="453"/>
      <c r="I57" s="453"/>
      <c r="J57" s="453"/>
      <c r="K57" s="473">
        <v>102103</v>
      </c>
      <c r="L57" s="453">
        <v>148944</v>
      </c>
      <c r="M57" s="453">
        <v>171000</v>
      </c>
    </row>
    <row r="58" spans="1:13" s="470" customFormat="1">
      <c r="A58" s="469" t="s">
        <v>832</v>
      </c>
      <c r="H58" s="471"/>
      <c r="I58" s="471"/>
      <c r="J58" s="471"/>
      <c r="K58" s="472" t="s">
        <v>783</v>
      </c>
      <c r="L58" s="471">
        <f t="shared" ref="L58" si="23">L57/K57-1</f>
        <v>0.45876223029685703</v>
      </c>
      <c r="M58" s="471">
        <f t="shared" ref="M58" si="24">M57/L57-1</f>
        <v>0.14808250080567187</v>
      </c>
    </row>
    <row r="59" spans="1:13">
      <c r="A59" s="468" t="s">
        <v>829</v>
      </c>
      <c r="H59" s="453"/>
      <c r="I59" s="453"/>
      <c r="J59" s="453"/>
      <c r="K59" s="473">
        <v>9339.2620000000006</v>
      </c>
      <c r="L59" s="453">
        <v>13819.675999999999</v>
      </c>
      <c r="M59" s="453">
        <v>15462</v>
      </c>
    </row>
    <row r="60" spans="1:13" s="470" customFormat="1">
      <c r="A60" s="469" t="s">
        <v>832</v>
      </c>
      <c r="H60" s="471"/>
      <c r="I60" s="471"/>
      <c r="J60" s="471"/>
      <c r="K60" s="472" t="s">
        <v>783</v>
      </c>
      <c r="L60" s="471">
        <f t="shared" ref="L60" si="25">L59/K59-1</f>
        <v>0.47973961968301126</v>
      </c>
      <c r="M60" s="471">
        <f t="shared" ref="M60" si="26">M59/L59-1</f>
        <v>0.11883954442926159</v>
      </c>
    </row>
    <row r="61" spans="1:13" s="470" customFormat="1">
      <c r="A61" s="452" t="s">
        <v>833</v>
      </c>
      <c r="H61" s="453"/>
      <c r="I61" s="453"/>
      <c r="J61" s="453"/>
      <c r="K61" s="473">
        <f t="shared" ref="K61:M61" si="27">K59/K57*1000000</f>
        <v>91469.026375326881</v>
      </c>
      <c r="L61" s="453">
        <f t="shared" si="27"/>
        <v>92784.375335696634</v>
      </c>
      <c r="M61" s="453">
        <f t="shared" si="27"/>
        <v>90421.052631578947</v>
      </c>
    </row>
    <row r="62" spans="1:13" s="470" customFormat="1">
      <c r="A62" s="469"/>
      <c r="H62" s="471"/>
      <c r="I62" s="471"/>
      <c r="J62" s="471"/>
      <c r="K62" s="472"/>
      <c r="L62" s="471"/>
      <c r="M62" s="453">
        <f>AVERAGE(K61:M61)</f>
        <v>91558.151447534154</v>
      </c>
    </row>
    <row r="63" spans="1:13">
      <c r="A63" s="455" t="s">
        <v>796</v>
      </c>
      <c r="H63" s="453"/>
      <c r="I63" s="453"/>
      <c r="J63" s="453"/>
      <c r="K63" s="473"/>
      <c r="L63" s="453"/>
      <c r="M63" s="453"/>
    </row>
    <row r="64" spans="1:13">
      <c r="A64" s="468" t="s">
        <v>811</v>
      </c>
      <c r="H64" s="453"/>
      <c r="I64" s="453"/>
      <c r="J64" s="453"/>
      <c r="K64" s="473">
        <v>99668</v>
      </c>
      <c r="L64" s="453">
        <v>732857</v>
      </c>
      <c r="M64" s="453">
        <v>904000</v>
      </c>
    </row>
    <row r="65" spans="1:13" s="470" customFormat="1">
      <c r="A65" s="469" t="s">
        <v>832</v>
      </c>
      <c r="H65" s="471"/>
      <c r="I65" s="471"/>
      <c r="J65" s="471"/>
      <c r="K65" s="472" t="s">
        <v>783</v>
      </c>
      <c r="L65" s="471">
        <f t="shared" ref="L65" si="28">L64/K64-1</f>
        <v>6.3529818999076939</v>
      </c>
      <c r="M65" s="471">
        <f t="shared" ref="M65" si="29">M64/L64-1</f>
        <v>0.23352850556111227</v>
      </c>
    </row>
    <row r="66" spans="1:13">
      <c r="A66" s="468" t="s">
        <v>829</v>
      </c>
      <c r="H66" s="453"/>
      <c r="I66" s="453"/>
      <c r="J66" s="453"/>
      <c r="K66" s="473">
        <v>7309.99</v>
      </c>
      <c r="L66" s="453">
        <v>66958.490999999995</v>
      </c>
      <c r="M66" s="453">
        <v>89864</v>
      </c>
    </row>
    <row r="67" spans="1:13" s="470" customFormat="1">
      <c r="A67" s="469" t="s">
        <v>832</v>
      </c>
      <c r="H67" s="471"/>
      <c r="I67" s="471"/>
      <c r="J67" s="471"/>
      <c r="K67" s="472" t="s">
        <v>783</v>
      </c>
      <c r="L67" s="471">
        <f t="shared" ref="L67" si="30">L66/K66-1</f>
        <v>8.1598608206030381</v>
      </c>
      <c r="M67" s="471">
        <f t="shared" ref="M67" si="31">M66/L66-1</f>
        <v>0.342085203204475</v>
      </c>
    </row>
    <row r="68" spans="1:13" s="470" customFormat="1">
      <c r="A68" s="452" t="s">
        <v>833</v>
      </c>
      <c r="H68" s="453"/>
      <c r="I68" s="453"/>
      <c r="J68" s="453"/>
      <c r="K68" s="453">
        <f t="shared" ref="K68:M68" si="32">K66/K64*1000000</f>
        <v>73343.400088293129</v>
      </c>
      <c r="L68" s="453">
        <f t="shared" si="32"/>
        <v>91366.379798514565</v>
      </c>
      <c r="M68" s="453">
        <f t="shared" si="32"/>
        <v>99407.079646017693</v>
      </c>
    </row>
    <row r="69" spans="1:13">
      <c r="H69" s="453"/>
      <c r="I69" s="453"/>
      <c r="J69" s="453"/>
      <c r="K69" s="453"/>
      <c r="L69" s="452"/>
      <c r="M69" s="453">
        <f>AVERAGE(K68:M68)</f>
        <v>88038.953177608477</v>
      </c>
    </row>
    <row r="70" spans="1:13">
      <c r="H70" s="453"/>
      <c r="I70" s="453"/>
      <c r="J70" s="453"/>
      <c r="K70" s="453"/>
      <c r="L70" s="452"/>
      <c r="M70" s="453"/>
    </row>
    <row r="71" spans="1:13">
      <c r="A71" s="455" t="s">
        <v>830</v>
      </c>
      <c r="C71" s="456">
        <v>664239</v>
      </c>
      <c r="D71" s="456">
        <v>941184</v>
      </c>
      <c r="E71" s="456">
        <v>1005926</v>
      </c>
      <c r="F71" s="456">
        <v>1155484</v>
      </c>
      <c r="G71" s="456">
        <v>1248315</v>
      </c>
      <c r="H71" s="456">
        <f t="shared" ref="H71:M71" si="33">SUM(H36,H43,H57,H50,H64)</f>
        <v>1349215</v>
      </c>
      <c r="I71" s="456">
        <f t="shared" si="33"/>
        <v>1462954</v>
      </c>
      <c r="J71" s="456">
        <f t="shared" si="33"/>
        <v>1847732</v>
      </c>
      <c r="K71" s="456">
        <f t="shared" si="33"/>
        <v>1501263</v>
      </c>
      <c r="L71" s="456">
        <f t="shared" si="33"/>
        <v>1736883</v>
      </c>
      <c r="M71" s="456">
        <f t="shared" si="33"/>
        <v>1633880</v>
      </c>
    </row>
    <row r="72" spans="1:13">
      <c r="A72" s="455" t="s">
        <v>831</v>
      </c>
      <c r="H72" s="456">
        <f t="shared" ref="H72:M72" si="34">SUM(H38,H45,H59,H52,H66)</f>
        <v>158732</v>
      </c>
      <c r="I72" s="456">
        <f t="shared" si="34"/>
        <v>192606.7</v>
      </c>
      <c r="J72" s="456">
        <f t="shared" si="34"/>
        <v>236308.29499999998</v>
      </c>
      <c r="K72" s="456">
        <f t="shared" si="34"/>
        <v>216888.11399999997</v>
      </c>
      <c r="L72" s="456">
        <f t="shared" si="34"/>
        <v>215999.397</v>
      </c>
      <c r="M72" s="456">
        <f t="shared" si="34"/>
        <v>172985.2</v>
      </c>
    </row>
    <row r="73" spans="1:13">
      <c r="A73" s="455" t="s">
        <v>833</v>
      </c>
      <c r="H73" s="456">
        <f>H72/H71*1000000</f>
        <v>117647.66920023866</v>
      </c>
      <c r="I73" s="456">
        <f t="shared" ref="I73:M73" si="35">I72/I71*1000000</f>
        <v>131656.01925966231</v>
      </c>
      <c r="J73" s="456">
        <f t="shared" si="35"/>
        <v>127891.00096767278</v>
      </c>
      <c r="K73" s="456">
        <f t="shared" si="35"/>
        <v>144470.43189634327</v>
      </c>
      <c r="L73" s="456">
        <f t="shared" si="35"/>
        <v>124360.36106058958</v>
      </c>
      <c r="M73" s="456">
        <f t="shared" si="35"/>
        <v>105873.87078610425</v>
      </c>
    </row>
    <row r="74" spans="1:13">
      <c r="F74" s="453">
        <f>AVERAGE(K40,K47,K61,K54,K68)</f>
        <v>117808.1133795481</v>
      </c>
      <c r="G74" s="453">
        <f>AVERAGE(L40,L47,L61,L54,L68)</f>
        <v>120745.36790298899</v>
      </c>
      <c r="H74" s="453">
        <f>AVERAGE(M40,M47,M61,M54,M68)</f>
        <v>116950.18785902811</v>
      </c>
    </row>
    <row r="78" spans="1:13">
      <c r="A78" s="455" t="s">
        <v>838</v>
      </c>
      <c r="K78" s="452"/>
      <c r="L78" s="452"/>
    </row>
    <row r="79" spans="1:13" ht="16.5" customHeight="1">
      <c r="C79" s="466" t="s">
        <v>836</v>
      </c>
      <c r="D79" s="466" t="s">
        <v>837</v>
      </c>
      <c r="E79" s="466"/>
      <c r="F79" s="466"/>
      <c r="G79" s="467"/>
      <c r="H79" s="467"/>
      <c r="K79" s="452"/>
      <c r="L79" s="452"/>
    </row>
    <row r="80" spans="1:13">
      <c r="C80" s="453">
        <v>2012</v>
      </c>
      <c r="D80" s="453">
        <f>E88*1000</f>
        <v>373955.4</v>
      </c>
      <c r="E80" s="453">
        <v>1349215</v>
      </c>
      <c r="F80" s="453">
        <f>D84</f>
        <v>216044.7</v>
      </c>
      <c r="G80" s="452">
        <f>CORREL(E80:E84,F80:F84)</f>
        <v>0.68135936368583971</v>
      </c>
      <c r="H80" s="452">
        <f t="shared" ref="H80:H82" si="36">D80/D81-1</f>
        <v>9.5027834300771996E-2</v>
      </c>
      <c r="I80" s="452">
        <f t="shared" ref="I80:I82" si="37">E80/E81-1</f>
        <v>-7.7746121887632857E-2</v>
      </c>
      <c r="J80" s="452">
        <f>CORREL(H80:H83,I80:I83)</f>
        <v>-0.21545386007762801</v>
      </c>
      <c r="K80" s="452"/>
      <c r="L80" s="452"/>
    </row>
    <row r="81" spans="1:12">
      <c r="C81" s="453">
        <v>2011</v>
      </c>
      <c r="D81" s="453">
        <f t="shared" ref="D81:D84" si="38">E89*1000</f>
        <v>341503.10000000003</v>
      </c>
      <c r="E81" s="453">
        <v>1462954</v>
      </c>
      <c r="F81" s="453">
        <f>D83</f>
        <v>285905.2</v>
      </c>
      <c r="H81" s="452">
        <f t="shared" si="36"/>
        <v>7.9529803445170577E-2</v>
      </c>
      <c r="I81" s="452">
        <f t="shared" si="37"/>
        <v>-0.20824340326410973</v>
      </c>
      <c r="K81" s="452"/>
      <c r="L81" s="452"/>
    </row>
    <row r="82" spans="1:12">
      <c r="C82" s="453">
        <v>2010</v>
      </c>
      <c r="D82" s="453">
        <f t="shared" si="38"/>
        <v>316344.3</v>
      </c>
      <c r="E82" s="453">
        <v>1847732</v>
      </c>
      <c r="F82" s="453">
        <f>D82</f>
        <v>316344.3</v>
      </c>
      <c r="H82" s="452">
        <f t="shared" si="36"/>
        <v>0.10646570961283652</v>
      </c>
      <c r="I82" s="452">
        <f t="shared" si="37"/>
        <v>0.23078501235293225</v>
      </c>
      <c r="K82" s="452"/>
      <c r="L82" s="452"/>
    </row>
    <row r="83" spans="1:12">
      <c r="C83" s="453">
        <v>2009</v>
      </c>
      <c r="D83" s="453">
        <f t="shared" si="38"/>
        <v>285905.2</v>
      </c>
      <c r="E83" s="453">
        <v>1501263</v>
      </c>
      <c r="F83" s="453">
        <f>D81</f>
        <v>341503.10000000003</v>
      </c>
      <c r="H83" s="452">
        <f>D83/D84-1</f>
        <v>0.32336132291141606</v>
      </c>
      <c r="I83" s="452">
        <f>E83/E84-1</f>
        <v>-0.13565680589884288</v>
      </c>
      <c r="K83" s="452"/>
      <c r="L83" s="452"/>
    </row>
    <row r="84" spans="1:12">
      <c r="C84" s="453">
        <v>2008</v>
      </c>
      <c r="D84" s="453">
        <f t="shared" si="38"/>
        <v>216044.7</v>
      </c>
      <c r="E84" s="453">
        <v>1736883</v>
      </c>
      <c r="F84" s="453">
        <f>D80</f>
        <v>373955.4</v>
      </c>
      <c r="K84" s="452"/>
      <c r="L84" s="452"/>
    </row>
    <row r="85" spans="1:12">
      <c r="K85" s="452"/>
      <c r="L85" s="452"/>
    </row>
    <row r="87" spans="1:12">
      <c r="D87" s="453" t="s">
        <v>839</v>
      </c>
      <c r="E87" s="453" t="s">
        <v>840</v>
      </c>
      <c r="F87" s="453" t="s">
        <v>841</v>
      </c>
    </row>
    <row r="88" spans="1:12">
      <c r="C88" s="453">
        <v>2012</v>
      </c>
      <c r="D88" s="453">
        <v>989.3</v>
      </c>
      <c r="E88" s="453">
        <f>D88*F88</f>
        <v>373.9554</v>
      </c>
      <c r="F88" s="476">
        <v>0.378</v>
      </c>
    </row>
    <row r="89" spans="1:12">
      <c r="C89" s="453">
        <v>2011</v>
      </c>
      <c r="D89" s="453">
        <v>877.9</v>
      </c>
      <c r="E89" s="453">
        <f t="shared" ref="E89:E92" si="39">D89*F89</f>
        <v>341.50310000000002</v>
      </c>
      <c r="F89" s="476">
        <v>0.38900000000000001</v>
      </c>
    </row>
    <row r="90" spans="1:12">
      <c r="C90" s="453">
        <v>2010</v>
      </c>
      <c r="D90" s="453">
        <v>830.3</v>
      </c>
      <c r="E90" s="453">
        <f t="shared" si="39"/>
        <v>316.34429999999998</v>
      </c>
      <c r="F90" s="476">
        <v>0.38100000000000001</v>
      </c>
    </row>
    <row r="91" spans="1:12">
      <c r="C91" s="453">
        <v>2009</v>
      </c>
      <c r="D91" s="453">
        <v>704.2</v>
      </c>
      <c r="E91" s="453">
        <f t="shared" si="39"/>
        <v>285.90520000000004</v>
      </c>
      <c r="F91" s="476">
        <v>0.40600000000000003</v>
      </c>
    </row>
    <row r="92" spans="1:12">
      <c r="C92" s="453">
        <v>2008</v>
      </c>
      <c r="D92" s="453">
        <v>637.29999999999995</v>
      </c>
      <c r="E92" s="453">
        <f t="shared" si="39"/>
        <v>216.04470000000001</v>
      </c>
      <c r="F92" s="476">
        <v>0.33900000000000002</v>
      </c>
    </row>
    <row r="94" spans="1:12">
      <c r="E94" s="475"/>
    </row>
    <row r="95" spans="1:12">
      <c r="A95" s="455" t="s">
        <v>842</v>
      </c>
      <c r="C95" s="453" t="s">
        <v>844</v>
      </c>
      <c r="D95" s="453" t="s">
        <v>836</v>
      </c>
    </row>
    <row r="96" spans="1:12">
      <c r="D96" s="453">
        <v>12</v>
      </c>
    </row>
    <row r="97" spans="1:4">
      <c r="A97" s="455" t="s">
        <v>792</v>
      </c>
    </row>
    <row r="98" spans="1:4">
      <c r="A98" s="455" t="s">
        <v>793</v>
      </c>
      <c r="C98" s="453">
        <v>136000000</v>
      </c>
      <c r="D98" s="453">
        <f>C98*$D$96</f>
        <v>1632000000</v>
      </c>
    </row>
    <row r="99" spans="1:4">
      <c r="A99" s="455" t="s">
        <v>795</v>
      </c>
      <c r="C99" s="453">
        <v>166000000</v>
      </c>
      <c r="D99" s="453">
        <f t="shared" ref="D99:D101" si="40">C99*$D$96</f>
        <v>1992000000</v>
      </c>
    </row>
    <row r="100" spans="1:4">
      <c r="A100" s="455" t="s">
        <v>794</v>
      </c>
      <c r="C100" s="453">
        <v>190000000</v>
      </c>
      <c r="D100" s="453">
        <f t="shared" si="40"/>
        <v>2280000000</v>
      </c>
    </row>
    <row r="101" spans="1:4">
      <c r="A101" s="455" t="s">
        <v>843</v>
      </c>
      <c r="C101" s="453">
        <v>398000000</v>
      </c>
      <c r="D101" s="453">
        <f t="shared" si="40"/>
        <v>4776000000</v>
      </c>
    </row>
    <row r="102" spans="1:4">
      <c r="A102" s="455"/>
      <c r="D102" s="453">
        <f>SUM(D98:D101)</f>
        <v>10680000000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N91"/>
  <sheetViews>
    <sheetView showGridLines="0" topLeftCell="A6" zoomScale="104" zoomScaleNormal="104" workbookViewId="0">
      <selection activeCell="K22" sqref="K22"/>
    </sheetView>
  </sheetViews>
  <sheetFormatPr defaultRowHeight="12.75"/>
  <cols>
    <col min="1" max="1" width="26" style="1" customWidth="1"/>
    <col min="2" max="2" width="11.140625" style="1" customWidth="1"/>
    <col min="3" max="3" width="11.28515625" style="1" customWidth="1"/>
    <col min="4" max="4" width="11.42578125" style="1" customWidth="1"/>
    <col min="5" max="5" width="11.28515625" style="1" customWidth="1"/>
    <col min="6" max="7" width="12.85546875" style="1" bestFit="1" customWidth="1"/>
    <col min="8" max="8" width="15.42578125" style="1" customWidth="1"/>
    <col min="9" max="9" width="2.5703125" style="1" customWidth="1"/>
    <col min="10" max="10" width="20.42578125" style="1" customWidth="1"/>
    <col min="11" max="11" width="11.28515625" style="1" bestFit="1" customWidth="1"/>
    <col min="12" max="12" width="11.42578125" style="1" customWidth="1"/>
    <col min="13" max="16384" width="9.140625" style="1"/>
  </cols>
  <sheetData>
    <row r="1" spans="1:14" ht="15" customHeight="1">
      <c r="A1" s="36">
        <f>Info!B6</f>
        <v>0</v>
      </c>
      <c r="C1" s="341"/>
      <c r="D1" s="341"/>
      <c r="E1" s="341"/>
      <c r="F1" s="341"/>
    </row>
    <row r="2" spans="1:14" ht="15" customHeight="1">
      <c r="A2" s="37" t="s">
        <v>38</v>
      </c>
      <c r="C2" s="624"/>
      <c r="D2" s="624"/>
      <c r="E2" s="624"/>
      <c r="F2" s="624"/>
    </row>
    <row r="3" spans="1:14" ht="7.5" customHeight="1"/>
    <row r="4" spans="1:14" ht="12.75" customHeight="1">
      <c r="A4" s="209" t="s">
        <v>39</v>
      </c>
      <c r="B4" s="205"/>
      <c r="C4" s="205"/>
      <c r="D4" s="205"/>
      <c r="E4" s="205"/>
      <c r="F4" s="205"/>
      <c r="G4" s="205"/>
      <c r="H4" s="207"/>
      <c r="J4" s="331" t="s">
        <v>534</v>
      </c>
      <c r="K4" s="333"/>
      <c r="L4" s="333"/>
      <c r="M4" s="334"/>
      <c r="N4" s="59"/>
    </row>
    <row r="5" spans="1:14" ht="12.75" customHeight="1">
      <c r="A5" s="321"/>
      <c r="B5" s="262">
        <v>2014</v>
      </c>
      <c r="C5" s="262" t="s">
        <v>539</v>
      </c>
      <c r="D5" s="262" t="s">
        <v>770</v>
      </c>
      <c r="E5" s="262" t="s">
        <v>771</v>
      </c>
      <c r="F5" s="262" t="s">
        <v>856</v>
      </c>
      <c r="G5" s="262" t="s">
        <v>897</v>
      </c>
      <c r="H5" s="496" t="s">
        <v>920</v>
      </c>
      <c r="J5" s="43" t="s">
        <v>577</v>
      </c>
      <c r="K5" s="251">
        <v>160118.20000000001</v>
      </c>
      <c r="L5" s="39"/>
      <c r="M5" s="57"/>
      <c r="N5" s="59"/>
    </row>
    <row r="6" spans="1:14" ht="12.75" customHeight="1">
      <c r="A6" s="200" t="s">
        <v>620</v>
      </c>
      <c r="B6" s="339">
        <f>'Assump Revenue'!N55</f>
        <v>171091.56480000002</v>
      </c>
      <c r="C6" s="429">
        <f>'Assump Revenue'!O55</f>
        <v>206606.72943529999</v>
      </c>
      <c r="D6" s="429">
        <f>'Assump Revenue'!P55</f>
        <v>193625.82463797822</v>
      </c>
      <c r="E6" s="429">
        <f>'Assump Revenue'!Q55</f>
        <v>237962.15417033673</v>
      </c>
      <c r="F6" s="429">
        <f>'Assump Revenue'!R55</f>
        <v>284731.99488504394</v>
      </c>
      <c r="G6" s="429">
        <f>'Assump Revenue'!S55</f>
        <v>330502.09409949498</v>
      </c>
      <c r="H6" s="493">
        <f>'Assump Revenue'!T55</f>
        <v>372446.21463373542</v>
      </c>
      <c r="J6" s="43" t="s">
        <v>573</v>
      </c>
      <c r="K6" s="623">
        <v>0.08</v>
      </c>
      <c r="L6" s="39" t="s">
        <v>773</v>
      </c>
      <c r="M6" s="57"/>
      <c r="N6" s="59"/>
    </row>
    <row r="7" spans="1:14" ht="12.75" customHeight="1">
      <c r="A7" s="43" t="s">
        <v>401</v>
      </c>
      <c r="B7" s="51"/>
      <c r="C7" s="430">
        <f>C6/B6-1</f>
        <v>0.20757986915845872</v>
      </c>
      <c r="D7" s="430">
        <f t="shared" ref="D7:H7" si="0">D6/C6-1</f>
        <v>-6.2829051274376879E-2</v>
      </c>
      <c r="E7" s="430">
        <f t="shared" si="0"/>
        <v>0.22897942263256477</v>
      </c>
      <c r="F7" s="430">
        <f t="shared" si="0"/>
        <v>0.1965431893057612</v>
      </c>
      <c r="G7" s="430">
        <f t="shared" si="0"/>
        <v>0.16074800175839044</v>
      </c>
      <c r="H7" s="494">
        <f t="shared" si="0"/>
        <v>0.12691030188030661</v>
      </c>
      <c r="J7" s="43" t="s">
        <v>671</v>
      </c>
      <c r="K7" s="252">
        <v>0.05</v>
      </c>
      <c r="L7" s="285">
        <v>2013</v>
      </c>
      <c r="M7" s="57"/>
      <c r="N7" s="59"/>
    </row>
    <row r="8" spans="1:14" ht="12.75" customHeight="1">
      <c r="A8" s="43" t="s">
        <v>792</v>
      </c>
      <c r="B8" s="431">
        <f>'Assump Revenue'!N7</f>
        <v>8729.1</v>
      </c>
      <c r="C8" s="431">
        <f>'Assump Revenue'!O7</f>
        <v>8206</v>
      </c>
      <c r="D8" s="431">
        <f>'Assump Revenue'!P7</f>
        <v>0</v>
      </c>
      <c r="E8" s="431">
        <f>'Assump Revenue'!Q7</f>
        <v>0</v>
      </c>
      <c r="F8" s="431">
        <f>'Assump Revenue'!R7</f>
        <v>0</v>
      </c>
      <c r="G8" s="431">
        <f>'Assump Revenue'!S7</f>
        <v>0</v>
      </c>
      <c r="H8" s="57"/>
      <c r="J8" s="4"/>
      <c r="K8" s="635">
        <v>0.05</v>
      </c>
      <c r="L8" s="62" t="s">
        <v>596</v>
      </c>
      <c r="M8" s="25"/>
      <c r="N8" s="59"/>
    </row>
    <row r="9" spans="1:14" ht="12.75" customHeight="1">
      <c r="A9" s="43" t="s">
        <v>401</v>
      </c>
      <c r="B9" s="39"/>
      <c r="C9" s="432"/>
      <c r="D9" s="432"/>
      <c r="E9" s="432"/>
      <c r="F9" s="432"/>
      <c r="G9" s="432"/>
      <c r="H9" s="57"/>
      <c r="N9" s="59"/>
    </row>
    <row r="10" spans="1:14" ht="12.75" customHeight="1">
      <c r="A10" s="43" t="s">
        <v>793</v>
      </c>
      <c r="B10" s="310">
        <f>'Assump Revenue'!N16</f>
        <v>22367.694900000002</v>
      </c>
      <c r="C10" s="310">
        <f>'Assump Revenue'!O16</f>
        <v>3648</v>
      </c>
      <c r="D10" s="310">
        <f>'Assump Revenue'!P16</f>
        <v>0</v>
      </c>
      <c r="E10" s="310">
        <f>'Assump Revenue'!Q16</f>
        <v>0</v>
      </c>
      <c r="F10" s="310">
        <f>'Assump Revenue'!R16</f>
        <v>0</v>
      </c>
      <c r="G10" s="310">
        <f>'Assump Revenue'!S16</f>
        <v>0</v>
      </c>
      <c r="H10" s="311">
        <f>'Assump Revenue'!T16</f>
        <v>0</v>
      </c>
      <c r="J10" s="331" t="s">
        <v>597</v>
      </c>
      <c r="K10" s="333"/>
      <c r="L10" s="333"/>
      <c r="M10" s="334"/>
      <c r="N10" s="59"/>
    </row>
    <row r="11" spans="1:14" ht="12.75" customHeight="1">
      <c r="A11" s="43" t="s">
        <v>401</v>
      </c>
      <c r="B11" s="39"/>
      <c r="C11" s="430">
        <f>C10/B10-1</f>
        <v>-0.8369076466614358</v>
      </c>
      <c r="D11" s="430">
        <f t="shared" ref="D11" si="1">D10/C10-1</f>
        <v>-1</v>
      </c>
      <c r="E11" s="430"/>
      <c r="F11" s="430"/>
      <c r="G11" s="430"/>
      <c r="H11" s="494"/>
      <c r="J11" s="43" t="s">
        <v>553</v>
      </c>
      <c r="K11" s="250">
        <v>25</v>
      </c>
      <c r="L11" s="322" t="s">
        <v>578</v>
      </c>
      <c r="M11" s="57"/>
      <c r="N11" s="59"/>
    </row>
    <row r="12" spans="1:14" ht="12.75" customHeight="1">
      <c r="A12" s="43" t="s">
        <v>795</v>
      </c>
      <c r="B12" s="431">
        <f>'Assump Revenue'!N28</f>
        <v>26363.601899999991</v>
      </c>
      <c r="C12" s="431">
        <f>'Assump Revenue'!O28</f>
        <v>27286.32796649999</v>
      </c>
      <c r="D12" s="431">
        <f>'Assump Revenue'!P28</f>
        <v>30083.176583066237</v>
      </c>
      <c r="E12" s="431">
        <f>'Assump Revenue'!Q28</f>
        <v>33166.70218283053</v>
      </c>
      <c r="F12" s="431">
        <f>'Assump Revenue'!R28</f>
        <v>36566.289156570667</v>
      </c>
      <c r="G12" s="431">
        <f>'Assump Revenue'!S28</f>
        <v>40314.333795119164</v>
      </c>
      <c r="H12" s="495">
        <f>'Assump Revenue'!T28</f>
        <v>44446.553009118892</v>
      </c>
      <c r="J12" s="43" t="s">
        <v>547</v>
      </c>
      <c r="K12" s="250">
        <v>15</v>
      </c>
      <c r="L12" s="322" t="s">
        <v>578</v>
      </c>
      <c r="M12" s="57"/>
      <c r="N12" s="59"/>
    </row>
    <row r="13" spans="1:14" ht="12.75" customHeight="1">
      <c r="A13" s="43" t="s">
        <v>401</v>
      </c>
      <c r="B13" s="254"/>
      <c r="C13" s="430">
        <f>C12/B12-1</f>
        <v>3.499999999999992E-2</v>
      </c>
      <c r="D13" s="430">
        <f t="shared" ref="D13:H13" si="2">D12/C12-1</f>
        <v>0.10250000000000004</v>
      </c>
      <c r="E13" s="430">
        <f t="shared" si="2"/>
        <v>0.10250000000000004</v>
      </c>
      <c r="F13" s="430">
        <f t="shared" si="2"/>
        <v>0.10250000000000026</v>
      </c>
      <c r="G13" s="430">
        <f t="shared" si="2"/>
        <v>0.10250000000000004</v>
      </c>
      <c r="H13" s="494">
        <f t="shared" si="2"/>
        <v>0.10250000000000026</v>
      </c>
      <c r="J13" s="43" t="s">
        <v>555</v>
      </c>
      <c r="K13" s="250">
        <v>6</v>
      </c>
      <c r="L13" s="322" t="s">
        <v>578</v>
      </c>
      <c r="M13" s="57"/>
      <c r="N13" s="59"/>
    </row>
    <row r="14" spans="1:14" ht="12.75" customHeight="1">
      <c r="A14" s="43" t="s">
        <v>794</v>
      </c>
      <c r="B14" s="310">
        <f>'Assump Revenue'!N37</f>
        <v>37016.179200000006</v>
      </c>
      <c r="C14" s="310">
        <f>'Assump Revenue'!O37</f>
        <v>37756.502784000011</v>
      </c>
      <c r="D14" s="310">
        <f>'Assump Revenue'!P37</f>
        <v>46459.37667571201</v>
      </c>
      <c r="E14" s="310">
        <f>'Assump Revenue'!Q37</f>
        <v>56099.697335922247</v>
      </c>
      <c r="F14" s="310">
        <f>'Assump Revenue'!R37</f>
        <v>67740.384533126111</v>
      </c>
      <c r="G14" s="310">
        <f>'Assump Revenue'!S37</f>
        <v>81796.514323749783</v>
      </c>
      <c r="H14" s="311">
        <f>'Assump Revenue'!T37</f>
        <v>98769.291045927894</v>
      </c>
      <c r="J14" s="43" t="s">
        <v>598</v>
      </c>
      <c r="K14" s="250">
        <v>6</v>
      </c>
      <c r="L14" s="322" t="s">
        <v>578</v>
      </c>
      <c r="M14" s="57"/>
      <c r="N14" s="59"/>
    </row>
    <row r="15" spans="1:14" ht="12.75" customHeight="1">
      <c r="A15" s="39" t="s">
        <v>401</v>
      </c>
      <c r="B15" s="39"/>
      <c r="C15" s="430">
        <f>C14/B14-1</f>
        <v>2.000000000000024E-2</v>
      </c>
      <c r="D15" s="430">
        <f t="shared" ref="D15:H15" si="3">D14/C14-1</f>
        <v>0.23049999999999993</v>
      </c>
      <c r="E15" s="430">
        <f t="shared" si="3"/>
        <v>0.2074999999999998</v>
      </c>
      <c r="F15" s="430">
        <f t="shared" si="3"/>
        <v>0.20750000000000002</v>
      </c>
      <c r="G15" s="430">
        <f t="shared" si="3"/>
        <v>0.20750000000000002</v>
      </c>
      <c r="H15" s="494">
        <f t="shared" si="3"/>
        <v>0.20750000000000046</v>
      </c>
      <c r="J15" s="43"/>
      <c r="K15" s="39"/>
      <c r="L15" s="39"/>
      <c r="M15" s="57"/>
      <c r="N15" s="59"/>
    </row>
    <row r="16" spans="1:14" ht="12.75" customHeight="1">
      <c r="A16" s="43" t="s">
        <v>796</v>
      </c>
      <c r="B16" s="310">
        <f>'Assump Revenue'!N46</f>
        <v>76614.988800000021</v>
      </c>
      <c r="C16" s="310">
        <f>'Assump Revenue'!O46</f>
        <v>129709.89868479999</v>
      </c>
      <c r="D16" s="310">
        <f>'Assump Revenue'!P46</f>
        <v>117083.27137919998</v>
      </c>
      <c r="E16" s="310">
        <f>'Assump Revenue'!Q46</f>
        <v>148695.75465158396</v>
      </c>
      <c r="F16" s="310">
        <f>'Assump Revenue'!R46</f>
        <v>180425.32119534718</v>
      </c>
      <c r="G16" s="310">
        <f>'Assump Revenue'!S46</f>
        <v>208391.245980626</v>
      </c>
      <c r="H16" s="311">
        <f>'Assump Revenue'!T46</f>
        <v>229230.37057868863</v>
      </c>
      <c r="J16" s="331" t="s">
        <v>599</v>
      </c>
      <c r="K16" s="333"/>
      <c r="L16" s="333"/>
      <c r="M16" s="334"/>
      <c r="N16" s="59"/>
    </row>
    <row r="17" spans="1:14" ht="12.75" customHeight="1">
      <c r="A17" s="39" t="s">
        <v>401</v>
      </c>
      <c r="B17" s="39"/>
      <c r="C17" s="430">
        <f>C16/B16-1</f>
        <v>0.69300943218045541</v>
      </c>
      <c r="D17" s="430">
        <f t="shared" ref="D17" si="4">D16/C16-1</f>
        <v>-9.7345132743362872E-2</v>
      </c>
      <c r="E17" s="430">
        <f t="shared" ref="E17" si="5">E16/D16-1</f>
        <v>0.2699999999999998</v>
      </c>
      <c r="F17" s="430">
        <f t="shared" ref="F17" si="6">F16/E16-1</f>
        <v>0.21338582677165374</v>
      </c>
      <c r="G17" s="430">
        <f t="shared" ref="G17:H17" si="7">G16/F16-1</f>
        <v>0.15500000000000003</v>
      </c>
      <c r="H17" s="494">
        <f t="shared" si="7"/>
        <v>0.10000000000000009</v>
      </c>
      <c r="J17" s="43" t="s">
        <v>591</v>
      </c>
      <c r="K17" s="255">
        <v>0.25</v>
      </c>
      <c r="L17" s="285" t="s">
        <v>891</v>
      </c>
      <c r="M17" s="57"/>
      <c r="N17" s="59"/>
    </row>
    <row r="18" spans="1:14" ht="12.75" customHeight="1">
      <c r="A18" s="62"/>
      <c r="B18" s="167"/>
      <c r="C18" s="167"/>
      <c r="D18" s="167"/>
      <c r="E18" s="167"/>
      <c r="F18" s="167"/>
      <c r="G18" s="167"/>
      <c r="H18" s="63"/>
      <c r="J18" s="43" t="s">
        <v>591</v>
      </c>
      <c r="K18" s="252">
        <v>0.2</v>
      </c>
      <c r="L18" s="39">
        <v>2014</v>
      </c>
      <c r="M18" s="57"/>
      <c r="N18" s="59"/>
    </row>
    <row r="19" spans="1:14" ht="12.75" customHeight="1">
      <c r="J19" s="43" t="s">
        <v>664</v>
      </c>
      <c r="K19" s="252">
        <v>0.1</v>
      </c>
      <c r="L19" s="39"/>
      <c r="M19" s="57"/>
      <c r="N19" s="59"/>
    </row>
    <row r="20" spans="1:14" ht="12.75" customHeight="1">
      <c r="A20" s="337" t="s">
        <v>618</v>
      </c>
      <c r="B20" s="335"/>
      <c r="C20" s="335"/>
      <c r="D20" s="335"/>
      <c r="E20" s="335"/>
      <c r="F20" s="335"/>
      <c r="G20" s="335"/>
      <c r="H20" s="332"/>
      <c r="J20" s="66" t="s">
        <v>665</v>
      </c>
      <c r="K20" s="346">
        <v>0.01</v>
      </c>
      <c r="L20" s="5"/>
      <c r="M20" s="25"/>
      <c r="N20" s="59"/>
    </row>
    <row r="21" spans="1:14" ht="12.75" customHeight="1">
      <c r="A21" s="200"/>
      <c r="B21" s="262">
        <f>B5</f>
        <v>2014</v>
      </c>
      <c r="C21" s="262" t="str">
        <f t="shared" ref="C21:G21" si="8">C5</f>
        <v>2015F</v>
      </c>
      <c r="D21" s="262" t="str">
        <f t="shared" si="8"/>
        <v>2016F</v>
      </c>
      <c r="E21" s="262" t="str">
        <f t="shared" si="8"/>
        <v>2017F</v>
      </c>
      <c r="F21" s="262" t="str">
        <f t="shared" si="8"/>
        <v>2018F</v>
      </c>
      <c r="G21" s="262" t="str">
        <f t="shared" si="8"/>
        <v>2019F</v>
      </c>
      <c r="H21" s="496" t="str">
        <f>H5</f>
        <v>2020F</v>
      </c>
      <c r="J21" s="331" t="s">
        <v>600</v>
      </c>
      <c r="K21" s="333"/>
      <c r="L21" s="333"/>
      <c r="M21" s="334"/>
      <c r="N21" s="59"/>
    </row>
    <row r="22" spans="1:14" ht="12.75" customHeight="1">
      <c r="A22" s="43" t="s">
        <v>524</v>
      </c>
      <c r="B22" s="251">
        <f ca="1">-'PL&amp;BS Projection'!F6</f>
        <v>140667.34983200001</v>
      </c>
      <c r="C22" s="251">
        <f>COGS!H21</f>
        <v>150726.24531804805</v>
      </c>
      <c r="D22" s="251">
        <f>COGS!I21</f>
        <v>145054.31814910355</v>
      </c>
      <c r="E22" s="251">
        <f>COGS!J21</f>
        <v>171257.93274680115</v>
      </c>
      <c r="F22" s="251">
        <f>COGS!K21</f>
        <v>197993.84046604059</v>
      </c>
      <c r="G22" s="251">
        <f>COGS!L21</f>
        <v>225285.68768948739</v>
      </c>
      <c r="H22" s="497">
        <f>COGS!M21</f>
        <v>256129.35223590804</v>
      </c>
      <c r="J22" s="43" t="s">
        <v>601</v>
      </c>
      <c r="K22" s="302">
        <v>41</v>
      </c>
      <c r="L22" s="39" t="s">
        <v>604</v>
      </c>
      <c r="M22" s="57"/>
      <c r="N22" s="59"/>
    </row>
    <row r="23" spans="1:14" ht="12.75" customHeight="1">
      <c r="A23" s="201" t="s">
        <v>619</v>
      </c>
      <c r="B23" s="338">
        <f ca="1">B22/B6</f>
        <v>0.82217583313610554</v>
      </c>
      <c r="C23" s="338">
        <f t="shared" ref="C23:H23" si="9">C22/C6</f>
        <v>0.72953211993633915</v>
      </c>
      <c r="D23" s="338">
        <f t="shared" si="9"/>
        <v>0.74914758101256018</v>
      </c>
      <c r="E23" s="338">
        <f t="shared" si="9"/>
        <v>0.71968558758386536</v>
      </c>
      <c r="F23" s="338">
        <f t="shared" si="9"/>
        <v>0.69536913315968407</v>
      </c>
      <c r="G23" s="338">
        <f t="shared" si="9"/>
        <v>0.6816467783761363</v>
      </c>
      <c r="H23" s="498">
        <f t="shared" si="9"/>
        <v>0.6876948729034239</v>
      </c>
      <c r="J23" s="43" t="s">
        <v>602</v>
      </c>
      <c r="K23" s="302">
        <v>70</v>
      </c>
      <c r="L23" s="39" t="s">
        <v>604</v>
      </c>
      <c r="M23" s="57"/>
      <c r="N23" s="59"/>
    </row>
    <row r="24" spans="1:14" ht="12.75" customHeight="1">
      <c r="B24" s="254"/>
      <c r="D24" s="39"/>
      <c r="E24" s="39"/>
      <c r="F24" s="251"/>
      <c r="G24" s="256"/>
      <c r="H24" s="342"/>
      <c r="J24" s="43" t="s">
        <v>603</v>
      </c>
      <c r="K24" s="634">
        <v>18</v>
      </c>
      <c r="L24" s="39" t="s">
        <v>604</v>
      </c>
      <c r="M24" s="57"/>
    </row>
    <row r="25" spans="1:14" ht="12.75" customHeight="1">
      <c r="A25" s="209" t="s">
        <v>523</v>
      </c>
      <c r="B25" s="205"/>
      <c r="C25" s="205"/>
      <c r="D25" s="205"/>
      <c r="E25" s="205"/>
      <c r="F25" s="205"/>
      <c r="G25" s="205"/>
      <c r="H25" s="207"/>
      <c r="J25" s="43" t="s">
        <v>605</v>
      </c>
      <c r="K25" s="302">
        <f>K22+K23-K24</f>
        <v>93</v>
      </c>
      <c r="L25" s="39" t="s">
        <v>604</v>
      </c>
      <c r="M25" s="57"/>
    </row>
    <row r="26" spans="1:14" ht="12.75" customHeight="1">
      <c r="A26" s="200" t="s">
        <v>532</v>
      </c>
      <c r="B26" s="287" t="s">
        <v>533</v>
      </c>
      <c r="C26" s="39"/>
      <c r="D26" s="39"/>
      <c r="E26" s="39"/>
      <c r="F26" s="39"/>
      <c r="G26" s="39"/>
      <c r="H26" s="57"/>
      <c r="J26" s="3"/>
      <c r="K26" s="2"/>
      <c r="L26" s="2"/>
      <c r="M26" s="6"/>
    </row>
    <row r="27" spans="1:14" ht="12.75" customHeight="1">
      <c r="A27" s="43" t="s">
        <v>526</v>
      </c>
      <c r="B27" s="255"/>
      <c r="C27" s="39"/>
      <c r="D27" s="39"/>
      <c r="E27" s="39"/>
      <c r="F27" s="39"/>
      <c r="G27" s="39"/>
      <c r="H27" s="57"/>
      <c r="J27" s="331" t="s">
        <v>607</v>
      </c>
      <c r="K27" s="333"/>
      <c r="L27" s="333"/>
      <c r="M27" s="334"/>
    </row>
    <row r="28" spans="1:14" ht="12.75" customHeight="1">
      <c r="A28" s="43" t="s">
        <v>527</v>
      </c>
      <c r="B28" s="255"/>
      <c r="C28" s="39"/>
      <c r="D28" s="39"/>
      <c r="E28" s="39"/>
      <c r="F28" s="39"/>
      <c r="G28" s="39"/>
      <c r="H28" s="57"/>
      <c r="J28" s="43" t="s">
        <v>611</v>
      </c>
      <c r="K28" s="626">
        <v>0.1</v>
      </c>
      <c r="L28" s="2" t="s">
        <v>612</v>
      </c>
      <c r="M28" s="6"/>
    </row>
    <row r="29" spans="1:14" ht="12.75" customHeight="1">
      <c r="A29" s="43" t="s">
        <v>528</v>
      </c>
      <c r="B29" s="255"/>
      <c r="C29" s="39"/>
      <c r="D29" s="39"/>
      <c r="E29" s="39"/>
      <c r="F29" s="39"/>
      <c r="G29" s="39"/>
      <c r="H29" s="57"/>
      <c r="J29" s="43" t="s">
        <v>610</v>
      </c>
      <c r="K29" s="626">
        <v>0.05</v>
      </c>
      <c r="L29" s="2" t="s">
        <v>612</v>
      </c>
      <c r="M29" s="6"/>
    </row>
    <row r="30" spans="1:14" ht="12.75" customHeight="1">
      <c r="A30" s="43" t="s">
        <v>529</v>
      </c>
      <c r="B30" s="255"/>
      <c r="C30" s="39"/>
      <c r="D30" s="39"/>
      <c r="E30" s="39"/>
      <c r="F30" s="39"/>
      <c r="G30" s="39"/>
      <c r="H30" s="57"/>
      <c r="J30" s="43" t="s">
        <v>609</v>
      </c>
      <c r="K30" s="626">
        <v>0</v>
      </c>
      <c r="L30" s="2" t="s">
        <v>612</v>
      </c>
      <c r="M30" s="6"/>
    </row>
    <row r="31" spans="1:14" ht="12.75" customHeight="1">
      <c r="A31" s="43" t="s">
        <v>530</v>
      </c>
      <c r="B31" s="255"/>
      <c r="C31" s="39"/>
      <c r="D31" s="39"/>
      <c r="E31" s="39"/>
      <c r="F31" s="39"/>
      <c r="G31" s="39"/>
      <c r="H31" s="57"/>
      <c r="J31" s="4"/>
      <c r="K31" s="5"/>
      <c r="L31" s="5"/>
      <c r="M31" s="25"/>
    </row>
    <row r="32" spans="1:14" ht="12.75" customHeight="1">
      <c r="A32" s="43" t="s">
        <v>531</v>
      </c>
      <c r="B32" s="255"/>
      <c r="C32" s="39"/>
      <c r="D32" s="39"/>
      <c r="E32" s="39"/>
      <c r="F32" s="39"/>
      <c r="G32" s="39"/>
      <c r="H32" s="57"/>
      <c r="J32" s="2"/>
      <c r="K32" s="2"/>
      <c r="L32" s="2"/>
      <c r="M32" s="2"/>
    </row>
    <row r="33" spans="1:13" ht="12.75" customHeight="1">
      <c r="A33" s="200" t="s">
        <v>525</v>
      </c>
      <c r="B33" s="38" t="s">
        <v>616</v>
      </c>
      <c r="C33" s="298" t="str">
        <f>C21</f>
        <v>2015F</v>
      </c>
      <c r="D33" s="298" t="str">
        <f t="shared" ref="D33:G33" si="10">D21</f>
        <v>2016F</v>
      </c>
      <c r="E33" s="298" t="str">
        <f t="shared" si="10"/>
        <v>2017F</v>
      </c>
      <c r="F33" s="298" t="str">
        <f t="shared" si="10"/>
        <v>2018F</v>
      </c>
      <c r="G33" s="298" t="str">
        <f t="shared" si="10"/>
        <v>2019F</v>
      </c>
      <c r="H33" s="504" t="str">
        <f>H21</f>
        <v>2020F</v>
      </c>
      <c r="J33" s="2"/>
      <c r="K33" s="2"/>
      <c r="L33" s="2"/>
      <c r="M33" s="2"/>
    </row>
    <row r="34" spans="1:13" ht="12.75" customHeight="1">
      <c r="A34" s="43" t="s">
        <v>594</v>
      </c>
      <c r="B34" s="628">
        <f ca="1">-'Financial statement'!J13/'Financial statement'!J7</f>
        <v>1.8788238613016109E-3</v>
      </c>
      <c r="C34" s="255">
        <f ca="1">B34-0.01%</f>
        <v>1.7788238613016109E-3</v>
      </c>
      <c r="D34" s="255">
        <f t="shared" ref="D34:H34" ca="1" si="11">C34</f>
        <v>1.7788238613016109E-3</v>
      </c>
      <c r="E34" s="255">
        <f t="shared" ca="1" si="11"/>
        <v>1.7788238613016109E-3</v>
      </c>
      <c r="F34" s="255">
        <f t="shared" ca="1" si="11"/>
        <v>1.7788238613016109E-3</v>
      </c>
      <c r="G34" s="255">
        <f t="shared" ca="1" si="11"/>
        <v>1.7788238613016109E-3</v>
      </c>
      <c r="H34" s="300">
        <f t="shared" ca="1" si="11"/>
        <v>1.7788238613016109E-3</v>
      </c>
      <c r="J34" s="2"/>
      <c r="K34" s="2"/>
      <c r="L34" s="2"/>
      <c r="M34" s="2"/>
    </row>
    <row r="35" spans="1:13" ht="12.75" customHeight="1">
      <c r="A35" s="66" t="s">
        <v>595</v>
      </c>
      <c r="B35" s="629">
        <f ca="1">-'Financial statement'!J14/'Financial statement'!J7</f>
        <v>6.1711947636064787E-2</v>
      </c>
      <c r="C35" s="259">
        <f ca="1">B35+0.1%</f>
        <v>6.2711947636064788E-2</v>
      </c>
      <c r="D35" s="259">
        <f t="shared" ref="D35:H35" ca="1" si="12">C35</f>
        <v>6.2711947636064788E-2</v>
      </c>
      <c r="E35" s="259">
        <f t="shared" ca="1" si="12"/>
        <v>6.2711947636064788E-2</v>
      </c>
      <c r="F35" s="259">
        <f t="shared" ca="1" si="12"/>
        <v>6.2711947636064788E-2</v>
      </c>
      <c r="G35" s="259">
        <f t="shared" ca="1" si="12"/>
        <v>6.2711947636064788E-2</v>
      </c>
      <c r="H35" s="525">
        <f t="shared" ca="1" si="12"/>
        <v>6.2711947636064788E-2</v>
      </c>
      <c r="J35" s="348" t="s">
        <v>772</v>
      </c>
      <c r="K35" s="349">
        <v>2013</v>
      </c>
      <c r="L35" s="349"/>
      <c r="M35" s="350"/>
    </row>
    <row r="36" spans="1:13" ht="12.75" customHeight="1">
      <c r="J36" s="43" t="s">
        <v>793</v>
      </c>
      <c r="K36" s="416">
        <f>1-COGS!H33/'Assump Revenue'!O16</f>
        <v>1</v>
      </c>
      <c r="L36" s="2"/>
      <c r="M36" s="6"/>
    </row>
    <row r="37" spans="1:13" ht="12.75" customHeight="1">
      <c r="A37" s="331" t="s">
        <v>606</v>
      </c>
      <c r="B37" s="324"/>
      <c r="C37" s="415" t="str">
        <f>C33</f>
        <v>2015F</v>
      </c>
      <c r="D37" s="415" t="str">
        <f t="shared" ref="D37:G37" si="13">D33</f>
        <v>2016F</v>
      </c>
      <c r="E37" s="415" t="str">
        <f t="shared" si="13"/>
        <v>2017F</v>
      </c>
      <c r="F37" s="415" t="str">
        <f t="shared" si="13"/>
        <v>2018F</v>
      </c>
      <c r="G37" s="415" t="str">
        <f t="shared" si="13"/>
        <v>2019F</v>
      </c>
      <c r="H37" s="503" t="s">
        <v>920</v>
      </c>
      <c r="J37" s="43" t="s">
        <v>795</v>
      </c>
      <c r="K37" s="416">
        <f>1-COGS!H44/'Assump Revenue'!O28</f>
        <v>0.34161911811251744</v>
      </c>
      <c r="L37" s="2"/>
      <c r="M37" s="6"/>
    </row>
    <row r="38" spans="1:13" ht="12.75" customHeight="1">
      <c r="A38" s="239" t="s">
        <v>543</v>
      </c>
      <c r="B38" s="419"/>
      <c r="C38" s="420">
        <f>CAPEX!C6</f>
        <v>4266.833333333333</v>
      </c>
      <c r="D38" s="420">
        <f>CAPEX!D6</f>
        <v>27828.466666666667</v>
      </c>
      <c r="E38" s="420">
        <f>CAPEX!E6</f>
        <v>29193.466666666667</v>
      </c>
      <c r="F38" s="420">
        <f>CAPEX!F6</f>
        <v>34193.466666666667</v>
      </c>
      <c r="G38" s="526">
        <f>CAPEX!G6</f>
        <v>32828.466666666667</v>
      </c>
      <c r="H38" s="527">
        <f>CAPEX!H6</f>
        <v>42828.466666666667</v>
      </c>
      <c r="J38" s="43" t="s">
        <v>881</v>
      </c>
      <c r="K38" s="416">
        <f>1-COGS!H55/'Assump Revenue'!O37</f>
        <v>0.15079731386285766</v>
      </c>
      <c r="L38" s="2"/>
      <c r="M38" s="6"/>
    </row>
    <row r="39" spans="1:13" ht="12.75" customHeight="1">
      <c r="A39" s="330" t="s">
        <v>544</v>
      </c>
      <c r="B39" s="421"/>
      <c r="C39" s="422">
        <f>C38/C6</f>
        <v>2.0651957199049099E-2</v>
      </c>
      <c r="D39" s="422">
        <f t="shared" ref="D39:H39" si="14">D38/D6</f>
        <v>0.14372290844311439</v>
      </c>
      <c r="E39" s="422">
        <f t="shared" si="14"/>
        <v>0.1226811329240597</v>
      </c>
      <c r="F39" s="422">
        <f t="shared" si="14"/>
        <v>0.12009000492014163</v>
      </c>
      <c r="G39" s="422">
        <f t="shared" si="14"/>
        <v>9.9329073106519936E-2</v>
      </c>
      <c r="H39" s="528">
        <f t="shared" si="14"/>
        <v>0.11499235321477033</v>
      </c>
      <c r="J39" s="43" t="s">
        <v>887</v>
      </c>
      <c r="K39" s="416">
        <f>1-COGS!H66/'Assump Revenue'!O46</f>
        <v>0.22366352849155569</v>
      </c>
      <c r="L39" s="2"/>
      <c r="M39" s="6"/>
    </row>
    <row r="40" spans="1:13" ht="12.75" customHeight="1">
      <c r="J40" s="66"/>
      <c r="K40" s="417"/>
      <c r="L40" s="5"/>
      <c r="M40" s="25"/>
    </row>
    <row r="41" spans="1:13" ht="12.75" customHeight="1">
      <c r="A41" s="331" t="s">
        <v>613</v>
      </c>
      <c r="B41" s="415">
        <v>2014</v>
      </c>
      <c r="C41" s="415" t="str">
        <f>C37</f>
        <v>2015F</v>
      </c>
      <c r="D41" s="415" t="str">
        <f t="shared" ref="D41:H41" si="15">D37</f>
        <v>2016F</v>
      </c>
      <c r="E41" s="415" t="str">
        <f t="shared" si="15"/>
        <v>2017F</v>
      </c>
      <c r="F41" s="415" t="str">
        <f t="shared" si="15"/>
        <v>2018F</v>
      </c>
      <c r="G41" s="415" t="str">
        <f t="shared" si="15"/>
        <v>2019F</v>
      </c>
      <c r="H41" s="415" t="str">
        <f t="shared" si="15"/>
        <v>2020F</v>
      </c>
    </row>
    <row r="42" spans="1:13" ht="12.75" customHeight="1">
      <c r="A42" s="43" t="s">
        <v>614</v>
      </c>
      <c r="B42" s="251">
        <f ca="1">'Financial statement'!J94</f>
        <v>151199.46</v>
      </c>
      <c r="C42" s="251">
        <f ca="1">B42</f>
        <v>151199.46</v>
      </c>
      <c r="D42" s="251">
        <f t="shared" ref="D42:F42" ca="1" si="16">C42</f>
        <v>151199.46</v>
      </c>
      <c r="E42" s="251">
        <f t="shared" ca="1" si="16"/>
        <v>151199.46</v>
      </c>
      <c r="F42" s="251">
        <f t="shared" ca="1" si="16"/>
        <v>151199.46</v>
      </c>
      <c r="G42" s="251">
        <f ca="1">F42</f>
        <v>151199.46</v>
      </c>
      <c r="H42" s="505">
        <f ca="1">G42</f>
        <v>151199.46</v>
      </c>
    </row>
    <row r="43" spans="1:13" ht="12.75" customHeight="1">
      <c r="A43" s="43" t="s">
        <v>615</v>
      </c>
      <c r="B43" s="251">
        <f ca="1">'Financial statement'!J95</f>
        <v>58398.415999999997</v>
      </c>
      <c r="C43" s="251">
        <f ca="1">B43</f>
        <v>58398.415999999997</v>
      </c>
      <c r="D43" s="251">
        <f t="shared" ref="D43:H43" ca="1" si="17">C43</f>
        <v>58398.415999999997</v>
      </c>
      <c r="E43" s="251">
        <f t="shared" ca="1" si="17"/>
        <v>58398.415999999997</v>
      </c>
      <c r="F43" s="251">
        <f t="shared" ca="1" si="17"/>
        <v>58398.415999999997</v>
      </c>
      <c r="G43" s="251">
        <f t="shared" ca="1" si="17"/>
        <v>58398.415999999997</v>
      </c>
      <c r="H43" s="497">
        <f t="shared" ca="1" si="17"/>
        <v>58398.415999999997</v>
      </c>
    </row>
    <row r="44" spans="1:13" ht="12.75" customHeight="1">
      <c r="A44" s="66" t="s">
        <v>666</v>
      </c>
      <c r="B44" s="336">
        <f ca="1">'Financial statement'!J97</f>
        <v>-1298.22</v>
      </c>
      <c r="C44" s="336">
        <f ca="1">B44</f>
        <v>-1298.22</v>
      </c>
      <c r="D44" s="336">
        <f t="shared" ref="D44:H44" ca="1" si="18">C44</f>
        <v>-1298.22</v>
      </c>
      <c r="E44" s="336">
        <f t="shared" ca="1" si="18"/>
        <v>-1298.22</v>
      </c>
      <c r="F44" s="336">
        <f t="shared" ca="1" si="18"/>
        <v>-1298.22</v>
      </c>
      <c r="G44" s="336">
        <f t="shared" ca="1" si="18"/>
        <v>-1298.22</v>
      </c>
      <c r="H44" s="506">
        <f t="shared" ca="1" si="18"/>
        <v>-1298.22</v>
      </c>
    </row>
    <row r="45" spans="1:13" ht="12.75" customHeight="1">
      <c r="A45" s="66"/>
      <c r="B45" s="336"/>
      <c r="C45" s="336"/>
      <c r="D45" s="167"/>
      <c r="E45" s="167"/>
      <c r="F45" s="167"/>
      <c r="G45" s="167"/>
      <c r="H45" s="25"/>
    </row>
    <row r="46" spans="1:13" ht="12.75" customHeight="1">
      <c r="A46" s="331" t="s">
        <v>635</v>
      </c>
      <c r="B46" s="324"/>
      <c r="C46" s="324"/>
      <c r="D46" s="324"/>
      <c r="E46" s="324"/>
      <c r="F46" s="324"/>
      <c r="G46" s="324"/>
      <c r="H46" s="345"/>
    </row>
    <row r="47" spans="1:13" ht="12.75" customHeight="1">
      <c r="A47" s="43"/>
      <c r="B47" s="298" t="s">
        <v>616</v>
      </c>
      <c r="C47" s="298" t="str">
        <f>C41</f>
        <v>2015F</v>
      </c>
      <c r="D47" s="298" t="str">
        <f t="shared" ref="D47:H47" si="19">D41</f>
        <v>2016F</v>
      </c>
      <c r="E47" s="298" t="str">
        <f t="shared" si="19"/>
        <v>2017F</v>
      </c>
      <c r="F47" s="298" t="str">
        <f t="shared" si="19"/>
        <v>2018F</v>
      </c>
      <c r="G47" s="298" t="str">
        <f t="shared" si="19"/>
        <v>2019F</v>
      </c>
      <c r="H47" s="298" t="str">
        <f t="shared" si="19"/>
        <v>2020F</v>
      </c>
    </row>
    <row r="48" spans="1:13" ht="12.75" customHeight="1">
      <c r="A48" s="43" t="s">
        <v>636</v>
      </c>
      <c r="B48" s="291">
        <f ca="1">'PL&amp;BS Projection'!F5/'PL&amp;BS Projection'!F26</f>
        <v>0.50206883110417144</v>
      </c>
      <c r="C48" s="344">
        <f ca="1">B48</f>
        <v>0.50206883110417144</v>
      </c>
      <c r="D48" s="344">
        <f t="shared" ref="D48:G48" ca="1" si="20">C48</f>
        <v>0.50206883110417144</v>
      </c>
      <c r="E48" s="344">
        <f t="shared" ca="1" si="20"/>
        <v>0.50206883110417144</v>
      </c>
      <c r="F48" s="344">
        <f t="shared" ca="1" si="20"/>
        <v>0.50206883110417144</v>
      </c>
      <c r="G48" s="344">
        <f t="shared" ca="1" si="20"/>
        <v>0.50206883110417144</v>
      </c>
      <c r="H48" s="292">
        <f ca="1">G48</f>
        <v>0.50206883110417144</v>
      </c>
      <c r="J48" s="341"/>
    </row>
    <row r="49" spans="1:10" ht="12.75" customHeight="1">
      <c r="A49" s="43" t="s">
        <v>637</v>
      </c>
      <c r="B49" s="39"/>
      <c r="C49" s="41">
        <f>C6/B6-1</f>
        <v>0.20757986915845872</v>
      </c>
      <c r="D49" s="41">
        <f>D6/C6-1</f>
        <v>-6.2829051274376879E-2</v>
      </c>
      <c r="E49" s="41">
        <f>E6/D6-1</f>
        <v>0.22897942263256477</v>
      </c>
      <c r="F49" s="41">
        <f t="shared" ref="F49:H49" si="21">F6/E6-1</f>
        <v>0.1965431893057612</v>
      </c>
      <c r="G49" s="41">
        <f t="shared" si="21"/>
        <v>0.16074800175839044</v>
      </c>
      <c r="H49" s="216">
        <f t="shared" si="21"/>
        <v>0.12691030188030661</v>
      </c>
      <c r="J49" s="41"/>
    </row>
    <row r="50" spans="1:10" ht="12.75" customHeight="1">
      <c r="A50" s="43" t="s">
        <v>638</v>
      </c>
      <c r="B50" s="39"/>
      <c r="C50" s="195">
        <f>C6</f>
        <v>206606.72943529999</v>
      </c>
      <c r="D50" s="195">
        <f t="shared" ref="D50:H50" si="22">D6</f>
        <v>193625.82463797822</v>
      </c>
      <c r="E50" s="195">
        <f t="shared" si="22"/>
        <v>237962.15417033673</v>
      </c>
      <c r="F50" s="195">
        <f t="shared" si="22"/>
        <v>284731.99488504394</v>
      </c>
      <c r="G50" s="195">
        <f t="shared" si="22"/>
        <v>330502.09409949498</v>
      </c>
      <c r="H50" s="44">
        <f t="shared" si="22"/>
        <v>372446.21463373542</v>
      </c>
    </row>
    <row r="51" spans="1:10" ht="12.75" customHeight="1">
      <c r="A51" s="43" t="s">
        <v>639</v>
      </c>
      <c r="B51" s="39"/>
      <c r="C51" s="195">
        <f ca="1">C50/C48</f>
        <v>411510.76632445306</v>
      </c>
      <c r="D51" s="195">
        <f t="shared" ref="D51:G51" ca="1" si="23">D50/D48</f>
        <v>385655.9352870959</v>
      </c>
      <c r="E51" s="195">
        <f t="shared" ca="1" si="23"/>
        <v>473963.20868395694</v>
      </c>
      <c r="F51" s="195">
        <f t="shared" ca="1" si="23"/>
        <v>567117.44933229382</v>
      </c>
      <c r="G51" s="195">
        <f t="shared" ca="1" si="23"/>
        <v>658280.4460747753</v>
      </c>
      <c r="H51" s="44">
        <f ca="1">H50/H48</f>
        <v>741823.01620802796</v>
      </c>
    </row>
    <row r="52" spans="1:10" ht="12.75" customHeight="1">
      <c r="A52" s="43" t="s">
        <v>640</v>
      </c>
      <c r="B52" s="267">
        <f ca="1">'Financial statement'!J31</f>
        <v>340810.38156200002</v>
      </c>
      <c r="C52" s="195">
        <f ca="1">C51*2-B52</f>
        <v>482211.15108690609</v>
      </c>
      <c r="D52" s="195">
        <f t="shared" ref="D52:G52" ca="1" si="24">D51*2-C52</f>
        <v>289100.71948728571</v>
      </c>
      <c r="E52" s="195">
        <f t="shared" ca="1" si="24"/>
        <v>658825.69788062817</v>
      </c>
      <c r="F52" s="195">
        <f t="shared" ca="1" si="24"/>
        <v>475409.20078395947</v>
      </c>
      <c r="G52" s="195">
        <f t="shared" ca="1" si="24"/>
        <v>841151.69136559113</v>
      </c>
      <c r="H52" s="44">
        <f ca="1">H51*2-G52</f>
        <v>642494.34105046478</v>
      </c>
    </row>
    <row r="53" spans="1:10" ht="12.75" customHeight="1">
      <c r="A53" s="43" t="s">
        <v>641</v>
      </c>
      <c r="B53" s="39"/>
      <c r="C53" s="41">
        <f ca="1">C52/B52-1</f>
        <v>0.41489572259166208</v>
      </c>
      <c r="D53" s="41">
        <f t="shared" ref="D53:G53" ca="1" si="25">D52/C52-1</f>
        <v>-0.40046861455681526</v>
      </c>
      <c r="E53" s="41">
        <f t="shared" ca="1" si="25"/>
        <v>1.278879482033259</v>
      </c>
      <c r="F53" s="41">
        <f t="shared" ca="1" si="25"/>
        <v>-0.27839912390591315</v>
      </c>
      <c r="G53" s="41">
        <f t="shared" ca="1" si="25"/>
        <v>0.76932143925383611</v>
      </c>
      <c r="H53" s="216">
        <f ca="1">H52/G52-1</f>
        <v>-0.23617303793636857</v>
      </c>
    </row>
    <row r="54" spans="1:10" ht="12.75" customHeight="1">
      <c r="A54" s="43"/>
      <c r="B54" s="39"/>
      <c r="C54" s="39"/>
      <c r="D54" s="39"/>
      <c r="E54" s="39"/>
      <c r="F54" s="39"/>
      <c r="G54" s="39"/>
      <c r="H54" s="57"/>
    </row>
    <row r="55" spans="1:10" ht="12.75" customHeight="1">
      <c r="A55" s="200" t="s">
        <v>642</v>
      </c>
      <c r="B55" s="298">
        <v>2014</v>
      </c>
      <c r="C55" s="298" t="str">
        <f>C47</f>
        <v>2015F</v>
      </c>
      <c r="D55" s="298" t="str">
        <f t="shared" ref="D55:G55" si="26">D47</f>
        <v>2016F</v>
      </c>
      <c r="E55" s="298" t="str">
        <f t="shared" si="26"/>
        <v>2017F</v>
      </c>
      <c r="F55" s="298" t="str">
        <f t="shared" si="26"/>
        <v>2018F</v>
      </c>
      <c r="G55" s="298" t="str">
        <f t="shared" si="26"/>
        <v>2019F</v>
      </c>
      <c r="H55" s="504" t="str">
        <f>H47</f>
        <v>2020F</v>
      </c>
    </row>
    <row r="56" spans="1:10" ht="12.75" customHeight="1">
      <c r="A56" s="43" t="s">
        <v>643</v>
      </c>
      <c r="B56" s="251">
        <v>15970</v>
      </c>
      <c r="C56" s="299">
        <v>14895</v>
      </c>
      <c r="D56" s="299">
        <f>C56</f>
        <v>14895</v>
      </c>
      <c r="E56" s="299">
        <f t="shared" ref="E56:H56" si="27">D56</f>
        <v>14895</v>
      </c>
      <c r="F56" s="299">
        <f t="shared" si="27"/>
        <v>14895</v>
      </c>
      <c r="G56" s="299">
        <f t="shared" si="27"/>
        <v>14895</v>
      </c>
      <c r="H56" s="519">
        <f t="shared" si="27"/>
        <v>14895</v>
      </c>
    </row>
    <row r="57" spans="1:10" ht="12.75" customHeight="1">
      <c r="A57" s="43" t="s">
        <v>644</v>
      </c>
      <c r="B57" s="251"/>
      <c r="C57" s="299"/>
      <c r="D57" s="299"/>
      <c r="E57" s="299"/>
      <c r="F57" s="299"/>
      <c r="G57" s="299"/>
      <c r="H57" s="519"/>
    </row>
    <row r="58" spans="1:10" ht="12.75" customHeight="1">
      <c r="A58" s="43" t="s">
        <v>645</v>
      </c>
      <c r="B58" s="251"/>
      <c r="C58" s="195">
        <f>B58</f>
        <v>0</v>
      </c>
      <c r="D58" s="195">
        <f t="shared" ref="D58:H58" si="28">C58</f>
        <v>0</v>
      </c>
      <c r="E58" s="195">
        <f t="shared" si="28"/>
        <v>0</v>
      </c>
      <c r="F58" s="195">
        <f t="shared" si="28"/>
        <v>0</v>
      </c>
      <c r="G58" s="195">
        <f t="shared" si="28"/>
        <v>0</v>
      </c>
      <c r="H58" s="44">
        <f t="shared" si="28"/>
        <v>0</v>
      </c>
      <c r="J58" s="39" t="s">
        <v>656</v>
      </c>
    </row>
    <row r="59" spans="1:10" ht="12.75" customHeight="1">
      <c r="A59" s="43" t="s">
        <v>646</v>
      </c>
      <c r="B59" s="251"/>
      <c r="C59" s="195">
        <f ca="1">B59/(1+CAPEX!E10)</f>
        <v>0</v>
      </c>
      <c r="D59" s="195">
        <f ca="1">C59/(1+CAPEX!F10)</f>
        <v>0</v>
      </c>
      <c r="E59" s="195">
        <f ca="1">D59/(1+CAPEX!G10)</f>
        <v>0</v>
      </c>
      <c r="F59" s="195">
        <f ca="1">E59/(1+CAPEX!H10)</f>
        <v>0</v>
      </c>
      <c r="G59" s="195">
        <f ca="1">F59/(1+CAPEX!I10)</f>
        <v>0</v>
      </c>
      <c r="H59" s="44">
        <f ca="1">G59/(1+CAPEX!J10)</f>
        <v>0</v>
      </c>
      <c r="J59" s="39"/>
    </row>
    <row r="60" spans="1:10" ht="12.75" customHeight="1">
      <c r="A60" s="43" t="s">
        <v>886</v>
      </c>
      <c r="B60" s="251">
        <v>6462</v>
      </c>
      <c r="C60" s="51">
        <v>8919</v>
      </c>
      <c r="D60" s="51">
        <f>C60</f>
        <v>8919</v>
      </c>
      <c r="E60" s="51">
        <f t="shared" ref="E60:H60" si="29">D60</f>
        <v>8919</v>
      </c>
      <c r="F60" s="51">
        <f t="shared" si="29"/>
        <v>8919</v>
      </c>
      <c r="G60" s="51">
        <f t="shared" si="29"/>
        <v>8919</v>
      </c>
      <c r="H60" s="44">
        <f t="shared" si="29"/>
        <v>8919</v>
      </c>
      <c r="J60" s="39"/>
    </row>
    <row r="61" spans="1:10" ht="12.75" customHeight="1">
      <c r="A61" s="43" t="s">
        <v>655</v>
      </c>
      <c r="B61" s="251">
        <v>-3302</v>
      </c>
      <c r="C61" s="195">
        <v>0</v>
      </c>
      <c r="D61" s="195">
        <f t="shared" ref="D61:H61" si="30">IF(D62=0,0,C61*(1-D62))</f>
        <v>0</v>
      </c>
      <c r="E61" s="195">
        <f t="shared" si="30"/>
        <v>0</v>
      </c>
      <c r="F61" s="195">
        <f t="shared" si="30"/>
        <v>0</v>
      </c>
      <c r="G61" s="195">
        <f t="shared" si="30"/>
        <v>0</v>
      </c>
      <c r="H61" s="44">
        <f t="shared" si="30"/>
        <v>0</v>
      </c>
      <c r="J61" s="39" t="s">
        <v>659</v>
      </c>
    </row>
    <row r="62" spans="1:10" ht="12.75" customHeight="1">
      <c r="A62" s="43" t="s">
        <v>658</v>
      </c>
      <c r="B62" s="39"/>
      <c r="C62" s="52">
        <v>0.05</v>
      </c>
      <c r="D62" s="52">
        <v>0.05</v>
      </c>
      <c r="E62" s="52">
        <v>0.05</v>
      </c>
      <c r="F62" s="52">
        <v>0.05</v>
      </c>
      <c r="G62" s="52">
        <v>0.05</v>
      </c>
      <c r="H62" s="213">
        <v>0.05</v>
      </c>
      <c r="J62" s="39"/>
    </row>
    <row r="63" spans="1:10" ht="12.75" customHeight="1">
      <c r="A63" s="43" t="s">
        <v>662</v>
      </c>
      <c r="B63" s="51">
        <f>SUM(B56:B61)</f>
        <v>19130</v>
      </c>
      <c r="C63" s="51">
        <f ca="1">SUM(C56:C61)</f>
        <v>23814</v>
      </c>
      <c r="D63" s="51">
        <f t="shared" ref="D63:G63" ca="1" si="31">SUM(D56:D61)</f>
        <v>23814</v>
      </c>
      <c r="E63" s="51">
        <f t="shared" ca="1" si="31"/>
        <v>23814</v>
      </c>
      <c r="F63" s="51">
        <f t="shared" ca="1" si="31"/>
        <v>23814</v>
      </c>
      <c r="G63" s="51">
        <f t="shared" ca="1" si="31"/>
        <v>23814</v>
      </c>
      <c r="H63" s="244">
        <f t="shared" ref="H63" ca="1" si="32">SUM(H56:H61)</f>
        <v>23814</v>
      </c>
      <c r="J63" s="39"/>
    </row>
    <row r="64" spans="1:10" ht="12.75" customHeight="1">
      <c r="A64" s="43"/>
      <c r="B64" s="39"/>
      <c r="C64" s="39"/>
      <c r="D64" s="39"/>
      <c r="E64" s="39"/>
      <c r="F64" s="39"/>
      <c r="G64" s="39"/>
      <c r="H64" s="57"/>
      <c r="J64" s="39"/>
    </row>
    <row r="65" spans="1:14" ht="12.75" customHeight="1">
      <c r="A65" s="200" t="s">
        <v>647</v>
      </c>
      <c r="B65" s="298">
        <v>2014</v>
      </c>
      <c r="C65" s="298" t="str">
        <f>C55</f>
        <v>2015F</v>
      </c>
      <c r="D65" s="298" t="str">
        <f t="shared" ref="D65:G65" si="33">D55</f>
        <v>2016F</v>
      </c>
      <c r="E65" s="298" t="str">
        <f t="shared" si="33"/>
        <v>2017F</v>
      </c>
      <c r="F65" s="298" t="str">
        <f t="shared" si="33"/>
        <v>2018F</v>
      </c>
      <c r="G65" s="298" t="str">
        <f t="shared" si="33"/>
        <v>2019F</v>
      </c>
      <c r="H65" s="504" t="str">
        <f>H55</f>
        <v>2020F</v>
      </c>
      <c r="J65" s="39"/>
    </row>
    <row r="66" spans="1:14" ht="12.75" customHeight="1">
      <c r="A66" s="43" t="s">
        <v>648</v>
      </c>
      <c r="B66" s="251">
        <v>8459</v>
      </c>
      <c r="C66" s="195">
        <f>B66</f>
        <v>8459</v>
      </c>
      <c r="D66" s="195">
        <f>C66</f>
        <v>8459</v>
      </c>
      <c r="E66" s="195">
        <f t="shared" ref="E66:H66" si="34">D66</f>
        <v>8459</v>
      </c>
      <c r="F66" s="195">
        <f>E66</f>
        <v>8459</v>
      </c>
      <c r="G66" s="195">
        <f t="shared" si="34"/>
        <v>8459</v>
      </c>
      <c r="H66" s="44">
        <f t="shared" si="34"/>
        <v>8459</v>
      </c>
      <c r="J66" s="39" t="s">
        <v>656</v>
      </c>
    </row>
    <row r="67" spans="1:14" ht="12.75" customHeight="1">
      <c r="A67" s="43" t="s">
        <v>649</v>
      </c>
      <c r="B67" s="251"/>
      <c r="C67" s="195">
        <f t="shared" ref="C67:G67" ca="1" si="35">SUM(C68:C71)</f>
        <v>45146</v>
      </c>
      <c r="D67" s="195">
        <f t="shared" ca="1" si="35"/>
        <v>45146</v>
      </c>
      <c r="E67" s="195">
        <f t="shared" ca="1" si="35"/>
        <v>45146</v>
      </c>
      <c r="F67" s="195">
        <f t="shared" ca="1" si="35"/>
        <v>45146</v>
      </c>
      <c r="G67" s="195">
        <f t="shared" ca="1" si="35"/>
        <v>45146</v>
      </c>
      <c r="H67" s="44">
        <f t="shared" ref="H67" ca="1" si="36">SUM(H68:H71)</f>
        <v>45146</v>
      </c>
      <c r="J67" s="39"/>
      <c r="K67" s="341"/>
      <c r="L67" s="341"/>
      <c r="M67" s="341"/>
      <c r="N67" s="341"/>
    </row>
    <row r="68" spans="1:14" ht="12.75" customHeight="1">
      <c r="A68" s="43" t="s">
        <v>650</v>
      </c>
      <c r="B68" s="251"/>
      <c r="C68" s="251"/>
      <c r="D68" s="251"/>
      <c r="E68" s="251"/>
      <c r="F68" s="251"/>
      <c r="G68" s="251"/>
      <c r="H68" s="497"/>
      <c r="J68" s="322" t="s">
        <v>660</v>
      </c>
    </row>
    <row r="69" spans="1:14" ht="12.75" customHeight="1">
      <c r="A69" s="43" t="s">
        <v>651</v>
      </c>
      <c r="B69" s="251"/>
      <c r="C69" s="195">
        <f>B69</f>
        <v>0</v>
      </c>
      <c r="D69" s="195">
        <f>C69</f>
        <v>0</v>
      </c>
      <c r="E69" s="195">
        <v>0</v>
      </c>
      <c r="F69" s="195">
        <v>0</v>
      </c>
      <c r="G69" s="195">
        <v>0</v>
      </c>
      <c r="H69" s="44">
        <v>0</v>
      </c>
      <c r="J69" s="322" t="s">
        <v>660</v>
      </c>
    </row>
    <row r="70" spans="1:14" ht="12.75" customHeight="1">
      <c r="A70" s="43" t="s">
        <v>652</v>
      </c>
      <c r="B70" s="251">
        <v>45146</v>
      </c>
      <c r="C70" s="195">
        <f>B70</f>
        <v>45146</v>
      </c>
      <c r="D70" s="195">
        <f>C70</f>
        <v>45146</v>
      </c>
      <c r="E70" s="195">
        <f t="shared" ref="E70:H70" si="37">D70</f>
        <v>45146</v>
      </c>
      <c r="F70" s="195">
        <f t="shared" si="37"/>
        <v>45146</v>
      </c>
      <c r="G70" s="195">
        <f t="shared" si="37"/>
        <v>45146</v>
      </c>
      <c r="H70" s="44">
        <f t="shared" si="37"/>
        <v>45146</v>
      </c>
      <c r="J70" s="322" t="s">
        <v>660</v>
      </c>
    </row>
    <row r="71" spans="1:14" ht="12.75" customHeight="1">
      <c r="A71" s="43" t="s">
        <v>653</v>
      </c>
      <c r="B71" s="251"/>
      <c r="C71" s="195">
        <f ca="1">B71*(1+C53)</f>
        <v>0</v>
      </c>
      <c r="D71" s="195">
        <f t="shared" ref="D71:E71" ca="1" si="38">C71*(1+D53)</f>
        <v>0</v>
      </c>
      <c r="E71" s="195">
        <f t="shared" ca="1" si="38"/>
        <v>0</v>
      </c>
      <c r="F71" s="195">
        <f t="shared" ref="F71" ca="1" si="39">E71*(1+F53)</f>
        <v>0</v>
      </c>
      <c r="G71" s="195">
        <f t="shared" ref="G71:H71" ca="1" si="40">F71*(1+G53)</f>
        <v>0</v>
      </c>
      <c r="H71" s="44">
        <f t="shared" ca="1" si="40"/>
        <v>0</v>
      </c>
      <c r="J71" s="322" t="s">
        <v>660</v>
      </c>
    </row>
    <row r="72" spans="1:14" ht="12.75" customHeight="1">
      <c r="A72" s="43" t="s">
        <v>663</v>
      </c>
      <c r="B72" s="251"/>
      <c r="C72" s="195">
        <f t="shared" ref="C72:G72" ca="1" si="41">C66+C67</f>
        <v>53605</v>
      </c>
      <c r="D72" s="195">
        <f t="shared" ca="1" si="41"/>
        <v>53605</v>
      </c>
      <c r="E72" s="195">
        <f t="shared" ca="1" si="41"/>
        <v>53605</v>
      </c>
      <c r="F72" s="195">
        <f ca="1">F66+F67</f>
        <v>53605</v>
      </c>
      <c r="G72" s="195">
        <f t="shared" ca="1" si="41"/>
        <v>53605</v>
      </c>
      <c r="H72" s="44">
        <f t="shared" ref="H72" ca="1" si="42">H66+H67</f>
        <v>53605</v>
      </c>
      <c r="J72" s="322"/>
    </row>
    <row r="73" spans="1:14" ht="12.75" customHeight="1">
      <c r="A73" s="43" t="s">
        <v>654</v>
      </c>
      <c r="B73" s="251"/>
      <c r="C73" s="195">
        <f ca="1">B73*(1+C53)</f>
        <v>0</v>
      </c>
      <c r="D73" s="195">
        <f t="shared" ref="D73:E73" ca="1" si="43">C73*(1+D53)</f>
        <v>0</v>
      </c>
      <c r="E73" s="195">
        <f t="shared" ca="1" si="43"/>
        <v>0</v>
      </c>
      <c r="F73" s="195">
        <f t="shared" ref="F73" ca="1" si="44">E73*(1+F53)</f>
        <v>0</v>
      </c>
      <c r="G73" s="195">
        <f t="shared" ref="G73:H73" ca="1" si="45">F73*(1+G53)</f>
        <v>0</v>
      </c>
      <c r="H73" s="44">
        <f t="shared" ca="1" si="45"/>
        <v>0</v>
      </c>
      <c r="J73" s="322" t="s">
        <v>660</v>
      </c>
    </row>
    <row r="74" spans="1:14" ht="12.75" customHeight="1">
      <c r="A74" s="66"/>
      <c r="B74" s="336"/>
      <c r="C74" s="196"/>
      <c r="D74" s="196"/>
      <c r="E74" s="196"/>
      <c r="F74" s="196"/>
      <c r="G74" s="196"/>
      <c r="H74" s="197"/>
      <c r="J74" s="2"/>
    </row>
    <row r="75" spans="1:14" ht="12.75" customHeight="1"/>
    <row r="76" spans="1:14" ht="12.75" customHeight="1">
      <c r="A76" s="348" t="s">
        <v>667</v>
      </c>
      <c r="B76" s="351">
        <f>B65</f>
        <v>2014</v>
      </c>
      <c r="C76" s="351" t="str">
        <f t="shared" ref="C76:H76" si="46">C65</f>
        <v>2015F</v>
      </c>
      <c r="D76" s="351" t="str">
        <f t="shared" si="46"/>
        <v>2016F</v>
      </c>
      <c r="E76" s="351" t="str">
        <f t="shared" si="46"/>
        <v>2017F</v>
      </c>
      <c r="F76" s="351" t="str">
        <f t="shared" si="46"/>
        <v>2018F</v>
      </c>
      <c r="G76" s="351" t="str">
        <f t="shared" si="46"/>
        <v>2019F</v>
      </c>
      <c r="H76" s="351" t="str">
        <f t="shared" si="46"/>
        <v>2020F</v>
      </c>
    </row>
    <row r="77" spans="1:14" ht="12.75" customHeight="1">
      <c r="A77" s="43" t="s">
        <v>495</v>
      </c>
      <c r="B77" s="251">
        <f ca="1">'PL&amp;BS Projection'!F21</f>
        <v>14847.033325</v>
      </c>
      <c r="C77" s="195">
        <f ca="1">'PL&amp;BS Projection'!G21</f>
        <v>41493.715340776238</v>
      </c>
      <c r="D77" s="195">
        <f ca="1">'PL&amp;BS Projection'!H21</f>
        <v>37854.02304565582</v>
      </c>
      <c r="E77" s="195">
        <f ca="1">'PL&amp;BS Projection'!I21</f>
        <v>52159.392994276364</v>
      </c>
      <c r="F77" s="195">
        <f ca="1">'PL&amp;BS Projection'!J21</f>
        <v>67232.661994246562</v>
      </c>
      <c r="G77" s="195">
        <f ca="1">'PL&amp;BS Projection'!K21</f>
        <v>81442.452974221014</v>
      </c>
      <c r="H77" s="521">
        <f ca="1">'PL&amp;BS Projection'!L21</f>
        <v>89102.53976319838</v>
      </c>
    </row>
    <row r="78" spans="1:14" ht="12.75" customHeight="1">
      <c r="A78" s="43" t="s">
        <v>668</v>
      </c>
      <c r="B78" s="433" t="s">
        <v>783</v>
      </c>
      <c r="C78" s="195">
        <f ca="1">C80*(C81)/1000000</f>
        <v>15119.946</v>
      </c>
      <c r="D78" s="195">
        <f ca="1">D81*D80/1000000</f>
        <v>18143.9352</v>
      </c>
      <c r="E78" s="195">
        <f t="shared" ref="E78:G78" ca="1" si="47">E81*E80/1000000</f>
        <v>22679.919000000002</v>
      </c>
      <c r="F78" s="195">
        <f t="shared" ca="1" si="47"/>
        <v>22679.919000000002</v>
      </c>
      <c r="G78" s="195">
        <f t="shared" ca="1" si="47"/>
        <v>30239.892</v>
      </c>
      <c r="H78" s="44">
        <f t="shared" ref="H78" ca="1" si="48">H81*H80/1000000</f>
        <v>30239.892</v>
      </c>
    </row>
    <row r="79" spans="1:14" ht="12.75" customHeight="1">
      <c r="A79" s="43" t="s">
        <v>669</v>
      </c>
      <c r="B79" s="256"/>
      <c r="C79" s="242">
        <v>0.3</v>
      </c>
      <c r="D79" s="242">
        <f ca="1">D78/D77</f>
        <v>0.47931326026078019</v>
      </c>
      <c r="E79" s="242">
        <f t="shared" ref="E79:G79" ca="1" si="49">E78/E77</f>
        <v>0.43481945816525797</v>
      </c>
      <c r="F79" s="242">
        <f t="shared" ca="1" si="49"/>
        <v>0.33733483588587992</v>
      </c>
      <c r="G79" s="242">
        <f t="shared" ca="1" si="49"/>
        <v>0.37130379667679991</v>
      </c>
      <c r="H79" s="48">
        <f t="shared" ref="H79" ca="1" si="50">H78/H77</f>
        <v>0.33938305328183077</v>
      </c>
    </row>
    <row r="80" spans="1:14" ht="12.75" customHeight="1">
      <c r="A80" s="43" t="s">
        <v>670</v>
      </c>
      <c r="B80" s="295"/>
      <c r="C80" s="267">
        <f ca="1">D80</f>
        <v>15119946</v>
      </c>
      <c r="D80" s="267">
        <f ca="1">E80</f>
        <v>15119946</v>
      </c>
      <c r="E80" s="267">
        <f ca="1">E42*100</f>
        <v>15119946</v>
      </c>
      <c r="F80" s="267">
        <f t="shared" ref="F80:G80" ca="1" si="51">F42*100</f>
        <v>15119946</v>
      </c>
      <c r="G80" s="267">
        <f t="shared" ca="1" si="51"/>
        <v>15119946</v>
      </c>
      <c r="H80" s="277">
        <f t="shared" ref="H80" ca="1" si="52">H42*100</f>
        <v>15119946</v>
      </c>
    </row>
    <row r="81" spans="1:8" ht="12.75" customHeight="1">
      <c r="A81" s="66" t="s">
        <v>480</v>
      </c>
      <c r="B81" s="352"/>
      <c r="C81" s="269">
        <v>1000</v>
      </c>
      <c r="D81" s="269">
        <v>1200</v>
      </c>
      <c r="E81" s="269">
        <v>1500</v>
      </c>
      <c r="F81" s="269">
        <v>1500</v>
      </c>
      <c r="G81" s="269">
        <v>2000</v>
      </c>
      <c r="H81" s="522">
        <v>2000</v>
      </c>
    </row>
    <row r="82" spans="1:8" ht="12.75" customHeight="1">
      <c r="A82" s="59"/>
      <c r="B82" s="59"/>
      <c r="C82" s="59"/>
      <c r="D82" s="59"/>
      <c r="E82" s="59"/>
      <c r="F82" s="59"/>
      <c r="G82" s="59"/>
      <c r="H82" s="59"/>
    </row>
    <row r="83" spans="1:8" ht="12.75" customHeight="1">
      <c r="A83" s="348" t="s">
        <v>623</v>
      </c>
      <c r="B83" s="349">
        <f>B76</f>
        <v>2014</v>
      </c>
      <c r="C83" s="349" t="str">
        <f t="shared" ref="C83:G83" si="53">C76</f>
        <v>2015F</v>
      </c>
      <c r="D83" s="349" t="str">
        <f t="shared" si="53"/>
        <v>2016F</v>
      </c>
      <c r="E83" s="349" t="str">
        <f t="shared" si="53"/>
        <v>2017F</v>
      </c>
      <c r="F83" s="349" t="str">
        <f t="shared" si="53"/>
        <v>2018F</v>
      </c>
      <c r="G83" s="349" t="str">
        <f t="shared" si="53"/>
        <v>2019F</v>
      </c>
      <c r="H83" s="520" t="str">
        <f>H76</f>
        <v>2020F</v>
      </c>
    </row>
    <row r="84" spans="1:8" ht="12.75" customHeight="1">
      <c r="A84" s="1" t="s">
        <v>776</v>
      </c>
      <c r="B84" s="251">
        <f ca="1">'Financial statement'!J12</f>
        <v>-774.53977799999996</v>
      </c>
      <c r="C84" s="195">
        <v>0</v>
      </c>
      <c r="D84" s="195">
        <v>0</v>
      </c>
      <c r="E84" s="195">
        <v>0</v>
      </c>
      <c r="F84" s="195">
        <v>0</v>
      </c>
      <c r="G84" s="195">
        <v>0</v>
      </c>
      <c r="H84" s="521">
        <v>0</v>
      </c>
    </row>
    <row r="85" spans="1:8" ht="12.75" customHeight="1">
      <c r="A85" s="1" t="s">
        <v>777</v>
      </c>
      <c r="B85" s="295"/>
      <c r="C85" s="195">
        <f>B85*(1+3%)</f>
        <v>0</v>
      </c>
      <c r="D85" s="195">
        <f t="shared" ref="D85:H85" si="54">C85*(1+3%)</f>
        <v>0</v>
      </c>
      <c r="E85" s="195">
        <f t="shared" si="54"/>
        <v>0</v>
      </c>
      <c r="F85" s="195">
        <f t="shared" si="54"/>
        <v>0</v>
      </c>
      <c r="G85" s="195">
        <f t="shared" si="54"/>
        <v>0</v>
      </c>
      <c r="H85" s="44">
        <f t="shared" si="54"/>
        <v>0</v>
      </c>
    </row>
    <row r="86" spans="1:8" ht="12.75" customHeight="1">
      <c r="A86" s="1" t="s">
        <v>778</v>
      </c>
      <c r="B86" s="251"/>
      <c r="C86" s="195">
        <f>B86*(1+3%)</f>
        <v>0</v>
      </c>
      <c r="D86" s="195">
        <f t="shared" ref="D86:H86" si="55">C86*(1+3%)</f>
        <v>0</v>
      </c>
      <c r="E86" s="195">
        <f t="shared" si="55"/>
        <v>0</v>
      </c>
      <c r="F86" s="195">
        <f t="shared" si="55"/>
        <v>0</v>
      </c>
      <c r="G86" s="195">
        <f t="shared" si="55"/>
        <v>0</v>
      </c>
      <c r="H86" s="44">
        <f t="shared" si="55"/>
        <v>0</v>
      </c>
    </row>
    <row r="87" spans="1:8" ht="12.75" customHeight="1">
      <c r="A87" s="1" t="s">
        <v>779</v>
      </c>
      <c r="B87" s="295">
        <f>-B61</f>
        <v>3302</v>
      </c>
      <c r="C87" s="295">
        <f t="shared" ref="C87:H87" si="56">-C61</f>
        <v>0</v>
      </c>
      <c r="D87" s="295">
        <f t="shared" si="56"/>
        <v>0</v>
      </c>
      <c r="E87" s="295">
        <f t="shared" si="56"/>
        <v>0</v>
      </c>
      <c r="F87" s="295">
        <f t="shared" si="56"/>
        <v>0</v>
      </c>
      <c r="G87" s="295">
        <f t="shared" si="56"/>
        <v>0</v>
      </c>
      <c r="H87" s="524">
        <f t="shared" si="56"/>
        <v>0</v>
      </c>
    </row>
    <row r="88" spans="1:8" ht="12.75" customHeight="1">
      <c r="A88" s="1" t="s">
        <v>780</v>
      </c>
      <c r="B88" s="295">
        <v>3543</v>
      </c>
      <c r="C88" s="195">
        <v>1500</v>
      </c>
      <c r="D88" s="195"/>
      <c r="E88" s="195"/>
      <c r="F88" s="195"/>
      <c r="G88" s="195"/>
      <c r="H88" s="44"/>
    </row>
    <row r="89" spans="1:8" ht="12.75" customHeight="1">
      <c r="A89" s="1" t="s">
        <v>781</v>
      </c>
      <c r="B89" s="295"/>
      <c r="C89" s="195">
        <f>B89</f>
        <v>0</v>
      </c>
      <c r="D89" s="195">
        <f t="shared" ref="D89:H89" si="57">C89</f>
        <v>0</v>
      </c>
      <c r="E89" s="195">
        <f t="shared" si="57"/>
        <v>0</v>
      </c>
      <c r="F89" s="195">
        <f t="shared" si="57"/>
        <v>0</v>
      </c>
      <c r="G89" s="195">
        <f t="shared" si="57"/>
        <v>0</v>
      </c>
      <c r="H89" s="44">
        <f t="shared" si="57"/>
        <v>0</v>
      </c>
    </row>
    <row r="90" spans="1:8">
      <c r="A90" s="1" t="s">
        <v>782</v>
      </c>
      <c r="B90" s="295"/>
      <c r="C90" s="195">
        <f>B90</f>
        <v>0</v>
      </c>
      <c r="D90" s="195">
        <f t="shared" ref="D90:H90" si="58">C90</f>
        <v>0</v>
      </c>
      <c r="E90" s="195">
        <f t="shared" si="58"/>
        <v>0</v>
      </c>
      <c r="F90" s="195">
        <f t="shared" si="58"/>
        <v>0</v>
      </c>
      <c r="G90" s="195">
        <f t="shared" si="58"/>
        <v>0</v>
      </c>
      <c r="H90" s="44">
        <f t="shared" si="58"/>
        <v>0</v>
      </c>
    </row>
    <row r="91" spans="1:8">
      <c r="A91" s="201" t="s">
        <v>554</v>
      </c>
      <c r="B91" s="424">
        <f ca="1">SUM(B84:B90)</f>
        <v>6070.4602219999997</v>
      </c>
      <c r="C91" s="424">
        <f>SUM(C84:C90)</f>
        <v>1500</v>
      </c>
      <c r="D91" s="424">
        <f t="shared" ref="D91:G91" si="59">SUM(D84:D90)</f>
        <v>0</v>
      </c>
      <c r="E91" s="424">
        <f t="shared" si="59"/>
        <v>0</v>
      </c>
      <c r="F91" s="424">
        <f t="shared" si="59"/>
        <v>0</v>
      </c>
      <c r="G91" s="424">
        <f t="shared" si="59"/>
        <v>0</v>
      </c>
      <c r="H91" s="523">
        <f t="shared" ref="H91" si="60">SUM(H84:H90)</f>
        <v>0</v>
      </c>
    </row>
  </sheetData>
  <pageMargins left="0.7" right="0.7" top="0.75" bottom="0.75" header="0.3" footer="0.3"/>
  <pageSetup orientation="portrait" r:id="rId1"/>
  <ignoredErrors>
    <ignoredError sqref="C12:G12 C14:G14 C16:G16 H12:H17"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MonteCarlo</vt:lpstr>
      <vt:lpstr>DCF</vt:lpstr>
      <vt:lpstr>Info</vt:lpstr>
      <vt:lpstr>Overview</vt:lpstr>
      <vt:lpstr>COGS</vt:lpstr>
      <vt:lpstr>Sheet1</vt:lpstr>
      <vt:lpstr>Assump Revenue</vt:lpstr>
      <vt:lpstr>News</vt:lpstr>
      <vt:lpstr>Assump-F </vt:lpstr>
      <vt:lpstr>Sheet2</vt:lpstr>
      <vt:lpstr>CAPEX</vt:lpstr>
      <vt:lpstr>Liabilities</vt:lpstr>
      <vt:lpstr>CF projection</vt:lpstr>
      <vt:lpstr>PL&amp;BS Projection</vt:lpstr>
      <vt:lpstr>Market reseach</vt:lpstr>
      <vt:lpstr>Financial statement</vt:lpstr>
      <vt:lpstr>Ratios</vt:lpstr>
      <vt:lpstr>Discount rate</vt:lpstr>
      <vt:lpstr>Multiple</vt:lpstr>
      <vt:lpstr>ABS</vt:lpstr>
      <vt:lpstr>APL</vt:lpstr>
      <vt:lpstr>ACF</vt:lpstr>
      <vt:lpstr>QPL</vt:lpstr>
      <vt:lpstr>QBS</vt:lpstr>
      <vt:lpstr>QCF</vt:lpstr>
    </vt:vector>
  </TitlesOfParts>
  <Company>BVSC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Thanhnk</dc:creator>
  <cp:lastModifiedBy>Homolka Lubor</cp:lastModifiedBy>
  <dcterms:created xsi:type="dcterms:W3CDTF">2011-11-17T09:01:41Z</dcterms:created>
  <dcterms:modified xsi:type="dcterms:W3CDTF">2016-07-20T09:24:57Z</dcterms:modified>
</cp:coreProperties>
</file>