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8.CAMPUS.005\Desktop\Arkusz-kalkulacyjny-main\"/>
    </mc:Choice>
  </mc:AlternateContent>
  <xr:revisionPtr revIDLastSave="0" documentId="13_ncr:1_{F5D38495-E411-4F16-85F5-CB20DFA4606A}" xr6:coauthVersionLast="47" xr6:coauthVersionMax="47" xr10:uidLastSave="{00000000-0000-0000-0000-000000000000}"/>
  <bookViews>
    <workbookView xWindow="-120" yWindow="-120" windowWidth="29040" windowHeight="15840" firstSheet="1" activeTab="13" xr2:uid="{19EE711A-3283-4873-9107-9C9869A047C7}"/>
  </bookViews>
  <sheets>
    <sheet name="operacje" sheetId="1" r:id="rId1"/>
    <sheet name="kategorie" sheetId="2" r:id="rId2"/>
    <sheet name="styczeń" sheetId="3" r:id="rId3"/>
    <sheet name="luty" sheetId="6" r:id="rId4"/>
    <sheet name="marzec" sheetId="7" r:id="rId5"/>
    <sheet name="kwiecień" sheetId="8" r:id="rId6"/>
    <sheet name="maj" sheetId="9" r:id="rId7"/>
    <sheet name="czerwiec" sheetId="10" r:id="rId8"/>
    <sheet name="lipiec" sheetId="11" r:id="rId9"/>
    <sheet name="sierpień" sheetId="12" r:id="rId10"/>
    <sheet name="wrzesień" sheetId="13" r:id="rId11"/>
    <sheet name="październik" sheetId="14" r:id="rId12"/>
    <sheet name="listopad" sheetId="15" r:id="rId13"/>
    <sheet name="grudzień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6" l="1"/>
  <c r="C30" i="16"/>
  <c r="C29" i="16"/>
  <c r="C28" i="16"/>
  <c r="C27" i="16"/>
  <c r="C26" i="16"/>
  <c r="C25" i="16"/>
  <c r="C24" i="16"/>
  <c r="C23" i="16"/>
  <c r="C21" i="16"/>
  <c r="C20" i="16"/>
  <c r="C19" i="16"/>
  <c r="C18" i="16"/>
  <c r="C17" i="16"/>
  <c r="C16" i="16"/>
  <c r="C14" i="16"/>
  <c r="C11" i="16"/>
  <c r="D8" i="16"/>
  <c r="D7" i="16"/>
  <c r="D6" i="16"/>
  <c r="D5" i="16"/>
  <c r="D4" i="16"/>
  <c r="D3" i="16"/>
  <c r="D2" i="16"/>
  <c r="D9" i="16" s="1"/>
  <c r="C31" i="15"/>
  <c r="C30" i="15"/>
  <c r="C29" i="15"/>
  <c r="C28" i="15"/>
  <c r="C27" i="15"/>
  <c r="C26" i="15"/>
  <c r="C25" i="15"/>
  <c r="C24" i="15"/>
  <c r="C23" i="15"/>
  <c r="C21" i="15"/>
  <c r="C20" i="15"/>
  <c r="C19" i="15"/>
  <c r="C18" i="15"/>
  <c r="C17" i="15"/>
  <c r="C16" i="15"/>
  <c r="C14" i="15"/>
  <c r="C11" i="15"/>
  <c r="D8" i="15"/>
  <c r="D7" i="15"/>
  <c r="D6" i="15"/>
  <c r="D5" i="15"/>
  <c r="D4" i="15"/>
  <c r="D3" i="15"/>
  <c r="D2" i="15"/>
  <c r="D9" i="15" s="1"/>
  <c r="C31" i="14"/>
  <c r="C30" i="14"/>
  <c r="C29" i="14"/>
  <c r="C28" i="14"/>
  <c r="C27" i="14"/>
  <c r="C26" i="14"/>
  <c r="C25" i="14"/>
  <c r="C24" i="14"/>
  <c r="C23" i="14"/>
  <c r="C21" i="14"/>
  <c r="C20" i="14"/>
  <c r="C19" i="14"/>
  <c r="C18" i="14"/>
  <c r="C17" i="14"/>
  <c r="C16" i="14"/>
  <c r="C14" i="14"/>
  <c r="C11" i="14"/>
  <c r="D8" i="14"/>
  <c r="D7" i="14"/>
  <c r="D6" i="14"/>
  <c r="D5" i="14"/>
  <c r="D4" i="14"/>
  <c r="D3" i="14"/>
  <c r="D2" i="14"/>
  <c r="D9" i="14" s="1"/>
  <c r="C31" i="13"/>
  <c r="C30" i="13"/>
  <c r="C29" i="13"/>
  <c r="C28" i="13"/>
  <c r="C27" i="13"/>
  <c r="C26" i="13"/>
  <c r="C25" i="13"/>
  <c r="C24" i="13"/>
  <c r="C23" i="13"/>
  <c r="C21" i="13"/>
  <c r="C20" i="13"/>
  <c r="C19" i="13"/>
  <c r="C18" i="13"/>
  <c r="C17" i="13"/>
  <c r="C16" i="13"/>
  <c r="C14" i="13"/>
  <c r="C11" i="13"/>
  <c r="D8" i="13"/>
  <c r="D7" i="13"/>
  <c r="D6" i="13"/>
  <c r="D5" i="13"/>
  <c r="D4" i="13"/>
  <c r="D3" i="13"/>
  <c r="D2" i="13"/>
  <c r="D9" i="13" s="1"/>
  <c r="C31" i="12"/>
  <c r="C30" i="12"/>
  <c r="C29" i="12"/>
  <c r="C28" i="12"/>
  <c r="C27" i="12"/>
  <c r="C26" i="12"/>
  <c r="C25" i="12"/>
  <c r="C24" i="12"/>
  <c r="C23" i="12"/>
  <c r="C21" i="12"/>
  <c r="C20" i="12"/>
  <c r="C19" i="12"/>
  <c r="C18" i="12"/>
  <c r="C17" i="12"/>
  <c r="C16" i="12"/>
  <c r="C14" i="12"/>
  <c r="C11" i="12"/>
  <c r="D8" i="12"/>
  <c r="D7" i="12"/>
  <c r="D6" i="12"/>
  <c r="D5" i="12"/>
  <c r="D4" i="12"/>
  <c r="D3" i="12"/>
  <c r="D2" i="12"/>
  <c r="D9" i="12" s="1"/>
  <c r="C31" i="11"/>
  <c r="C30" i="11"/>
  <c r="C29" i="11"/>
  <c r="C28" i="11"/>
  <c r="C27" i="11"/>
  <c r="C26" i="11"/>
  <c r="C25" i="11"/>
  <c r="C24" i="11"/>
  <c r="C23" i="11"/>
  <c r="C21" i="11"/>
  <c r="C20" i="11"/>
  <c r="C19" i="11"/>
  <c r="C18" i="11"/>
  <c r="C17" i="11"/>
  <c r="C16" i="11"/>
  <c r="C14" i="11"/>
  <c r="C11" i="11"/>
  <c r="D8" i="11"/>
  <c r="D7" i="11"/>
  <c r="D6" i="11"/>
  <c r="D5" i="11"/>
  <c r="D9" i="11" s="1"/>
  <c r="D4" i="11"/>
  <c r="D3" i="11"/>
  <c r="D2" i="11"/>
  <c r="C31" i="10"/>
  <c r="C30" i="10"/>
  <c r="C29" i="10"/>
  <c r="C28" i="10"/>
  <c r="C27" i="10"/>
  <c r="C26" i="10"/>
  <c r="C25" i="10"/>
  <c r="C24" i="10"/>
  <c r="C23" i="10"/>
  <c r="C32" i="10" s="1"/>
  <c r="C21" i="10"/>
  <c r="C20" i="10"/>
  <c r="C19" i="10"/>
  <c r="C18" i="10"/>
  <c r="C22" i="10" s="1"/>
  <c r="C17" i="10"/>
  <c r="C16" i="10"/>
  <c r="C14" i="10"/>
  <c r="C11" i="10"/>
  <c r="D8" i="10"/>
  <c r="D7" i="10"/>
  <c r="D6" i="10"/>
  <c r="D5" i="10"/>
  <c r="D4" i="10"/>
  <c r="D3" i="10"/>
  <c r="D2" i="10"/>
  <c r="D9" i="10" s="1"/>
  <c r="C31" i="9"/>
  <c r="C30" i="9"/>
  <c r="C29" i="9"/>
  <c r="C28" i="9"/>
  <c r="C27" i="9"/>
  <c r="C26" i="9"/>
  <c r="C25" i="9"/>
  <c r="C24" i="9"/>
  <c r="C23" i="9"/>
  <c r="C21" i="9"/>
  <c r="C20" i="9"/>
  <c r="C19" i="9"/>
  <c r="C18" i="9"/>
  <c r="C17" i="9"/>
  <c r="C16" i="9"/>
  <c r="C14" i="9"/>
  <c r="C11" i="9"/>
  <c r="D8" i="9"/>
  <c r="D7" i="9"/>
  <c r="D6" i="9"/>
  <c r="D5" i="9"/>
  <c r="D4" i="9"/>
  <c r="D3" i="9"/>
  <c r="D2" i="9"/>
  <c r="D9" i="9" s="1"/>
  <c r="C31" i="8"/>
  <c r="C30" i="8"/>
  <c r="C29" i="8"/>
  <c r="C28" i="8"/>
  <c r="C27" i="8"/>
  <c r="C26" i="8"/>
  <c r="C25" i="8"/>
  <c r="C24" i="8"/>
  <c r="C23" i="8"/>
  <c r="C21" i="8"/>
  <c r="C20" i="8"/>
  <c r="C19" i="8"/>
  <c r="C18" i="8"/>
  <c r="C17" i="8"/>
  <c r="C16" i="8"/>
  <c r="C14" i="8"/>
  <c r="C11" i="8"/>
  <c r="D8" i="8"/>
  <c r="D7" i="8"/>
  <c r="D6" i="8"/>
  <c r="D5" i="8"/>
  <c r="D4" i="8"/>
  <c r="D3" i="8"/>
  <c r="D2" i="8"/>
  <c r="D9" i="8" s="1"/>
  <c r="C31" i="7"/>
  <c r="C30" i="7"/>
  <c r="C29" i="7"/>
  <c r="C28" i="7"/>
  <c r="C27" i="7"/>
  <c r="C26" i="7"/>
  <c r="C25" i="7"/>
  <c r="C24" i="7"/>
  <c r="C23" i="7"/>
  <c r="C21" i="7"/>
  <c r="C20" i="7"/>
  <c r="C19" i="7"/>
  <c r="C18" i="7"/>
  <c r="C17" i="7"/>
  <c r="C16" i="7"/>
  <c r="C14" i="7"/>
  <c r="C11" i="7"/>
  <c r="D8" i="7"/>
  <c r="D7" i="7"/>
  <c r="D6" i="7"/>
  <c r="D5" i="7"/>
  <c r="D4" i="7"/>
  <c r="D3" i="7"/>
  <c r="D2" i="7"/>
  <c r="D9" i="7" s="1"/>
  <c r="C2" i="6" a="1"/>
  <c r="C6" i="6" a="1"/>
  <c r="C5" i="6" a="1"/>
  <c r="C7" i="6" a="1"/>
  <c r="C8" i="6" a="1"/>
  <c r="C3" i="6" a="1"/>
  <c r="C4" i="6" a="1"/>
  <c r="C22" i="16" l="1"/>
  <c r="C32" i="16"/>
  <c r="C22" i="15"/>
  <c r="C32" i="15"/>
  <c r="C22" i="14"/>
  <c r="C32" i="14"/>
  <c r="C22" i="13"/>
  <c r="C32" i="13"/>
  <c r="C22" i="12"/>
  <c r="C32" i="12"/>
  <c r="C22" i="11"/>
  <c r="C32" i="11"/>
  <c r="C22" i="9"/>
  <c r="C32" i="9"/>
  <c r="C22" i="8"/>
  <c r="C32" i="8"/>
  <c r="C15" i="16"/>
  <c r="C33" i="16" s="1"/>
  <c r="C15" i="15"/>
  <c r="C33" i="15" s="1"/>
  <c r="C15" i="14"/>
  <c r="C33" i="14" s="1"/>
  <c r="C15" i="13"/>
  <c r="C15" i="12"/>
  <c r="C33" i="12" s="1"/>
  <c r="C15" i="11"/>
  <c r="C33" i="11" s="1"/>
  <c r="C15" i="10"/>
  <c r="C33" i="10" s="1"/>
  <c r="C15" i="9"/>
  <c r="C33" i="9" s="1"/>
  <c r="C15" i="8"/>
  <c r="C33" i="8" s="1"/>
  <c r="C4" i="6"/>
  <c r="C3" i="6"/>
  <c r="C8" i="6"/>
  <c r="C7" i="6"/>
  <c r="C5" i="6"/>
  <c r="C6" i="6"/>
  <c r="C2" i="6"/>
  <c r="C22" i="7"/>
  <c r="C32" i="7"/>
  <c r="C15" i="7"/>
  <c r="C33" i="7" s="1"/>
  <c r="C33" i="13" l="1"/>
  <c r="C11" i="6"/>
  <c r="C11" i="3"/>
  <c r="D2" i="6"/>
  <c r="D3" i="6"/>
  <c r="D4" i="6"/>
  <c r="D5" i="6"/>
  <c r="D6" i="6"/>
  <c r="D7" i="6"/>
  <c r="D8" i="6"/>
  <c r="C31" i="6"/>
  <c r="C30" i="6"/>
  <c r="C29" i="6"/>
  <c r="C28" i="6"/>
  <c r="C27" i="6"/>
  <c r="C26" i="6"/>
  <c r="C25" i="6"/>
  <c r="C24" i="6"/>
  <c r="C23" i="6"/>
  <c r="C21" i="6"/>
  <c r="C20" i="6"/>
  <c r="C19" i="6"/>
  <c r="C18" i="6"/>
  <c r="C17" i="6"/>
  <c r="C16" i="6"/>
  <c r="C14" i="6"/>
  <c r="C16" i="3"/>
  <c r="C17" i="3"/>
  <c r="C18" i="3"/>
  <c r="C19" i="3"/>
  <c r="C20" i="3"/>
  <c r="C21" i="3"/>
  <c r="C23" i="3"/>
  <c r="C24" i="3"/>
  <c r="C25" i="3"/>
  <c r="C26" i="3"/>
  <c r="C27" i="3"/>
  <c r="C28" i="3"/>
  <c r="C29" i="3"/>
  <c r="C30" i="3"/>
  <c r="C31" i="3"/>
  <c r="C14" i="3"/>
  <c r="D2" i="3"/>
  <c r="E2" i="3" s="1"/>
  <c r="D3" i="3"/>
  <c r="E3" i="3" s="1"/>
  <c r="D4" i="3"/>
  <c r="E4" i="3" s="1"/>
  <c r="D5" i="3"/>
  <c r="D6" i="3"/>
  <c r="E6" i="3" s="1"/>
  <c r="D7" i="3"/>
  <c r="E7" i="3" s="1"/>
  <c r="D8" i="3"/>
  <c r="E8" i="3" s="1"/>
  <c r="C9" i="3"/>
  <c r="J3" i="1" a="1"/>
  <c r="J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E15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C22" i="6" l="1"/>
  <c r="C32" i="6"/>
  <c r="D9" i="6"/>
  <c r="C15" i="6"/>
  <c r="C33" i="6" s="1"/>
  <c r="C32" i="3"/>
  <c r="C22" i="3"/>
  <c r="C15" i="3"/>
  <c r="D9" i="3"/>
  <c r="E5" i="3"/>
  <c r="E9" i="3" s="1"/>
  <c r="C33" i="3" l="1"/>
  <c r="E5" i="6"/>
  <c r="C5" i="7" a="1"/>
  <c r="C5" i="7" l="1"/>
  <c r="E5" i="7" s="1"/>
  <c r="E8" i="6"/>
  <c r="C5" i="8" a="1"/>
  <c r="C8" i="7" a="1"/>
  <c r="C5" i="8" l="1"/>
  <c r="E5" i="8" s="1"/>
  <c r="C8" i="7"/>
  <c r="E8" i="7" s="1"/>
  <c r="E4" i="6"/>
  <c r="C5" i="9" a="1"/>
  <c r="C8" i="8" a="1"/>
  <c r="C4" i="7" a="1"/>
  <c r="C5" i="9" l="1"/>
  <c r="E5" i="9" s="1"/>
  <c r="C8" i="8"/>
  <c r="E8" i="8" s="1"/>
  <c r="C4" i="7"/>
  <c r="E4" i="7" s="1"/>
  <c r="E3" i="6"/>
  <c r="C5" i="10" a="1"/>
  <c r="C8" i="9" a="1"/>
  <c r="C4" i="8" a="1"/>
  <c r="C3" i="7" a="1"/>
  <c r="C8" i="9" l="1"/>
  <c r="E8" i="9" s="1"/>
  <c r="C5" i="10"/>
  <c r="E5" i="10" s="1"/>
  <c r="C4" i="8"/>
  <c r="E4" i="8" s="1"/>
  <c r="C3" i="7"/>
  <c r="E3" i="7" s="1"/>
  <c r="E7" i="6"/>
  <c r="C8" i="10" a="1"/>
  <c r="C5" i="11" a="1"/>
  <c r="C4" i="9" a="1"/>
  <c r="C3" i="8" a="1"/>
  <c r="C7" i="7" a="1"/>
  <c r="C4" i="9" l="1"/>
  <c r="E4" i="9" s="1"/>
  <c r="C5" i="11"/>
  <c r="E5" i="11" s="1"/>
  <c r="C8" i="10"/>
  <c r="E8" i="10" s="1"/>
  <c r="C3" i="8"/>
  <c r="E3" i="8" s="1"/>
  <c r="C7" i="7"/>
  <c r="E7" i="7" s="1"/>
  <c r="E6" i="6"/>
  <c r="C4" i="10" a="1"/>
  <c r="C5" i="12" a="1"/>
  <c r="C8" i="11" a="1"/>
  <c r="C3" i="9" a="1"/>
  <c r="C7" i="8" a="1"/>
  <c r="C6" i="7" a="1"/>
  <c r="C3" i="9" l="1"/>
  <c r="E3" i="9" s="1"/>
  <c r="C8" i="11"/>
  <c r="E8" i="11" s="1"/>
  <c r="C5" i="12"/>
  <c r="E5" i="12" s="1"/>
  <c r="C4" i="10"/>
  <c r="E4" i="10" s="1"/>
  <c r="C7" i="8"/>
  <c r="E7" i="8" s="1"/>
  <c r="C6" i="7"/>
  <c r="E6" i="7" s="1"/>
  <c r="C9" i="6"/>
  <c r="E2" i="6"/>
  <c r="C3" i="10" a="1"/>
  <c r="C7" i="9" a="1"/>
  <c r="C8" i="12" a="1"/>
  <c r="C5" i="13" a="1"/>
  <c r="C4" i="11" a="1"/>
  <c r="C6" i="8" a="1"/>
  <c r="C2" i="7" a="1"/>
  <c r="C4" i="11" l="1"/>
  <c r="E4" i="11" s="1"/>
  <c r="C5" i="13"/>
  <c r="E5" i="13" s="1"/>
  <c r="C8" i="12"/>
  <c r="E8" i="12" s="1"/>
  <c r="C7" i="9"/>
  <c r="E7" i="9" s="1"/>
  <c r="C3" i="10"/>
  <c r="E3" i="10" s="1"/>
  <c r="C6" i="8"/>
  <c r="E6" i="8" s="1"/>
  <c r="C2" i="7"/>
  <c r="E9" i="6"/>
  <c r="C4" i="12" a="1"/>
  <c r="C3" i="11" a="1"/>
  <c r="C6" i="9" a="1"/>
  <c r="C5" i="14" a="1"/>
  <c r="C8" i="13" a="1"/>
  <c r="C7" i="10" a="1"/>
  <c r="C7" i="10" l="1"/>
  <c r="E7" i="10" s="1"/>
  <c r="C8" i="13"/>
  <c r="E8" i="13" s="1"/>
  <c r="C5" i="14"/>
  <c r="E5" i="14" s="1"/>
  <c r="C6" i="9"/>
  <c r="E6" i="9" s="1"/>
  <c r="C3" i="11"/>
  <c r="E3" i="11" s="1"/>
  <c r="C4" i="12"/>
  <c r="E4" i="12" s="1"/>
  <c r="C9" i="7"/>
  <c r="E2" i="7"/>
  <c r="C7" i="11" a="1"/>
  <c r="C8" i="14" a="1"/>
  <c r="C4" i="13" a="1"/>
  <c r="C5" i="15" a="1"/>
  <c r="C6" i="10" a="1"/>
  <c r="C3" i="12" a="1"/>
  <c r="C2" i="8" a="1"/>
  <c r="C3" i="12" l="1"/>
  <c r="E3" i="12" s="1"/>
  <c r="C6" i="10"/>
  <c r="E6" i="10" s="1"/>
  <c r="C5" i="15"/>
  <c r="E5" i="15" s="1"/>
  <c r="C4" i="13"/>
  <c r="E4" i="13" s="1"/>
  <c r="C8" i="14"/>
  <c r="E8" i="14" s="1"/>
  <c r="C7" i="11"/>
  <c r="E7" i="11" s="1"/>
  <c r="C2" i="8"/>
  <c r="E9" i="7"/>
  <c r="C6" i="11" a="1"/>
  <c r="C7" i="12" a="1"/>
  <c r="C5" i="16" a="1"/>
  <c r="C4" i="14" a="1"/>
  <c r="C3" i="13" a="1"/>
  <c r="C8" i="15" a="1"/>
  <c r="C8" i="15" l="1"/>
  <c r="E8" i="15" s="1"/>
  <c r="C3" i="13"/>
  <c r="E3" i="13" s="1"/>
  <c r="C4" i="14"/>
  <c r="E4" i="14" s="1"/>
  <c r="C5" i="16"/>
  <c r="E5" i="16" s="1"/>
  <c r="C7" i="12"/>
  <c r="E7" i="12" s="1"/>
  <c r="C6" i="11"/>
  <c r="E6" i="11" s="1"/>
  <c r="C9" i="8"/>
  <c r="E2" i="8"/>
  <c r="C3" i="14" a="1"/>
  <c r="C6" i="12" a="1"/>
  <c r="C2" i="9" a="1"/>
  <c r="C8" i="16" a="1"/>
  <c r="C4" i="15" a="1"/>
  <c r="C7" i="13" a="1"/>
  <c r="C7" i="13" l="1"/>
  <c r="E7" i="13" s="1"/>
  <c r="C4" i="15"/>
  <c r="E4" i="15" s="1"/>
  <c r="C8" i="16"/>
  <c r="E8" i="16" s="1"/>
  <c r="C2" i="9"/>
  <c r="C6" i="12"/>
  <c r="E6" i="12" s="1"/>
  <c r="C3" i="14"/>
  <c r="E3" i="14" s="1"/>
  <c r="E9" i="8"/>
  <c r="C4" i="16" a="1"/>
  <c r="C3" i="15" a="1"/>
  <c r="C7" i="14" a="1"/>
  <c r="C6" i="13" a="1"/>
  <c r="C6" i="13" l="1"/>
  <c r="E6" i="13" s="1"/>
  <c r="C7" i="14"/>
  <c r="E7" i="14" s="1"/>
  <c r="C3" i="15"/>
  <c r="E3" i="15" s="1"/>
  <c r="C4" i="16"/>
  <c r="E4" i="16" s="1"/>
  <c r="E2" i="9"/>
  <c r="C9" i="9"/>
  <c r="C7" i="15" a="1"/>
  <c r="C3" i="16" a="1"/>
  <c r="C6" i="14" a="1"/>
  <c r="C2" i="10" a="1"/>
  <c r="C2" i="10" l="1"/>
  <c r="C6" i="14"/>
  <c r="E6" i="14" s="1"/>
  <c r="C3" i="16"/>
  <c r="E3" i="16" s="1"/>
  <c r="C7" i="15"/>
  <c r="E7" i="15" s="1"/>
  <c r="E9" i="9"/>
  <c r="C6" i="15" a="1"/>
  <c r="C7" i="16" a="1"/>
  <c r="C7" i="16" l="1"/>
  <c r="E7" i="16" s="1"/>
  <c r="C6" i="15"/>
  <c r="E6" i="15" s="1"/>
  <c r="C9" i="10"/>
  <c r="E2" i="10"/>
  <c r="C6" i="16" a="1"/>
  <c r="C2" i="11" a="1"/>
  <c r="C2" i="11" l="1"/>
  <c r="C6" i="16"/>
  <c r="E6" i="16" s="1"/>
  <c r="E9" i="10"/>
  <c r="C9" i="11" l="1"/>
  <c r="E2" i="11"/>
  <c r="C2" i="12" a="1"/>
  <c r="C2" i="12" l="1"/>
  <c r="E9" i="11"/>
  <c r="E2" i="12" l="1"/>
  <c r="C9" i="12"/>
  <c r="C2" i="13" a="1"/>
  <c r="C2" i="13" l="1"/>
  <c r="E9" i="12"/>
  <c r="C9" i="13" l="1"/>
  <c r="E2" i="13"/>
  <c r="C2" i="14" a="1"/>
  <c r="C2" i="14" l="1"/>
  <c r="E9" i="13"/>
  <c r="E2" i="14" l="1"/>
  <c r="C9" i="14"/>
  <c r="C2" i="15" a="1"/>
  <c r="C2" i="15" l="1"/>
  <c r="E9" i="14"/>
  <c r="C9" i="15" l="1"/>
  <c r="E2" i="15"/>
  <c r="C2" i="16" a="1"/>
  <c r="C2" i="16" l="1"/>
  <c r="E9" i="15"/>
  <c r="E2" i="16" l="1"/>
  <c r="E9" i="16" s="1"/>
  <c r="C9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<sst xmlns="http://schemas.openxmlformats.org/spreadsheetml/2006/main" count="1417" uniqueCount="55">
  <si>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</si>
  <si>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</si>
  <si>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</si>
  <si>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</si>
  <si>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</si>
  <si>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</si>
  <si>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</si>
  <si>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</si>
  <si>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</si>
  <si>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</si>
  <si>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</si>
  <si>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</si>
  <si>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</si>
  <si>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</si>
  <si>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</si>
  <si>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</si>
  <si>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</si>
  <si>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</si>
  <si>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</si>
  <si>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</si>
  <si>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</si>
  <si>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</si>
  <si>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</si>
  <si>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</si>
  <si>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</si>
  <si>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</si>
  <si>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</si>
  <si>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</si>
  <si>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</si>
  <si>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</si>
  <si>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</si>
  <si>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</si>
  <si>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Darowizny</t>
  </si>
  <si>
    <t>Świadczenia</t>
  </si>
  <si>
    <t>Transfer</t>
  </si>
  <si>
    <t>Saldo początkowe</t>
  </si>
  <si>
    <t>Saldo końcowe</t>
  </si>
  <si>
    <t>Operacje</t>
  </si>
  <si>
    <t>Suma</t>
  </si>
  <si>
    <t>Transfer Suma</t>
  </si>
  <si>
    <t>Wpływy Suma</t>
  </si>
  <si>
    <t>Wydatki Suma</t>
  </si>
  <si>
    <t>Suma końcowa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</si>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</sst>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8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ny" xfId="0" builtinId="0"/>
  </cellStyles>
  <dxfs count="78"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00132F-BB2F-4D46-9EC5-1FA40894919A}" name="Operacje" displayName="Operacje" ref="A1:G207" totalsRowShown="0" headerRowDxfId="77" dataDxfId="76">
  <autoFilter ref="A1:G207" xr:uid="{DF00132F-BB2F-4D46-9EC5-1FA40894919A}"/>
  <tableColumns count="7">
    <tableColumn id="1" xr3:uid="{25A72E87-C4CB-4423-B348-90A35E775FE3}" name="Kwota" dataDxfId="75"/>
    <tableColumn id="2" xr3:uid="{93BBD57B-3BBB-4ACA-83CE-607F44F5B6A5}" name="Bank" dataDxfId="74"/>
    <tableColumn id="3" xr3:uid="{2DE6DBCE-4D01-4473-8B14-546B121944E8}" name="Produkt" dataDxfId="73"/>
    <tableColumn id="4" xr3:uid="{8BDFC9FE-2298-4235-8F5E-F51C51653802}" name="Kategoria" dataDxfId="72"/>
    <tableColumn id="5" xr3:uid="{637E4BCA-FB13-497F-8BDF-60A0237FB080}" name="Typ" dataDxfId="71">
      <calculatedColumnFormula>_xlfn.XLOOKUP(Operacje[[#This Row],[Kategoria]],Kategorie[Kategoria],Kategorie[Typ],"",0)</calculatedColumnFormula>
    </tableColumn>
    <tableColumn id="6" xr3:uid="{0589E3E0-9F77-4230-B360-097D9EB65EAF}" name="Data" dataDxfId="70"/>
    <tableColumn id="7" xr3:uid="{C2CF5F63-18C9-44B9-A2FF-347ADDC71E9F}" name="Miesiąc" dataDxfId="69">
      <calculatedColumnFormula>IF(ISBLANK(Operacje[[#This Row],[Data]]),,MONTH(Operacje[[#This Row],[Data]]))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D7CADA-35FE-437B-8C68-50867E3218EB}" name="Kategorie" displayName="Kategorie" ref="A1:B17" totalsRowShown="0">
  <autoFilter ref="A1:B17" xr:uid="{48D7CADA-35FE-437B-8C68-50867E3218EB}"/>
  <tableColumns count="2">
    <tableColumn id="1" xr3:uid="{9AD4FB54-3500-42A3-86FC-CFAC171DC6DD}" name="Kategoria"/>
    <tableColumn id="2" xr3:uid="{42B65567-5B71-4AA8-BE74-8A6E4910BFC5}" name="Typ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1F9E42-0CFB-4C44-8E2F-6F73CD6E69FD}" name="Produkty" displayName="Produkty" ref="H1:I8" totalsRowShown="0">
  <autoFilter ref="H1:I8" xr:uid="{561F9E42-0CFB-4C44-8E2F-6F73CD6E69FD}"/>
  <sortState xmlns:xlrd2="http://schemas.microsoft.com/office/spreadsheetml/2017/richdata2" ref="H2:I8">
    <sortCondition ref="H1:H8"/>
  </sortState>
  <tableColumns count="2">
    <tableColumn id="1" xr3:uid="{E93EF15D-5920-4634-AB57-DC3768414B7E}" name="Bank"/>
    <tableColumn id="2" xr3:uid="{0A554889-0F24-4169-AD77-812D01FD61C6}" name="Produk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08405-F5A8-4558-8658-63814512375D}" name="styczeń_saldo" displayName="stycz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BFEDD8C7-6960-450F-8611-D3A2F6177AF7}" name="Bank" totalsRowLabel="Suma"/>
    <tableColumn id="2" xr3:uid="{A8E01AD7-9F44-4056-9A84-61A254742FEA}" name="Produkt"/>
    <tableColumn id="3" xr3:uid="{518BAC9F-C2D0-47A4-B7DA-CB3D9C9ACB4E}" name="Saldo początkowe" totalsRowFunction="sum" dataDxfId="68"/>
    <tableColumn id="4" xr3:uid="{CA773A1B-F066-449B-B2FB-42F3C899F422}" name="Operacje" totalsRowFunction="sum" dataDxfId="67">
      <calculatedColumnFormula>SUMIFS(Operacje[Kwota],Operacje[Bank],styczeń_saldo[[#This Row],[Bank]],Operacje[Produkt],styczeń_saldo[[#This Row],[Produkt]],Operacje[Miesiąc],$B$11)</calculatedColumnFormula>
    </tableColumn>
    <tableColumn id="5" xr3:uid="{86417667-0456-4594-B07E-A87A7518B847}" name="Saldo końcowe" totalsRowFunction="sum" dataDxfId="66">
      <calculatedColumnFormula>styczeń_saldo[[#This Row],[Saldo początkowe]]+styczeń_saldo[[#This Row],[Operacje]]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7F17B-C8A7-4517-93AB-478A7D2D2691}" name="luty_saldo" displayName="luty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CC14FA96-13DF-44AE-870E-477E801F35A5}" name="Bank" totalsRowLabel="Suma"/>
    <tableColumn id="2" xr3:uid="{FC93A666-EED2-4E44-9DE1-4F572D4CD117}" name="Produkt"/>
    <tableColumn id="3" xr3:uid="{402CE5E0-22A5-459F-98A7-1030DD2C059B}" name="Saldo początkowe" totalsRowFunction="sum" dataDxfId="54" totalsRowDxfId="57">
      <calculatedColumnFormula array="1">INDIRECT(TEXT(DATE(2025,$B$11-1,1),"mmmm")&amp;"_saldo[@[Saldo końcowe]]")</calculatedColumnFormula>
    </tableColumn>
    <tableColumn id="4" xr3:uid="{E633EEE1-DF88-44A0-9D23-AF634F1B159B}" name="Operacje" totalsRowFunction="sum" dataDxfId="65" totalsRowDxfId="56">
      <calculatedColumnFormula>SUMIFS(Operacje[Kwota],Operacje[Bank],luty_saldo[[#This Row],[Bank]],Operacje[Produkt],luty_saldo[[#This Row],[Produkt]],Operacje[Miesiąc],$B$11)</calculatedColumnFormula>
    </tableColumn>
    <tableColumn id="5" xr3:uid="{D1CAE2DA-8429-4E27-8687-10BD31AE92BE}" name="Saldo końcowe" totalsRowFunction="sum" dataDxfId="64" totalsRowDxfId="55">
      <calculatedColumnFormula>luty_saldo[[#This Row],[Saldo początkowe]]+luty_saldo[[#This Row],[Operacje]]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E39FDF-B98F-4E96-AD19-504162CE28F8}" name="marzec_saldo" displayName="marzec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8B1289C6-0B9A-4C3A-B3D6-BCA44DA3F3F9}" name="Bank" totalsRowLabel="Suma"/>
    <tableColumn id="2" xr3:uid="{E4C8E33F-157B-41D1-B656-74DD09327827}" name="Produkt"/>
    <tableColumn id="3" xr3:uid="{5824DB4C-50E7-4B56-811D-C35E0474CFD6}" name="Saldo początkowe" totalsRowFunction="sum" dataDxfId="58" totalsRowDxfId="61">
      <calculatedColumnFormula array="1">INDIRECT(TEXT(DATE(2025,$B$11-1,1),"mmmm")&amp;"_saldo[@[Saldo końcowe]]")</calculatedColumnFormula>
    </tableColumn>
    <tableColumn id="4" xr3:uid="{29EF627D-65E3-411E-9134-8F11148AC4C5}" name="Operacje" totalsRowFunction="sum" dataDxfId="63" totalsRowDxfId="60">
      <calculatedColumnFormula>SUMIFS(Operacje[Kwota],Operacje[Bank],marzec_saldo[[#This Row],[Bank]],Operacje[Produkt],marzec_saldo[[#This Row],[Produkt]],Operacje[Miesiąc],$B$11)</calculatedColumnFormula>
    </tableColumn>
    <tableColumn id="5" xr3:uid="{F85BE29F-2134-4167-82C4-98243EF3116C}" name="Saldo końcowe" totalsRowFunction="sum" dataDxfId="62" totalsRowDxfId="59">
      <calculatedColumnFormula>marzec_saldo[[#This Row],[Saldo początkowe]]+marzec_saldo[[#This Row],[Operacje]]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602A3B-931E-40F1-9736-8311608A9C4B}" name="kwiecień_saldo" displayName="kwiec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DCBEBA71-EAAC-4213-A980-6FA0FC4CC6DA}" name="Bank" totalsRowLabel="Suma"/>
    <tableColumn id="2" xr3:uid="{757B59AC-2B85-4F9B-900B-2F9FE36E685D}" name="Produkt"/>
    <tableColumn id="3" xr3:uid="{DC2AB836-57E2-4D97-8040-CBA5F7ABE0C0}" name="Saldo początkowe" totalsRowFunction="sum" dataDxfId="52" totalsRowDxfId="53">
      <calculatedColumnFormula array="1">INDIRECT(TEXT(DATE(2025,$B$11-1,1),"mmmm")&amp;"_saldo[@[Saldo końcowe]]")</calculatedColumnFormula>
    </tableColumn>
    <tableColumn id="4" xr3:uid="{DB4462D6-C965-45FC-B837-A2164EFD3B6B}" name="Operacje" totalsRowFunction="sum" dataDxfId="50" totalsRowDxfId="51">
      <calculatedColumnFormula>SUMIFS(Operacje[Kwota],Operacje[Bank],kwiecień_saldo[[#This Row],[Bank]],Operacje[Produkt],kwiecień_saldo[[#This Row],[Produkt]],Operacje[Miesiąc],$B$11)</calculatedColumnFormula>
    </tableColumn>
    <tableColumn id="5" xr3:uid="{F49023EB-0981-433A-AE47-BD63A0F5F8DA}" name="Saldo końcowe" totalsRowFunction="sum" dataDxfId="48" totalsRowDxfId="49">
      <calculatedColumnFormula>kwiecień_saldo[[#This Row],[Saldo początkowe]]+kwiecień_saldo[[#This Row],[Operacje]]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93384A-E5A1-4DA2-98F2-3F6C67A67B5B}" name="maj_saldo" displayName="maj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11F5C0F9-42E0-4930-9A72-9382A8486330}" name="Bank" totalsRowLabel="Suma"/>
    <tableColumn id="2" xr3:uid="{4C99FE9D-6411-4905-AF1B-89BC09B5F366}" name="Produkt"/>
    <tableColumn id="3" xr3:uid="{43F50878-52CD-4DF5-A53D-140D0D6C7ED2}" name="Saldo początkowe" totalsRowFunction="sum" dataDxfId="47" totalsRowDxfId="44">
      <calculatedColumnFormula array="1">INDIRECT(TEXT(DATE(2025,$B$11-1,1),"mmmm")&amp;"_saldo[@[Saldo końcowe]]")</calculatedColumnFormula>
    </tableColumn>
    <tableColumn id="4" xr3:uid="{E666B0A2-6251-4951-A91A-BCECDC102225}" name="Operacje" totalsRowFunction="sum" dataDxfId="46" totalsRowDxfId="43">
      <calculatedColumnFormula>SUMIFS(Operacje[Kwota],Operacje[Bank],maj_saldo[[#This Row],[Bank]],Operacje[Produkt],maj_saldo[[#This Row],[Produkt]],Operacje[Miesiąc],$B$11)</calculatedColumnFormula>
    </tableColumn>
    <tableColumn id="5" xr3:uid="{40BD0F46-4DB9-4924-A658-EB65580FCF7B}" name="Saldo końcowe" totalsRowFunction="sum" dataDxfId="45" totalsRowDxfId="42">
      <calculatedColumnFormula>maj_saldo[[#This Row],[Saldo początkowe]]+maj_saldo[[#This Row],[Operacje]]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882294-EF08-4C00-BC9D-93606202DFCE}" name="czerwiec_saldo" displayName="czerwiec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B3FF2B8E-AF2E-4D9A-BFFD-64E2086DE258}" name="Bank" totalsRowLabel="Suma"/>
    <tableColumn id="2" xr3:uid="{25E3F44D-2BD8-4965-9CBC-801490BD8429}" name="Produkt"/>
    <tableColumn id="3" xr3:uid="{AB961AE9-02C8-4277-84B4-60C16B26ED0F}" name="Saldo początkowe" totalsRowFunction="sum" dataDxfId="40" totalsRowDxfId="41">
      <calculatedColumnFormula array="1">INDIRECT(TEXT(DATE(2025,$B$11-1,1),"mmmm")&amp;"_saldo[@[Saldo końcowe]]")</calculatedColumnFormula>
    </tableColumn>
    <tableColumn id="4" xr3:uid="{C2F0CAB7-3E28-4413-AF08-2AA1E36AF6E3}" name="Operacje" totalsRowFunction="sum" dataDxfId="38" totalsRowDxfId="39">
      <calculatedColumnFormula>SUMIFS(Operacje[Kwota],Operacje[Bank],czerwiec_saldo[[#This Row],[Bank]],Operacje[Produkt],czerwiec_saldo[[#This Row],[Produkt]],Operacje[Miesiąc],$B$11)</calculatedColumnFormula>
    </tableColumn>
    <tableColumn id="5" xr3:uid="{CC76026D-A5E3-4D2F-B959-C422014799FF}" name="Saldo końcowe" totalsRowFunction="sum" dataDxfId="36" totalsRowDxfId="37">
      <calculatedColumnFormula>czerwiec_saldo[[#This Row],[Saldo początkowe]]+czerwiec_saldo[[#This Row],[Operacje]]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5952D6-D3AE-4218-AE19-2652FDBC4D63}" name="lipiec_saldo" displayName="lipiec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3E7B6A8D-D662-4BFC-9C63-A8D27A7C9CC9}" name="Bank" totalsRowLabel="Suma"/>
    <tableColumn id="2" xr3:uid="{B89601A0-6A8D-4A85-A28A-ABCC667DC25B}" name="Produkt"/>
    <tableColumn id="3" xr3:uid="{BD4F6F84-6850-4EC5-B07C-7A564FE65CAC}" name="Saldo początkowe" totalsRowFunction="sum" dataDxfId="34" totalsRowDxfId="35">
      <calculatedColumnFormula array="1">INDIRECT(TEXT(DATE(2025,$B$11-1,1),"mmmm")&amp;"_saldo[@[Saldo końcowe]]")</calculatedColumnFormula>
    </tableColumn>
    <tableColumn id="4" xr3:uid="{A95CB9A5-0B0C-4B17-8710-08FB53B93F07}" name="Operacje" totalsRowFunction="sum" dataDxfId="32" totalsRowDxfId="33">
      <calculatedColumnFormula>SUMIFS(Operacje[Kwota],Operacje[Bank],lipiec_saldo[[#This Row],[Bank]],Operacje[Produkt],lipiec_saldo[[#This Row],[Produkt]],Operacje[Miesiąc],$B$11)</calculatedColumnFormula>
    </tableColumn>
    <tableColumn id="5" xr3:uid="{425DF2C6-4FF6-4388-9091-179D3AE81234}" name="Saldo końcowe" totalsRowFunction="sum" dataDxfId="30" totalsRowDxfId="31">
      <calculatedColumnFormula>lipiec_saldo[[#This Row],[Saldo początkowe]]+lipiec_saldo[[#This Row],[Operacje]]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795B29-ECC6-4BB5-8891-1350B0F24837}" name="sierpień_saldo" displayName="sierp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5DB5201B-3E8D-4A6B-BDCA-17E633B8A0AC}" name="Bank" totalsRowLabel="Suma"/>
    <tableColumn id="2" xr3:uid="{03042651-EB78-4735-B338-F0B5BA056236}" name="Produkt"/>
    <tableColumn id="3" xr3:uid="{A4521513-3046-4559-B9F8-B99F34FA791C}" name="Saldo początkowe" totalsRowFunction="sum" dataDxfId="28" totalsRowDxfId="29">
      <calculatedColumnFormula array="1">INDIRECT(TEXT(DATE(2025,$B$11-1,1),"mmmm")&amp;"_saldo[@[Saldo końcowe]]")</calculatedColumnFormula>
    </tableColumn>
    <tableColumn id="4" xr3:uid="{E7552EB9-6228-4E6E-8369-141EB1963330}" name="Operacje" totalsRowFunction="sum" dataDxfId="26" totalsRowDxfId="27">
      <calculatedColumnFormula>SUMIFS(Operacje[Kwota],Operacje[Bank],sierpień_saldo[[#This Row],[Bank]],Operacje[Produkt],sierpień_saldo[[#This Row],[Produkt]],Operacje[Miesiąc],$B$11)</calculatedColumnFormula>
    </tableColumn>
    <tableColumn id="5" xr3:uid="{87EA4A1C-C080-4DA8-A268-1218FA864F9D}" name="Saldo końcowe" totalsRowFunction="sum" dataDxfId="24" totalsRowDxfId="25">
      <calculatedColumnFormula>sierpień_saldo[[#This Row],[Saldo początkowe]]+sierpień_saldo[[#This Row],[Operacje]]</calculatedColumnFormula>
    </tableColumn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5DF59B-8412-4C4F-ABA2-8612839CF7DA}" name="wrzesień_saldo" displayName="wrzes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41953830-E4A0-4331-9A4A-853940427EEC}" name="Bank" totalsRowLabel="Suma"/>
    <tableColumn id="2" xr3:uid="{599FA979-63BA-4A1F-B837-999750C5ABE3}" name="Produkt"/>
    <tableColumn id="3" xr3:uid="{A6395F16-48E9-4D9A-91FD-A08B6CBC8AF9}" name="Saldo początkowe" totalsRowFunction="sum" dataDxfId="22" totalsRowDxfId="23">
      <calculatedColumnFormula array="1">INDIRECT(TEXT(DATE(2025,$B$11-1,1),"mmmm")&amp;"_saldo[@[Saldo końcowe]]")</calculatedColumnFormula>
    </tableColumn>
    <tableColumn id="4" xr3:uid="{0C509825-7E28-4C19-81DF-BFCC04D5CD86}" name="Operacje" totalsRowFunction="sum" dataDxfId="20" totalsRowDxfId="21">
      <calculatedColumnFormula>SUMIFS(Operacje[Kwota],Operacje[Bank],wrzesień_saldo[[#This Row],[Bank]],Operacje[Produkt],wrzesień_saldo[[#This Row],[Produkt]],Operacje[Miesiąc],$B$11)</calculatedColumnFormula>
    </tableColumn>
    <tableColumn id="5" xr3:uid="{103810C1-B9C7-443D-B2FE-FF7C53B037DA}" name="Saldo końcowe" totalsRowFunction="sum" dataDxfId="18" totalsRowDxfId="19">
      <calculatedColumnFormula>wrzesień_saldo[[#This Row],[Saldo początkowe]]+wrzesień_saldo[[#This Row],[Operacje]]</calculatedColumnFormula>
    </tableColumn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FCC2F4-6A3F-45AB-83B7-53027978D045}" name="październik_saldo" displayName="październik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184860FA-AC5F-4246-895E-3D7E29DD2732}" name="Bank" totalsRowLabel="Suma"/>
    <tableColumn id="2" xr3:uid="{2A203464-0A0C-474D-A7F3-E6F40FAD22D4}" name="Produkt"/>
    <tableColumn id="3" xr3:uid="{E07B8B4C-F974-4701-993A-2F7725F51576}" name="Saldo początkowe" totalsRowFunction="sum" dataDxfId="16" totalsRowDxfId="17">
      <calculatedColumnFormula array="1">INDIRECT(TEXT(DATE(2025,$B$11-1,1),"mmmm")&amp;"_saldo[@[Saldo końcowe]]")</calculatedColumnFormula>
    </tableColumn>
    <tableColumn id="4" xr3:uid="{C2AC896C-4C30-43C2-AD86-223A879219A3}" name="Operacje" totalsRowFunction="sum" dataDxfId="14" totalsRowDxfId="15">
      <calculatedColumnFormula>SUMIFS(Operacje[Kwota],Operacje[Bank],październik_saldo[[#This Row],[Bank]],Operacje[Produkt],październik_saldo[[#This Row],[Produkt]],Operacje[Miesiąc],$B$11)</calculatedColumnFormula>
    </tableColumn>
    <tableColumn id="5" xr3:uid="{D308DC67-D499-4C24-A38D-664857DA7868}" name="Saldo końcowe" totalsRowFunction="sum" dataDxfId="12" totalsRowDxfId="13">
      <calculatedColumnFormula>październik_saldo[[#This Row],[Saldo początkowe]]+październik_saldo[[#This Row],[Operacje]]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AC0BB3-7F86-45C9-8018-CE695340ED55}" name="listopad_saldo" displayName="listopad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506F667E-0081-4765-BA04-8E7B25576640}" name="Bank" totalsRowLabel="Suma"/>
    <tableColumn id="2" xr3:uid="{EBAFCBEB-BF63-4949-B371-00343AD2CDB9}" name="Produkt"/>
    <tableColumn id="3" xr3:uid="{D2819467-7F23-457D-B7A9-3DA158F30368}" name="Saldo początkowe" totalsRowFunction="sum" dataDxfId="10" totalsRowDxfId="11">
      <calculatedColumnFormula array="1">INDIRECT(TEXT(DATE(2025,$B$11-1,1),"mmmm")&amp;"_saldo[@[Saldo końcowe]]")</calculatedColumnFormula>
    </tableColumn>
    <tableColumn id="4" xr3:uid="{DD8250EA-F9BD-4881-BEFD-484CF89C827A}" name="Operacje" totalsRowFunction="sum" dataDxfId="8" totalsRowDxfId="9">
      <calculatedColumnFormula>SUMIFS(Operacje[Kwota],Operacje[Bank],listopad_saldo[[#This Row],[Bank]],Operacje[Produkt],listopad_saldo[[#This Row],[Produkt]],Operacje[Miesiąc],$B$11)</calculatedColumnFormula>
    </tableColumn>
    <tableColumn id="5" xr3:uid="{65162FAC-88C6-46B5-AB07-9AEE43F1D90C}" name="Saldo końcowe" totalsRowFunction="sum" dataDxfId="6" totalsRowDxfId="7">
      <calculatedColumnFormula>listopad_saldo[[#This Row],[Saldo początkowe]]+listopad_saldo[[#This Row],[Operacje]]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201515B-D4F6-46C7-907D-9EB86B079E5D}" name="grudzień_saldo" displayName="grudz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355C4AB4-802F-43E1-9DC4-8867083FAB2F}" name="Bank" totalsRowLabel="Suma"/>
    <tableColumn id="2" xr3:uid="{60929A0F-DE72-436B-85EA-03F4ED78D282}" name="Produkt"/>
    <tableColumn id="3" xr3:uid="{32122A68-9D01-48CA-8897-71BF846FD0A4}" name="Saldo początkowe" totalsRowFunction="sum" dataDxfId="4" totalsRowDxfId="5">
      <calculatedColumnFormula array="1">INDIRECT(TEXT(DATE(2025,$B$11-1,1),"mmmm")&amp;"_saldo[@[Saldo końcowe]]")</calculatedColumnFormula>
    </tableColumn>
    <tableColumn id="4" xr3:uid="{2FAEB8DF-97A0-440E-BF10-123BDDDD93B2}" name="Operacje" totalsRowFunction="sum" dataDxfId="2" totalsRowDxfId="3">
      <calculatedColumnFormula>SUMIFS(Operacje[Kwota],Operacje[Bank],grudzień_saldo[[#This Row],[Bank]],Operacje[Produkt],grudzień_saldo[[#This Row],[Produkt]],Operacje[Miesiąc],$B$11)</calculatedColumnFormula>
    </tableColumn>
    <tableColumn id="5" xr3:uid="{59392E25-3430-4930-BEE1-6C73EC4858E4}" name="Saldo końcowe" totalsRowFunction="sum" dataDxfId="0" totalsRowDxfId="1">
      <calculatedColumnFormula>grudzień_saldo[[#This Row],[Saldo początkowe]]+grudzień_saldo[[#This Row],[Operacje]]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J207"/>
  <sheetViews>
    <sheetView topLeftCell="A138" workbookViewId="0">
      <selection activeCell="Q17" sqref="Q17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10" customWidth="1"/>
    <col min="14" max="14" width="1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>
        <v>-1500</v>
      </c>
      <c r="B2" s="1" t="s">
        <v>7</v>
      </c>
      <c r="C2" s="1" t="s">
        <v>8</v>
      </c>
      <c r="D2" s="1" t="s">
        <v>9</v>
      </c>
      <c r="E2" s="1" t="str">
        <f>_xlfn.XLOOKUP(Operacje[[#This Row],[Kategoria]],Kategorie[Kategoria],Kategorie[Typ],"",0)</f>
        <v>Wydatki</v>
      </c>
      <c r="F2" s="3">
        <v>45296</v>
      </c>
      <c r="G2" s="1">
        <f>IF(ISBLANK(Operacje[[#This Row],[Data]]),,MONTH(Operacje[[#This Row],[Data]]))</f>
        <v>1</v>
      </c>
    </row>
    <row r="3" spans="1:10" x14ac:dyDescent="0.25">
      <c r="A3" s="2">
        <v>4500</v>
      </c>
      <c r="B3" s="1" t="s">
        <v>7</v>
      </c>
      <c r="C3" s="1" t="s">
        <v>8</v>
      </c>
      <c r="D3" s="1" t="s">
        <v>11</v>
      </c>
      <c r="E3" s="1" t="str">
        <f>_xlfn.XLOOKUP(Operacje[[#This Row],[Kategoria]],Kategorie[Kategoria],Kategorie[Typ],"",0)</f>
        <v>Wpływy</v>
      </c>
      <c r="F3" s="3">
        <v>45301</v>
      </c>
      <c r="G3" s="1">
        <f>IF(ISBLANK(Operacje[[#This Row],[Data]]),,MONTH(Operacje[[#This Row],[Data]]))</f>
        <v>1</v>
      </c>
      <c r="J3" t="str" cm="1">
        <f t="array" ref="J3:J5">CHOOSE(MATCH(B2,kategorie!$D$1:$F$1,0),kategorie!$D$2:$D$4,kategorie!$E$2:$E$3,kategorie!$F$2:$F$3)</f>
        <v>Konto</v>
      </c>
    </row>
    <row r="4" spans="1:10" x14ac:dyDescent="0.25">
      <c r="A4" s="2">
        <v>-2000</v>
      </c>
      <c r="B4" s="1" t="s">
        <v>7</v>
      </c>
      <c r="C4" s="1" t="s">
        <v>8</v>
      </c>
      <c r="D4" s="1" t="s">
        <v>13</v>
      </c>
      <c r="E4" s="1" t="str">
        <f>_xlfn.XLOOKUP(Operacje[[#This Row],[Kategoria]],Kategorie[Kategoria],Kategorie[Typ],"",0)</f>
        <v>Wydatki</v>
      </c>
      <c r="F4" s="3">
        <v>45302</v>
      </c>
      <c r="G4" s="1">
        <f>IF(ISBLANK(Operacje[[#This Row],[Data]]),,MONTH(Operacje[[#This Row],[Data]]))</f>
        <v>1</v>
      </c>
      <c r="J4" t="str">
        <v>Karta</v>
      </c>
    </row>
    <row r="5" spans="1:10" x14ac:dyDescent="0.25">
      <c r="A5" s="2">
        <v>-45</v>
      </c>
      <c r="B5" s="1" t="s">
        <v>14</v>
      </c>
      <c r="C5" s="1" t="s">
        <v>8</v>
      </c>
      <c r="D5" s="1" t="s">
        <v>9</v>
      </c>
      <c r="E5" s="1" t="str">
        <f>_xlfn.XLOOKUP(Operacje[[#This Row],[Kategoria]],Kategorie[Kategoria],Kategorie[Typ],"",0)</f>
        <v>Wydatki</v>
      </c>
      <c r="F5" s="3">
        <v>45305</v>
      </c>
      <c r="G5" s="1">
        <f>IF(ISBLANK(Operacje[[#This Row],[Data]]),,MONTH(Operacje[[#This Row],[Data]]))</f>
        <v>1</v>
      </c>
      <c r="J5" t="str">
        <v>Lokata</v>
      </c>
    </row>
    <row r="6" spans="1:10" x14ac:dyDescent="0.25">
      <c r="A6" s="2">
        <v>-150</v>
      </c>
      <c r="B6" s="1" t="s">
        <v>7</v>
      </c>
      <c r="C6" s="1" t="s">
        <v>15</v>
      </c>
      <c r="D6" s="1" t="s">
        <v>16</v>
      </c>
      <c r="E6" s="1" t="str">
        <f>_xlfn.XLOOKUP(Operacje[[#This Row],[Kategoria]],Kategorie[Kategoria],Kategorie[Typ],"",0)</f>
        <v>Wydatki</v>
      </c>
      <c r="F6" s="3">
        <v>45306</v>
      </c>
      <c r="G6" s="1">
        <f>IF(ISBLANK(Operacje[[#This Row],[Data]]),,MONTH(Operacje[[#This Row],[Data]]))</f>
        <v>1</v>
      </c>
    </row>
    <row r="7" spans="1:10" x14ac:dyDescent="0.25">
      <c r="A7" s="2">
        <v>-120</v>
      </c>
      <c r="B7" s="1" t="s">
        <v>7</v>
      </c>
      <c r="C7" s="1" t="s">
        <v>8</v>
      </c>
      <c r="D7" s="1" t="s">
        <v>9</v>
      </c>
      <c r="E7" s="1" t="str">
        <f>_xlfn.XLOOKUP(Operacje[[#This Row],[Kategoria]],Kategorie[Kategoria],Kategorie[Typ],"",0)</f>
        <v>Wydatki</v>
      </c>
      <c r="F7" s="3">
        <v>45307</v>
      </c>
      <c r="G7" s="1">
        <f>IF(ISBLANK(Operacje[[#This Row],[Data]]),,MONTH(Operacje[[#This Row],[Data]]))</f>
        <v>1</v>
      </c>
    </row>
    <row r="8" spans="1:10" x14ac:dyDescent="0.25">
      <c r="A8" s="2">
        <v>500</v>
      </c>
      <c r="B8" s="1" t="s">
        <v>7</v>
      </c>
      <c r="C8" s="1" t="s">
        <v>8</v>
      </c>
      <c r="D8" s="1" t="s">
        <v>17</v>
      </c>
      <c r="E8" s="1" t="str">
        <f>_xlfn.XLOOKUP(Operacje[[#This Row],[Kategoria]],Kategorie[Kategoria],Kategorie[Typ],"",0)</f>
        <v>Wpływy</v>
      </c>
      <c r="F8" s="3">
        <v>45308</v>
      </c>
      <c r="G8" s="1">
        <f>IF(ISBLANK(Operacje[[#This Row],[Data]]),,MONTH(Operacje[[#This Row],[Data]]))</f>
        <v>1</v>
      </c>
    </row>
    <row r="9" spans="1:10" x14ac:dyDescent="0.25">
      <c r="A9" s="2">
        <v>-500</v>
      </c>
      <c r="B9" s="1" t="s">
        <v>7</v>
      </c>
      <c r="C9" s="1" t="s">
        <v>18</v>
      </c>
      <c r="D9" s="1" t="s">
        <v>19</v>
      </c>
      <c r="E9" s="1" t="str">
        <f>_xlfn.XLOOKUP(Operacje[[#This Row],[Kategoria]],Kategorie[Kategoria],Kategorie[Typ],"",0)</f>
        <v>Wydatki</v>
      </c>
      <c r="F9" s="3">
        <v>45308</v>
      </c>
      <c r="G9" s="1">
        <f>IF(ISBLANK(Operacje[[#This Row],[Data]]),,MONTH(Operacje[[#This Row],[Data]]))</f>
        <v>1</v>
      </c>
    </row>
    <row r="10" spans="1:10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tr">
        <f>_xlfn.XLOOKUP(Operacje[[#This Row],[Kategoria]],Kategorie[Kategoria],Kategorie[Typ],"",0)</f>
        <v>Wpływy</v>
      </c>
      <c r="F10" s="3">
        <v>45308</v>
      </c>
      <c r="G10" s="1">
        <f>IF(ISBLANK(Operacje[[#This Row],[Data]]),,MONTH(Operacje[[#This Row],[Data]]))</f>
        <v>1</v>
      </c>
    </row>
    <row r="11" spans="1:10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tr">
        <f>_xlfn.XLOOKUP(Operacje[[#This Row],[Kategoria]],Kategorie[Kategoria],Kategorie[Typ],"",0)</f>
        <v>Wydatki</v>
      </c>
      <c r="F11" s="3">
        <v>45310</v>
      </c>
      <c r="G11" s="1">
        <f>IF(ISBLANK(Operacje[[#This Row],[Data]]),,MONTH(Operacje[[#This Row],[Data]]))</f>
        <v>1</v>
      </c>
    </row>
    <row r="12" spans="1:10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tr">
        <f>_xlfn.XLOOKUP(Operacje[[#This Row],[Kategoria]],Kategorie[Kategoria],Kategorie[Typ],"",0)</f>
        <v>Wydatki</v>
      </c>
      <c r="F12" s="3">
        <v>45311</v>
      </c>
      <c r="G12" s="1">
        <f>IF(ISBLANK(Operacje[[#This Row],[Data]]),,MONTH(Operacje[[#This Row],[Data]]))</f>
        <v>1</v>
      </c>
    </row>
    <row r="13" spans="1:10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tr">
        <f>_xlfn.XLOOKUP(Operacje[[#This Row],[Kategoria]],Kategorie[Kategoria],Kategorie[Typ],"",0)</f>
        <v>Wpływy</v>
      </c>
      <c r="F13" s="3">
        <v>45312</v>
      </c>
      <c r="G13" s="1">
        <f>IF(ISBLANK(Operacje[[#This Row],[Data]]),,MONTH(Operacje[[#This Row],[Data]]))</f>
        <v>1</v>
      </c>
    </row>
    <row r="14" spans="1:10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tr">
        <f>_xlfn.XLOOKUP(Operacje[[#This Row],[Kategoria]],Kategorie[Kategoria],Kategorie[Typ],"",0)</f>
        <v>Wydatki</v>
      </c>
      <c r="F14" s="3">
        <v>45313</v>
      </c>
      <c r="G14" s="1">
        <f>IF(ISBLANK(Operacje[[#This Row],[Data]]),,MONTH(Operacje[[#This Row],[Data]]))</f>
        <v>1</v>
      </c>
    </row>
    <row r="15" spans="1:10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tr">
        <f>_xlfn.XLOOKUP(Operacje[[#This Row],[Kategoria]],Kategorie[Kategoria],Kategorie[Typ],"",0)</f>
        <v>Wydatki</v>
      </c>
      <c r="F15" s="3">
        <v>45314</v>
      </c>
      <c r="G15" s="1">
        <f>IF(ISBLANK(Operacje[[#This Row],[Data]]),,MONTH(Operacje[[#This Row],[Data]]))</f>
        <v>1</v>
      </c>
    </row>
    <row r="16" spans="1:10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tr">
        <f>_xlfn.XLOOKUP(Operacje[[#This Row],[Kategoria]],Kategorie[Kategoria],Kategorie[Typ],"",0)</f>
        <v>Wydatki</v>
      </c>
      <c r="F16" s="3">
        <v>45315</v>
      </c>
      <c r="G16" s="1">
        <f>IF(ISBLANK(Operacje[[#This Row],[Data]]),,MONTH(Operacje[[#This Row],[Data]]))</f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tr">
        <f>_xlfn.XLOOKUP(Operacje[[#This Row],[Kategoria]],Kategorie[Kategoria],Kategorie[Typ],"",0)</f>
        <v>Wydatki</v>
      </c>
      <c r="F17" s="3">
        <v>45316</v>
      </c>
      <c r="G17" s="1">
        <f>IF(ISBLANK(Operacje[[#This Row],[Data]]),,MONTH(Operacje[[#This Row],[Data]]))</f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tr">
        <f>_xlfn.XLOOKUP(Operacje[[#This Row],[Kategoria]],Kategorie[Kategoria],Kategorie[Typ],"",0)</f>
        <v>Wpływy</v>
      </c>
      <c r="F18" s="3">
        <v>45316</v>
      </c>
      <c r="G18" s="1">
        <f>IF(ISBLANK(Operacje[[#This Row],[Data]]),,MONTH(Operacje[[#This Row],[Data]]))</f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tr">
        <f>_xlfn.XLOOKUP(Operacje[[#This Row],[Kategoria]],Kategorie[Kategoria],Kategorie[Typ],"",0)</f>
        <v>Wpływy</v>
      </c>
      <c r="F19" s="3">
        <v>45317</v>
      </c>
      <c r="G19" s="1">
        <f>IF(ISBLANK(Operacje[[#This Row],[Data]]),,MONTH(Operacje[[#This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tr">
        <f>_xlfn.XLOOKUP(Operacje[[#This Row],[Kategoria]],Kategorie[Kategoria],Kategorie[Typ],"",0)</f>
        <v>Wpływy</v>
      </c>
      <c r="F20" s="3">
        <v>45318</v>
      </c>
      <c r="G20" s="1">
        <f>IF(ISBLANK(Operacje[[#This Row],[Data]]),,MONTH(Operacje[[#This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tr">
        <f>_xlfn.XLOOKUP(Operacje[[#This Row],[Kategoria]],Kategorie[Kategoria],Kategorie[Typ],"",0)</f>
        <v>Wydatki</v>
      </c>
      <c r="F21" s="3">
        <v>45319</v>
      </c>
      <c r="G21" s="1">
        <f>IF(ISBLANK(Operacje[[#This Row],[Data]]),,MONTH(Operacje[[#This Row],[Data]]))</f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tr">
        <f>_xlfn.XLOOKUP(Operacje[[#This Row],[Kategoria]],Kategorie[Kategoria],Kategorie[Typ],"",0)</f>
        <v>Wpływy</v>
      </c>
      <c r="F22" s="3">
        <v>45324</v>
      </c>
      <c r="G22" s="1">
        <f>IF(ISBLANK(Operacje[[#This Row],[Data]]),,MONTH(Operacje[[#This Row],[Data]]))</f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tr">
        <f>_xlfn.XLOOKUP(Operacje[[#This Row],[Kategoria]],Kategorie[Kategoria],Kategorie[Typ],"",0)</f>
        <v>Wydatki</v>
      </c>
      <c r="F23" s="3">
        <v>45326</v>
      </c>
      <c r="G23" s="1">
        <f>IF(ISBLANK(Operacje[[#This Row],[Data]]),,MONTH(Operacje[[#This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tr">
        <f>_xlfn.XLOOKUP(Operacje[[#This Row],[Kategoria]],Kategorie[Kategoria],Kategorie[Typ],"",0)</f>
        <v>Wydatki</v>
      </c>
      <c r="F24" s="3">
        <v>45328</v>
      </c>
      <c r="G24" s="1">
        <f>IF(ISBLANK(Operacje[[#This Row],[Data]]),,MONTH(Operacje[[#This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tr">
        <f>_xlfn.XLOOKUP(Operacje[[#This Row],[Kategoria]],Kategorie[Kategoria],Kategorie[Typ],"",0)</f>
        <v>Wpływy</v>
      </c>
      <c r="F25" s="3">
        <v>45332</v>
      </c>
      <c r="G25" s="1">
        <f>IF(ISBLANK(Operacje[[#This Row],[Data]]),,MONTH(Operacje[[#This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tr">
        <f>_xlfn.XLOOKUP(Operacje[[#This Row],[Kategoria]],Kategorie[Kategoria],Kategorie[Typ],"",0)</f>
        <v>Wydatki</v>
      </c>
      <c r="F26" s="3">
        <v>45333</v>
      </c>
      <c r="G26" s="1">
        <f>IF(ISBLANK(Operacje[[#This Row],[Data]]),,MONTH(Operacje[[#This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tr">
        <f>_xlfn.XLOOKUP(Operacje[[#This Row],[Kategoria]],Kategorie[Kategoria],Kategorie[Typ],"",0)</f>
        <v>Wydatki</v>
      </c>
      <c r="F27" s="3">
        <v>45335</v>
      </c>
      <c r="G27" s="1">
        <f>IF(ISBLANK(Operacje[[#This Row],[Data]]),,MONTH(Operacje[[#This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tr">
        <f>_xlfn.XLOOKUP(Operacje[[#This Row],[Kategoria]],Kategorie[Kategoria],Kategorie[Typ],"",0)</f>
        <v>Wpływy</v>
      </c>
      <c r="F28" s="3">
        <v>45336</v>
      </c>
      <c r="G28" s="1">
        <f>IF(ISBLANK(Operacje[[#This Row],[Data]]),,MONTH(Operacje[[#This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tr">
        <f>_xlfn.XLOOKUP(Operacje[[#This Row],[Kategoria]],Kategorie[Kategoria],Kategorie[Typ],"",0)</f>
        <v>Wydatki</v>
      </c>
      <c r="F29" s="3">
        <v>45336</v>
      </c>
      <c r="G29" s="1">
        <f>IF(ISBLANK(Operacje[[#This Row],[Data]]),,MONTH(Operacje[[#This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tr">
        <f>_xlfn.XLOOKUP(Operacje[[#This Row],[Kategoria]],Kategorie[Kategoria],Kategorie[Typ],"",0)</f>
        <v>Wydatki</v>
      </c>
      <c r="F30" s="3">
        <v>45336</v>
      </c>
      <c r="G30" s="1">
        <f>IF(ISBLANK(Operacje[[#This Row],[Data]]),,MONTH(Operacje[[#This Row],[Data]]))</f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tr">
        <f>_xlfn.XLOOKUP(Operacje[[#This Row],[Kategoria]],Kategorie[Kategoria],Kategorie[Typ],"",0)</f>
        <v>Wydatki</v>
      </c>
      <c r="F31" s="3">
        <v>45336</v>
      </c>
      <c r="G31" s="1">
        <f>IF(ISBLANK(Operacje[[#This Row],[Data]]),,MONTH(Operacje[[#This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tr">
        <f>_xlfn.XLOOKUP(Operacje[[#This Row],[Kategoria]],Kategorie[Kategoria],Kategorie[Typ],"",0)</f>
        <v>Transfer</v>
      </c>
      <c r="F32" s="3">
        <v>45337</v>
      </c>
      <c r="G32" s="1">
        <f>IF(ISBLANK(Operacje[[#This Row],[Data]]),,MONTH(Operacje[[#This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tr">
        <f>_xlfn.XLOOKUP(Operacje[[#This Row],[Kategoria]],Kategorie[Kategoria],Kategorie[Typ],"",0)</f>
        <v>Transfer</v>
      </c>
      <c r="F33" s="3">
        <v>45337</v>
      </c>
      <c r="G33" s="1">
        <f>IF(ISBLANK(Operacje[[#This Row],[Data]]),,MONTH(Operacje[[#This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tr">
        <f>_xlfn.XLOOKUP(Operacje[[#This Row],[Kategoria]],Kategorie[Kategoria],Kategorie[Typ],"",0)</f>
        <v>Wydatki</v>
      </c>
      <c r="F34" s="3">
        <v>45339</v>
      </c>
      <c r="G34" s="1">
        <f>IF(ISBLANK(Operacje[[#This Row],[Data]]),,MONTH(Operacje[[#This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tr">
        <f>_xlfn.XLOOKUP(Operacje[[#This Row],[Kategoria]],Kategorie[Kategoria],Kategorie[Typ],"",0)</f>
        <v>Wydatki</v>
      </c>
      <c r="F35" s="3">
        <v>45342</v>
      </c>
      <c r="G35" s="1">
        <f>IF(ISBLANK(Operacje[[#This Row],[Data]]),,MONTH(Operacje[[#This Row],[Data]]))</f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tr">
        <f>_xlfn.XLOOKUP(Operacje[[#This Row],[Kategoria]],Kategorie[Kategoria],Kategorie[Typ],"",0)</f>
        <v>Wpływy</v>
      </c>
      <c r="F36" s="3">
        <v>45344</v>
      </c>
      <c r="G36" s="1">
        <f>IF(ISBLANK(Operacje[[#This Row],[Data]]),,MONTH(Operacje[[#This Row],[Data]]))</f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tr">
        <f>_xlfn.XLOOKUP(Operacje[[#This Row],[Kategoria]],Kategorie[Kategoria],Kategorie[Typ],"",0)</f>
        <v>Wpływy</v>
      </c>
      <c r="F37" s="3">
        <v>45345</v>
      </c>
      <c r="G37" s="1">
        <f>IF(ISBLANK(Operacje[[#This Row],[Data]]),,MONTH(Operacje[[#This Row],[Data]]))</f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tr">
        <f>_xlfn.XLOOKUP(Operacje[[#This Row],[Kategoria]],Kategorie[Kategoria],Kategorie[Typ],"",0)</f>
        <v>Wydatki</v>
      </c>
      <c r="F38" s="3">
        <v>45346</v>
      </c>
      <c r="G38" s="1">
        <f>IF(ISBLANK(Operacje[[#This Row],[Data]]),,MONTH(Operacje[[#This Row],[Data]]))</f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tr">
        <f>_xlfn.XLOOKUP(Operacje[[#This Row],[Kategoria]],Kategorie[Kategoria],Kategorie[Typ],"",0)</f>
        <v>Wpływy</v>
      </c>
      <c r="F39" s="3">
        <v>45347</v>
      </c>
      <c r="G39" s="1">
        <f>IF(ISBLANK(Operacje[[#This Row],[Data]]),,MONTH(Operacje[[#This Row],[Data]]))</f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tr">
        <f>_xlfn.XLOOKUP(Operacje[[#This Row],[Kategoria]],Kategorie[Kategoria],Kategorie[Typ],"",0)</f>
        <v>Wydatki</v>
      </c>
      <c r="F40" s="3">
        <v>45347</v>
      </c>
      <c r="G40" s="1">
        <f>IF(ISBLANK(Operacje[[#This Row],[Data]]),,MONTH(Operacje[[#This Row],[Data]]))</f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tr">
        <f>_xlfn.XLOOKUP(Operacje[[#This Row],[Kategoria]],Kategorie[Kategoria],Kategorie[Typ],"",0)</f>
        <v>Wydatki</v>
      </c>
      <c r="F41" s="3">
        <v>45348</v>
      </c>
      <c r="G41" s="1">
        <f>IF(ISBLANK(Operacje[[#This Row],[Data]]),,MONTH(Operacje[[#This Row],[Data]]))</f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tr">
        <f>_xlfn.XLOOKUP(Operacje[[#This Row],[Kategoria]],Kategorie[Kategoria],Kategorie[Typ],"",0)</f>
        <v>Wydatki</v>
      </c>
      <c r="F42" s="3">
        <v>45348</v>
      </c>
      <c r="G42" s="1">
        <f>IF(ISBLANK(Operacje[[#This Row],[Data]]),,MONTH(Operacje[[#This Row],[Data]]))</f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tr">
        <f>_xlfn.XLOOKUP(Operacje[[#This Row],[Kategoria]],Kategorie[Kategoria],Kategorie[Typ],"",0)</f>
        <v>Wpływy</v>
      </c>
      <c r="F43" s="3">
        <v>45349</v>
      </c>
      <c r="G43" s="1">
        <f>IF(ISBLANK(Operacje[[#This Row],[Data]]),,MONTH(Operacje[[#This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tr">
        <f>_xlfn.XLOOKUP(Operacje[[#This Row],[Kategoria]],Kategorie[Kategoria],Kategorie[Typ],"",0)</f>
        <v>Wydatki</v>
      </c>
      <c r="F44" s="3">
        <v>45350</v>
      </c>
      <c r="G44" s="1">
        <f>IF(ISBLANK(Operacje[[#This Row],[Data]]),,MONTH(Operacje[[#This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tr">
        <f>_xlfn.XLOOKUP(Operacje[[#This Row],[Kategoria]],Kategorie[Kategoria],Kategorie[Typ],"",0)</f>
        <v>Wpływy</v>
      </c>
      <c r="F45" s="3">
        <v>45350</v>
      </c>
      <c r="G45" s="1">
        <f>IF(ISBLANK(Operacje[[#This Row],[Data]]),,MONTH(Operacje[[#This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tr">
        <f>_xlfn.XLOOKUP(Operacje[[#This Row],[Kategoria]],Kategorie[Kategoria],Kategorie[Typ],"",0)</f>
        <v>Wydatki</v>
      </c>
      <c r="F46" s="3">
        <v>45352</v>
      </c>
      <c r="G46" s="1">
        <f>IF(ISBLANK(Operacje[[#This Row],[Data]]),,MONTH(Operacje[[#This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tr">
        <f>_xlfn.XLOOKUP(Operacje[[#This Row],[Kategoria]],Kategorie[Kategoria],Kategorie[Typ],"",0)</f>
        <v>Wydatki</v>
      </c>
      <c r="F47" s="3">
        <v>45353</v>
      </c>
      <c r="G47" s="1">
        <f>IF(ISBLANK(Operacje[[#This Row],[Data]]),,MONTH(Operacje[[#This Row],[Data]]))</f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tr">
        <f>_xlfn.XLOOKUP(Operacje[[#This Row],[Kategoria]],Kategorie[Kategoria],Kategorie[Typ],"",0)</f>
        <v>Wydatki</v>
      </c>
      <c r="F48" s="3">
        <v>45353</v>
      </c>
      <c r="G48" s="1">
        <f>IF(ISBLANK(Operacje[[#This Row],[Data]]),,MONTH(Operacje[[#This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tr">
        <f>_xlfn.XLOOKUP(Operacje[[#This Row],[Kategoria]],Kategorie[Kategoria],Kategorie[Typ],"",0)</f>
        <v>Wydatki</v>
      </c>
      <c r="F49" s="3">
        <v>45355</v>
      </c>
      <c r="G49" s="1">
        <f>IF(ISBLANK(Operacje[[#This Row],[Data]]),,MONTH(Operacje[[#This Row],[Data]]))</f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tr">
        <f>_xlfn.XLOOKUP(Operacje[[#This Row],[Kategoria]],Kategorie[Kategoria],Kategorie[Typ],"",0)</f>
        <v>Wpływy</v>
      </c>
      <c r="F50" s="3">
        <v>45357</v>
      </c>
      <c r="G50" s="1">
        <f>IF(ISBLANK(Operacje[[#This Row],[Data]]),,MONTH(Operacje[[#This Row],[Data]]))</f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tr">
        <f>_xlfn.XLOOKUP(Operacje[[#This Row],[Kategoria]],Kategorie[Kategoria],Kategorie[Typ],"",0)</f>
        <v>Wydatki</v>
      </c>
      <c r="F51" s="3">
        <v>45359</v>
      </c>
      <c r="G51" s="1">
        <f>IF(ISBLANK(Operacje[[#This Row],[Data]]),,MONTH(Operacje[[#This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tr">
        <f>_xlfn.XLOOKUP(Operacje[[#This Row],[Kategoria]],Kategorie[Kategoria],Kategorie[Typ],"",0)</f>
        <v>Wpływy</v>
      </c>
      <c r="F52" s="3">
        <v>45361</v>
      </c>
      <c r="G52" s="1">
        <f>IF(ISBLANK(Operacje[[#This Row],[Data]]),,MONTH(Operacje[[#This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tr">
        <f>_xlfn.XLOOKUP(Operacje[[#This Row],[Kategoria]],Kategorie[Kategoria],Kategorie[Typ],"",0)</f>
        <v>Wydatki</v>
      </c>
      <c r="F53" s="3">
        <v>45362</v>
      </c>
      <c r="G53" s="1">
        <f>IF(ISBLANK(Operacje[[#This Row],[Data]]),,MONTH(Operacje[[#This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tr">
        <f>_xlfn.XLOOKUP(Operacje[[#This Row],[Kategoria]],Kategorie[Kategoria],Kategorie[Typ],"",0)</f>
        <v>Wydatki</v>
      </c>
      <c r="F54" s="3">
        <v>45363</v>
      </c>
      <c r="G54" s="1">
        <f>IF(ISBLANK(Operacje[[#This Row],[Data]]),,MONTH(Operacje[[#This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tr">
        <f>_xlfn.XLOOKUP(Operacje[[#This Row],[Kategoria]],Kategorie[Kategoria],Kategorie[Typ],"",0)</f>
        <v>Wydatki</v>
      </c>
      <c r="F55" s="3">
        <v>45364</v>
      </c>
      <c r="G55" s="1">
        <f>IF(ISBLANK(Operacje[[#This Row],[Data]]),,MONTH(Operacje[[#This Row],[Data]]))</f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tr">
        <f>_xlfn.XLOOKUP(Operacje[[#This Row],[Kategoria]],Kategorie[Kategoria],Kategorie[Typ],"",0)</f>
        <v>Wydatki</v>
      </c>
      <c r="F56" s="3">
        <v>45368</v>
      </c>
      <c r="G56" s="1">
        <f>IF(ISBLANK(Operacje[[#This Row],[Data]]),,MONTH(Operacje[[#This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tr">
        <f>_xlfn.XLOOKUP(Operacje[[#This Row],[Kategoria]],Kategorie[Kategoria],Kategorie[Typ],"",0)</f>
        <v>Wydatki</v>
      </c>
      <c r="F57" s="3">
        <v>45371</v>
      </c>
      <c r="G57" s="1">
        <f>IF(ISBLANK(Operacje[[#This Row],[Data]]),,MONTH(Operacje[[#This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tr">
        <f>_xlfn.XLOOKUP(Operacje[[#This Row],[Kategoria]],Kategorie[Kategoria],Kategorie[Typ],"",0)</f>
        <v>Wydatki</v>
      </c>
      <c r="F58" s="3">
        <v>45373</v>
      </c>
      <c r="G58" s="1">
        <f>IF(ISBLANK(Operacje[[#This Row],[Data]]),,MONTH(Operacje[[#This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tr">
        <f>_xlfn.XLOOKUP(Operacje[[#This Row],[Kategoria]],Kategorie[Kategoria],Kategorie[Typ],"",0)</f>
        <v>Wydatki</v>
      </c>
      <c r="F59" s="3">
        <v>45375</v>
      </c>
      <c r="G59" s="1">
        <f>IF(ISBLANK(Operacje[[#This Row],[Data]]),,MONTH(Operacje[[#This Row],[Data]]))</f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32</v>
      </c>
      <c r="E60" s="1" t="str">
        <f>_xlfn.XLOOKUP(Operacje[[#This Row],[Kategoria]],Kategorie[Kategoria],Kategorie[Typ],"",0)</f>
        <v>Wpływy</v>
      </c>
      <c r="F60" s="3">
        <v>45377</v>
      </c>
      <c r="G60" s="1">
        <f>IF(ISBLANK(Operacje[[#This Row],[Data]]),,MONTH(Operacje[[#This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tr">
        <f>_xlfn.XLOOKUP(Operacje[[#This Row],[Kategoria]],Kategorie[Kategoria],Kategorie[Typ],"",0)</f>
        <v>Wydatki</v>
      </c>
      <c r="F61" s="3">
        <v>45379</v>
      </c>
      <c r="G61" s="1">
        <f>IF(ISBLANK(Operacje[[#This Row],[Data]]),,MONTH(Operacje[[#This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tr">
        <f>_xlfn.XLOOKUP(Operacje[[#This Row],[Kategoria]],Kategorie[Kategoria],Kategorie[Typ],"",0)</f>
        <v>Wydatki</v>
      </c>
      <c r="F62" s="3">
        <v>45381</v>
      </c>
      <c r="G62" s="1">
        <f>IF(ISBLANK(Operacje[[#This Row],[Data]]),,MONTH(Operacje[[#This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tr">
        <f>_xlfn.XLOOKUP(Operacje[[#This Row],[Kategoria]],Kategorie[Kategoria],Kategorie[Typ],"",0)</f>
        <v>Wydatki</v>
      </c>
      <c r="F63" s="3">
        <v>45383</v>
      </c>
      <c r="G63" s="1">
        <f>IF(ISBLANK(Operacje[[#This Row],[Data]]),,MONTH(Operacje[[#This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tr">
        <f>_xlfn.XLOOKUP(Operacje[[#This Row],[Kategoria]],Kategorie[Kategoria],Kategorie[Typ],"",0)</f>
        <v>Wydatki</v>
      </c>
      <c r="F64" s="3">
        <v>45384</v>
      </c>
      <c r="G64" s="1">
        <f>IF(ISBLANK(Operacje[[#This Row],[Data]]),,MONTH(Operacje[[#This Row],[Data]]))</f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tr">
        <f>_xlfn.XLOOKUP(Operacje[[#This Row],[Kategoria]],Kategorie[Kategoria],Kategorie[Typ],"",0)</f>
        <v>Wpływy</v>
      </c>
      <c r="F65" s="3">
        <v>45388</v>
      </c>
      <c r="G65" s="1">
        <f>IF(ISBLANK(Operacje[[#This Row],[Data]]),,MONTH(Operacje[[#This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tr">
        <f>_xlfn.XLOOKUP(Operacje[[#This Row],[Kategoria]],Kategorie[Kategoria],Kategorie[Typ],"",0)</f>
        <v>Wydatki</v>
      </c>
      <c r="F66" s="3">
        <v>45389</v>
      </c>
      <c r="G66" s="1">
        <f>IF(ISBLANK(Operacje[[#This Row],[Data]]),,MONTH(Operacje[[#This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tr">
        <f>_xlfn.XLOOKUP(Operacje[[#This Row],[Kategoria]],Kategorie[Kategoria],Kategorie[Typ],"",0)</f>
        <v>Wpływy</v>
      </c>
      <c r="F67" s="3">
        <v>45392</v>
      </c>
      <c r="G67" s="1">
        <f>IF(ISBLANK(Operacje[[#This Row],[Data]]),,MONTH(Operacje[[#This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tr">
        <f>_xlfn.XLOOKUP(Operacje[[#This Row],[Kategoria]],Kategorie[Kategoria],Kategorie[Typ],"",0)</f>
        <v>Wydatki</v>
      </c>
      <c r="F68" s="3">
        <v>45393</v>
      </c>
      <c r="G68" s="1">
        <f>IF(ISBLANK(Operacje[[#This Row],[Data]]),,MONTH(Operacje[[#This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tr">
        <f>_xlfn.XLOOKUP(Operacje[[#This Row],[Kategoria]],Kategorie[Kategoria],Kategorie[Typ],"",0)</f>
        <v>Wydatki</v>
      </c>
      <c r="F69" s="3">
        <v>45395</v>
      </c>
      <c r="G69" s="1">
        <f>IF(ISBLANK(Operacje[[#This Row],[Data]]),,MONTH(Operacje[[#This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tr">
        <f>_xlfn.XLOOKUP(Operacje[[#This Row],[Kategoria]],Kategorie[Kategoria],Kategorie[Typ],"",0)</f>
        <v>Transfer</v>
      </c>
      <c r="F70" s="3">
        <v>45397</v>
      </c>
      <c r="G70" s="1">
        <f>IF(ISBLANK(Operacje[[#This Row],[Data]]),,MONTH(Operacje[[#This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tr">
        <f>_xlfn.XLOOKUP(Operacje[[#This Row],[Kategoria]],Kategorie[Kategoria],Kategorie[Typ],"",0)</f>
        <v>Transfer</v>
      </c>
      <c r="F71" s="3">
        <v>45397</v>
      </c>
      <c r="G71" s="1">
        <f>IF(ISBLANK(Operacje[[#This Row],[Data]]),,MONTH(Operacje[[#This Row],[Data]]))</f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tr">
        <f>_xlfn.XLOOKUP(Operacje[[#This Row],[Kategoria]],Kategorie[Kategoria],Kategorie[Typ],"",0)</f>
        <v>Wydatki</v>
      </c>
      <c r="F72" s="3">
        <v>45397</v>
      </c>
      <c r="G72" s="1">
        <f>IF(ISBLANK(Operacje[[#This Row],[Data]]),,MONTH(Operacje[[#This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tr">
        <f>_xlfn.XLOOKUP(Operacje[[#This Row],[Kategoria]],Kategorie[Kategoria],Kategorie[Typ],"",0)</f>
        <v>Wydatki</v>
      </c>
      <c r="F73" s="3">
        <v>45398</v>
      </c>
      <c r="G73" s="1">
        <f>IF(ISBLANK(Operacje[[#This Row],[Data]]),,MONTH(Operacje[[#This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tr">
        <f>_xlfn.XLOOKUP(Operacje[[#This Row],[Kategoria]],Kategorie[Kategoria],Kategorie[Typ],"",0)</f>
        <v>Wydatki</v>
      </c>
      <c r="F74" s="3">
        <v>45399</v>
      </c>
      <c r="G74" s="1">
        <f>IF(ISBLANK(Operacje[[#This Row],[Data]]),,MONTH(Operacje[[#This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tr">
        <f>_xlfn.XLOOKUP(Operacje[[#This Row],[Kategoria]],Kategorie[Kategoria],Kategorie[Typ],"",0)</f>
        <v>Wydatki</v>
      </c>
      <c r="F75" s="3">
        <v>45401</v>
      </c>
      <c r="G75" s="1">
        <f>IF(ISBLANK(Operacje[[#This Row],[Data]]),,MONTH(Operacje[[#This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tr">
        <f>_xlfn.XLOOKUP(Operacje[[#This Row],[Kategoria]],Kategorie[Kategoria],Kategorie[Typ],"",0)</f>
        <v>Wydatki</v>
      </c>
      <c r="F76" s="3">
        <v>45403</v>
      </c>
      <c r="G76" s="1">
        <f>IF(ISBLANK(Operacje[[#This Row],[Data]]),,MONTH(Operacje[[#This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tr">
        <f>_xlfn.XLOOKUP(Operacje[[#This Row],[Kategoria]],Kategorie[Kategoria],Kategorie[Typ],"",0)</f>
        <v>Wydatki</v>
      </c>
      <c r="F77" s="3">
        <v>45405</v>
      </c>
      <c r="G77" s="1">
        <f>IF(ISBLANK(Operacje[[#This Row],[Data]]),,MONTH(Operacje[[#This Row],[Data]]))</f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32</v>
      </c>
      <c r="E78" s="1" t="str">
        <f>_xlfn.XLOOKUP(Operacje[[#This Row],[Kategoria]],Kategorie[Kategoria],Kategorie[Typ],"",0)</f>
        <v>Wpływy</v>
      </c>
      <c r="F78" s="3">
        <v>45407</v>
      </c>
      <c r="G78" s="1">
        <f>IF(ISBLANK(Operacje[[#This Row],[Data]]),,MONTH(Operacje[[#This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tr">
        <f>_xlfn.XLOOKUP(Operacje[[#This Row],[Kategoria]],Kategorie[Kategoria],Kategorie[Typ],"",0)</f>
        <v>Wydatki</v>
      </c>
      <c r="F79" s="3">
        <v>45409</v>
      </c>
      <c r="G79" s="1">
        <f>IF(ISBLANK(Operacje[[#This Row],[Data]]),,MONTH(Operacje[[#This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tr">
        <f>_xlfn.XLOOKUP(Operacje[[#This Row],[Kategoria]],Kategorie[Kategoria],Kategorie[Typ],"",0)</f>
        <v>Wydatki</v>
      </c>
      <c r="F80" s="3">
        <v>45410</v>
      </c>
      <c r="G80" s="1">
        <f>IF(ISBLANK(Operacje[[#This Row],[Data]]),,MONTH(Operacje[[#This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tr">
        <f>_xlfn.XLOOKUP(Operacje[[#This Row],[Kategoria]],Kategorie[Kategoria],Kategorie[Typ],"",0)</f>
        <v>Wydatki</v>
      </c>
      <c r="F81" s="3">
        <v>45411</v>
      </c>
      <c r="G81" s="1">
        <f>IF(ISBLANK(Operacje[[#This Row],[Data]]),,MONTH(Operacje[[#This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tr">
        <f>_xlfn.XLOOKUP(Operacje[[#This Row],[Kategoria]],Kategorie[Kategoria],Kategorie[Typ],"",0)</f>
        <v>Wydatki</v>
      </c>
      <c r="F82" s="3">
        <v>45419</v>
      </c>
      <c r="G82" s="1">
        <f>IF(ISBLANK(Operacje[[#This Row],[Data]]),,MONTH(Operacje[[#This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tr">
        <f>_xlfn.XLOOKUP(Operacje[[#This Row],[Kategoria]],Kategorie[Kategoria],Kategorie[Typ],"",0)</f>
        <v>Wydatki</v>
      </c>
      <c r="F83" s="3">
        <v>45422</v>
      </c>
      <c r="G83" s="1">
        <f>IF(ISBLANK(Operacje[[#This Row],[Data]]),,MONTH(Operacje[[#This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tr">
        <f>_xlfn.XLOOKUP(Operacje[[#This Row],[Kategoria]],Kategorie[Kategoria],Kategorie[Typ],"",0)</f>
        <v>Wpływy</v>
      </c>
      <c r="F84" s="3">
        <v>45422</v>
      </c>
      <c r="G84" s="1">
        <f>IF(ISBLANK(Operacje[[#This Row],[Data]]),,MONTH(Operacje[[#This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tr">
        <f>_xlfn.XLOOKUP(Operacje[[#This Row],[Kategoria]],Kategorie[Kategoria],Kategorie[Typ],"",0)</f>
        <v>Wydatki</v>
      </c>
      <c r="F85" s="3">
        <v>45423</v>
      </c>
      <c r="G85" s="1">
        <f>IF(ISBLANK(Operacje[[#This Row],[Data]]),,MONTH(Operacje[[#This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tr">
        <f>_xlfn.XLOOKUP(Operacje[[#This Row],[Kategoria]],Kategorie[Kategoria],Kategorie[Typ],"",0)</f>
        <v>Wydatki</v>
      </c>
      <c r="F86" s="3">
        <v>45426</v>
      </c>
      <c r="G86" s="1">
        <f>IF(ISBLANK(Operacje[[#This Row],[Data]]),,MONTH(Operacje[[#This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tr">
        <f>_xlfn.XLOOKUP(Operacje[[#This Row],[Kategoria]],Kategorie[Kategoria],Kategorie[Typ],"",0)</f>
        <v>Transfer</v>
      </c>
      <c r="F87" s="3">
        <v>45427</v>
      </c>
      <c r="G87" s="1">
        <f>IF(ISBLANK(Operacje[[#This Row],[Data]]),,MONTH(Operacje[[#This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tr">
        <f>_xlfn.XLOOKUP(Operacje[[#This Row],[Kategoria]],Kategorie[Kategoria],Kategorie[Typ],"",0)</f>
        <v>Transfer</v>
      </c>
      <c r="F88" s="3">
        <v>45427</v>
      </c>
      <c r="G88" s="1">
        <f>IF(ISBLANK(Operacje[[#This Row],[Data]]),,MONTH(Operacje[[#This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tr">
        <f>_xlfn.XLOOKUP(Operacje[[#This Row],[Kategoria]],Kategorie[Kategoria],Kategorie[Typ],"",0)</f>
        <v>Wydatki</v>
      </c>
      <c r="F89" s="3">
        <v>45433</v>
      </c>
      <c r="G89" s="1">
        <f>IF(ISBLANK(Operacje[[#This Row],[Data]]),,MONTH(Operacje[[#This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tr">
        <f>_xlfn.XLOOKUP(Operacje[[#This Row],[Kategoria]],Kategorie[Kategoria],Kategorie[Typ],"",0)</f>
        <v>Wydatki</v>
      </c>
      <c r="F90" s="3">
        <v>45440</v>
      </c>
      <c r="G90" s="1">
        <f>IF(ISBLANK(Operacje[[#This Row],[Data]]),,MONTH(Operacje[[#This Row],[Data]]))</f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tr">
        <f>_xlfn.XLOOKUP(Operacje[[#This Row],[Kategoria]],Kategorie[Kategoria],Kategorie[Typ],"",0)</f>
        <v>Wydatki</v>
      </c>
      <c r="F91" s="3">
        <v>45441</v>
      </c>
      <c r="G91" s="1">
        <f>IF(ISBLANK(Operacje[[#This Row],[Data]]),,MONTH(Operacje[[#This Row],[Data]]))</f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tr">
        <f>_xlfn.XLOOKUP(Operacje[[#This Row],[Kategoria]],Kategorie[Kategoria],Kategorie[Typ],"",0)</f>
        <v>Wydatki</v>
      </c>
      <c r="F92" s="3">
        <v>45442</v>
      </c>
      <c r="G92" s="1">
        <f>IF(ISBLANK(Operacje[[#This Row],[Data]]),,MONTH(Operacje[[#This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tr">
        <f>_xlfn.XLOOKUP(Operacje[[#This Row],[Kategoria]],Kategorie[Kategoria],Kategorie[Typ],"",0)</f>
        <v>Wydatki</v>
      </c>
      <c r="F93" s="3">
        <v>45450</v>
      </c>
      <c r="G93" s="1">
        <f>IF(ISBLANK(Operacje[[#This Row],[Data]]),,MONTH(Operacje[[#This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tr">
        <f>_xlfn.XLOOKUP(Operacje[[#This Row],[Kategoria]],Kategorie[Kategoria],Kategorie[Typ],"",0)</f>
        <v>Wydatki</v>
      </c>
      <c r="F94" s="3">
        <v>45453</v>
      </c>
      <c r="G94" s="1">
        <f>IF(ISBLANK(Operacje[[#This Row],[Data]]),,MONTH(Operacje[[#This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tr">
        <f>_xlfn.XLOOKUP(Operacje[[#This Row],[Kategoria]],Kategorie[Kategoria],Kategorie[Typ],"",0)</f>
        <v>Wpływy</v>
      </c>
      <c r="F95" s="3">
        <v>45453</v>
      </c>
      <c r="G95" s="1">
        <f>IF(ISBLANK(Operacje[[#This Row],[Data]]),,MONTH(Operacje[[#This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tr">
        <f>_xlfn.XLOOKUP(Operacje[[#This Row],[Kategoria]],Kategorie[Kategoria],Kategorie[Typ],"",0)</f>
        <v>Wydatki</v>
      </c>
      <c r="F96" s="3">
        <v>45454</v>
      </c>
      <c r="G96" s="1">
        <f>IF(ISBLANK(Operacje[[#This Row],[Data]]),,MONTH(Operacje[[#This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tr">
        <f>_xlfn.XLOOKUP(Operacje[[#This Row],[Kategoria]],Kategorie[Kategoria],Kategorie[Typ],"",0)</f>
        <v>Wydatki</v>
      </c>
      <c r="F97" s="3">
        <v>45457</v>
      </c>
      <c r="G97" s="1">
        <f>IF(ISBLANK(Operacje[[#This Row],[Data]]),,MONTH(Operacje[[#This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tr">
        <f>_xlfn.XLOOKUP(Operacje[[#This Row],[Kategoria]],Kategorie[Kategoria],Kategorie[Typ],"",0)</f>
        <v>Transfer</v>
      </c>
      <c r="F98" s="3">
        <v>45458</v>
      </c>
      <c r="G98" s="1">
        <f>IF(ISBLANK(Operacje[[#This Row],[Data]]),,MONTH(Operacje[[#This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tr">
        <f>_xlfn.XLOOKUP(Operacje[[#This Row],[Kategoria]],Kategorie[Kategoria],Kategorie[Typ],"",0)</f>
        <v>Transfer</v>
      </c>
      <c r="F99" s="3">
        <v>45458</v>
      </c>
      <c r="G99" s="1">
        <f>IF(ISBLANK(Operacje[[#This Row],[Data]]),,MONTH(Operacje[[#This Row],[Data]]))</f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tr">
        <f>_xlfn.XLOOKUP(Operacje[[#This Row],[Kategoria]],Kategorie[Kategoria],Kategorie[Typ],"",0)</f>
        <v>Wydatki</v>
      </c>
      <c r="F100" s="3">
        <v>45458</v>
      </c>
      <c r="G100" s="1">
        <f>IF(ISBLANK(Operacje[[#This Row],[Data]]),,MONTH(Operacje[[#This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tr">
        <f>_xlfn.XLOOKUP(Operacje[[#This Row],[Kategoria]],Kategorie[Kategoria],Kategorie[Typ],"",0)</f>
        <v>Wydatki</v>
      </c>
      <c r="F101" s="3">
        <v>45464</v>
      </c>
      <c r="G101" s="1">
        <f>IF(ISBLANK(Operacje[[#This Row],[Data]]),,MONTH(Operacje[[#This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tr">
        <f>_xlfn.XLOOKUP(Operacje[[#This Row],[Kategoria]],Kategorie[Kategoria],Kategorie[Typ],"",0)</f>
        <v>Wydatki</v>
      </c>
      <c r="F102" s="3">
        <v>45471</v>
      </c>
      <c r="G102" s="1">
        <f>IF(ISBLANK(Operacje[[#This Row],[Data]]),,MONTH(Operacje[[#This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tr">
        <f>_xlfn.XLOOKUP(Operacje[[#This Row],[Kategoria]],Kategorie[Kategoria],Kategorie[Typ],"",0)</f>
        <v>Wydatki</v>
      </c>
      <c r="F103" s="3">
        <v>45471</v>
      </c>
      <c r="G103" s="1">
        <f>IF(ISBLANK(Operacje[[#This Row],[Data]]),,MONTH(Operacje[[#This Row],[Data]]))</f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tr">
        <f>_xlfn.XLOOKUP(Operacje[[#This Row],[Kategoria]],Kategorie[Kategoria],Kategorie[Typ],"",0)</f>
        <v>Wydatki</v>
      </c>
      <c r="F104" s="3">
        <v>45472</v>
      </c>
      <c r="G104" s="1">
        <f>IF(ISBLANK(Operacje[[#This Row],[Data]]),,MONTH(Operacje[[#This Row],[Data]]))</f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tr">
        <f>_xlfn.XLOOKUP(Operacje[[#This Row],[Kategoria]],Kategorie[Kategoria],Kategorie[Typ],"",0)</f>
        <v>Wpływy</v>
      </c>
      <c r="F105" s="3">
        <v>45472</v>
      </c>
      <c r="G105" s="1">
        <f>IF(ISBLANK(Operacje[[#This Row],[Data]]),,MONTH(Operacje[[#This Row],[Data]]))</f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tr">
        <f>_xlfn.XLOOKUP(Operacje[[#This Row],[Kategoria]],Kategorie[Kategoria],Kategorie[Typ],"",0)</f>
        <v>Wydatki</v>
      </c>
      <c r="F106" s="3">
        <v>45473</v>
      </c>
      <c r="G106" s="1">
        <f>IF(ISBLANK(Operacje[[#This Row],[Data]]),,MONTH(Operacje[[#This Row],[Data]]))</f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tr">
        <f>_xlfn.XLOOKUP(Operacje[[#This Row],[Kategoria]],Kategorie[Kategoria],Kategorie[Typ],"",0)</f>
        <v>Wydatki</v>
      </c>
      <c r="F107" s="3">
        <v>45476</v>
      </c>
      <c r="G107" s="1">
        <f>IF(ISBLANK(Operacje[[#This Row],[Data]]),,MONTH(Operacje[[#This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tr">
        <f>_xlfn.XLOOKUP(Operacje[[#This Row],[Kategoria]],Kategorie[Kategoria],Kategorie[Typ],"",0)</f>
        <v>Wydatki</v>
      </c>
      <c r="F108" s="3">
        <v>45480</v>
      </c>
      <c r="G108" s="1">
        <f>IF(ISBLANK(Operacje[[#This Row],[Data]]),,MONTH(Operacje[[#This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tr">
        <f>_xlfn.XLOOKUP(Operacje[[#This Row],[Kategoria]],Kategorie[Kategoria],Kategorie[Typ],"",0)</f>
        <v>Wpływy</v>
      </c>
      <c r="F109" s="3">
        <v>45483</v>
      </c>
      <c r="G109" s="1">
        <f>IF(ISBLANK(Operacje[[#This Row],[Data]]),,MONTH(Operacje[[#This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tr">
        <f>_xlfn.XLOOKUP(Operacje[[#This Row],[Kategoria]],Kategorie[Kategoria],Kategorie[Typ],"",0)</f>
        <v>Wydatki</v>
      </c>
      <c r="F110" s="3">
        <v>45484</v>
      </c>
      <c r="G110" s="1">
        <f>IF(ISBLANK(Operacje[[#This Row],[Data]]),,MONTH(Operacje[[#This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tr">
        <f>_xlfn.XLOOKUP(Operacje[[#This Row],[Kategoria]],Kategorie[Kategoria],Kategorie[Typ],"",0)</f>
        <v>Wydatki</v>
      </c>
      <c r="F111" s="3">
        <v>45487</v>
      </c>
      <c r="G111" s="1">
        <f>IF(ISBLANK(Operacje[[#This Row],[Data]]),,MONTH(Operacje[[#This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tr">
        <f>_xlfn.XLOOKUP(Operacje[[#This Row],[Kategoria]],Kategorie[Kategoria],Kategorie[Typ],"",0)</f>
        <v>Transfer</v>
      </c>
      <c r="F112" s="3">
        <v>45488</v>
      </c>
      <c r="G112" s="1">
        <f>IF(ISBLANK(Operacje[[#This Row],[Data]]),,MONTH(Operacje[[#This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tr">
        <f>_xlfn.XLOOKUP(Operacje[[#This Row],[Kategoria]],Kategorie[Kategoria],Kategorie[Typ],"",0)</f>
        <v>Transfer</v>
      </c>
      <c r="F113" s="3">
        <v>45488</v>
      </c>
      <c r="G113" s="1">
        <f>IF(ISBLANK(Operacje[[#This Row],[Data]]),,MONTH(Operacje[[#This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tr">
        <f>_xlfn.XLOOKUP(Operacje[[#This Row],[Kategoria]],Kategorie[Kategoria],Kategorie[Typ],"",0)</f>
        <v>Wydatki</v>
      </c>
      <c r="F114" s="3">
        <v>45489</v>
      </c>
      <c r="G114" s="1">
        <f>IF(ISBLANK(Operacje[[#This Row],[Data]]),,MONTH(Operacje[[#This Row],[Data]]))</f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32</v>
      </c>
      <c r="E115" s="1" t="str">
        <f>_xlfn.XLOOKUP(Operacje[[#This Row],[Kategoria]],Kategorie[Kategoria],Kategorie[Typ],"",0)</f>
        <v>Wpływy</v>
      </c>
      <c r="F115" s="3">
        <v>45491</v>
      </c>
      <c r="G115" s="1">
        <f>IF(ISBLANK(Operacje[[#This Row],[Data]]),,MONTH(Operacje[[#This Row],[Data]]))</f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tr">
        <f>_xlfn.XLOOKUP(Operacje[[#This Row],[Kategoria]],Kategorie[Kategoria],Kategorie[Typ],"",0)</f>
        <v>Wydatki</v>
      </c>
      <c r="F116" s="3">
        <v>45494</v>
      </c>
      <c r="G116" s="1">
        <f>IF(ISBLANK(Operacje[[#This Row],[Data]]),,MONTH(Operacje[[#This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tr">
        <f>_xlfn.XLOOKUP(Operacje[[#This Row],[Kategoria]],Kategorie[Kategoria],Kategorie[Typ],"",0)</f>
        <v>Wpływy</v>
      </c>
      <c r="F117" s="3">
        <v>45495</v>
      </c>
      <c r="G117" s="1">
        <f>IF(ISBLANK(Operacje[[#This Row],[Data]]),,MONTH(Operacje[[#This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tr">
        <f>_xlfn.XLOOKUP(Operacje[[#This Row],[Kategoria]],Kategorie[Kategoria],Kategorie[Typ],"",0)</f>
        <v>Wydatki</v>
      </c>
      <c r="F118" s="3">
        <v>45497</v>
      </c>
      <c r="G118" s="1">
        <f>IF(ISBLANK(Operacje[[#This Row],[Data]]),,MONTH(Operacje[[#This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tr">
        <f>_xlfn.XLOOKUP(Operacje[[#This Row],[Kategoria]],Kategorie[Kategoria],Kategorie[Typ],"",0)</f>
        <v>Wydatki</v>
      </c>
      <c r="F119" s="3">
        <v>45499</v>
      </c>
      <c r="G119" s="1">
        <f>IF(ISBLANK(Operacje[[#This Row],[Data]]),,MONTH(Operacje[[#This Row],[Data]]))</f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tr">
        <f>_xlfn.XLOOKUP(Operacje[[#This Row],[Kategoria]],Kategorie[Kategoria],Kategorie[Typ],"",0)</f>
        <v>Wydatki</v>
      </c>
      <c r="F120" s="3">
        <v>45502</v>
      </c>
      <c r="G120" s="1">
        <f>IF(ISBLANK(Operacje[[#This Row],[Data]]),,MONTH(Operacje[[#This Row],[Data]]))</f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33</v>
      </c>
      <c r="E121" s="1" t="str">
        <f>_xlfn.XLOOKUP(Operacje[[#This Row],[Kategoria]],Kategorie[Kategoria],Kategorie[Typ],"",0)</f>
        <v>Wpływy</v>
      </c>
      <c r="F121" s="3">
        <v>45503</v>
      </c>
      <c r="G121" s="1">
        <f>IF(ISBLANK(Operacje[[#This Row],[Data]]),,MONTH(Operacje[[#This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tr">
        <f>_xlfn.XLOOKUP(Operacje[[#This Row],[Kategoria]],Kategorie[Kategoria],Kategorie[Typ],"",0)</f>
        <v>Wydatki</v>
      </c>
      <c r="F122" s="3">
        <v>45504</v>
      </c>
      <c r="G122" s="1">
        <f>IF(ISBLANK(Operacje[[#This Row],[Data]]),,MONTH(Operacje[[#This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tr">
        <f>_xlfn.XLOOKUP(Operacje[[#This Row],[Kategoria]],Kategorie[Kategoria],Kategorie[Typ],"",0)</f>
        <v>Wydatki</v>
      </c>
      <c r="F123" s="3">
        <v>45505</v>
      </c>
      <c r="G123" s="1">
        <f>IF(ISBLANK(Operacje[[#This Row],[Data]]),,MONTH(Operacje[[#This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tr">
        <f>_xlfn.XLOOKUP(Operacje[[#This Row],[Kategoria]],Kategorie[Kategoria],Kategorie[Typ],"",0)</f>
        <v>Transfer</v>
      </c>
      <c r="F124" s="3">
        <v>45505</v>
      </c>
      <c r="G124" s="1">
        <f>IF(ISBLANK(Operacje[[#This Row],[Data]]),,MONTH(Operacje[[#This Row],[Data]]))</f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tr">
        <f>_xlfn.XLOOKUP(Operacje[[#This Row],[Kategoria]],Kategorie[Kategoria],Kategorie[Typ],"",0)</f>
        <v>Wydatki</v>
      </c>
      <c r="F125" s="3">
        <v>45505</v>
      </c>
      <c r="G125" s="1">
        <f>IF(ISBLANK(Operacje[[#This Row],[Data]]),,MONTH(Operacje[[#This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tr">
        <f>_xlfn.XLOOKUP(Operacje[[#This Row],[Kategoria]],Kategorie[Kategoria],Kategorie[Typ],"",0)</f>
        <v>Wydatki</v>
      </c>
      <c r="F126" s="3">
        <v>45513</v>
      </c>
      <c r="G126" s="1">
        <f>IF(ISBLANK(Operacje[[#This Row],[Data]]),,MONTH(Operacje[[#This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tr">
        <f>_xlfn.XLOOKUP(Operacje[[#This Row],[Kategoria]],Kategorie[Kategoria],Kategorie[Typ],"",0)</f>
        <v>Wpływy</v>
      </c>
      <c r="F127" s="3">
        <v>45514</v>
      </c>
      <c r="G127" s="1">
        <f>IF(ISBLANK(Operacje[[#This Row],[Data]]),,MONTH(Operacje[[#This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tr">
        <f>_xlfn.XLOOKUP(Operacje[[#This Row],[Kategoria]],Kategorie[Kategoria],Kategorie[Typ],"",0)</f>
        <v>Wydatki</v>
      </c>
      <c r="F128" s="3">
        <v>45515</v>
      </c>
      <c r="G128" s="1">
        <f>IF(ISBLANK(Operacje[[#This Row],[Data]]),,MONTH(Operacje[[#This Row],[Data]]))</f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tr">
        <f>_xlfn.XLOOKUP(Operacje[[#This Row],[Kategoria]],Kategorie[Kategoria],Kategorie[Typ],"",0)</f>
        <v>Wydatki</v>
      </c>
      <c r="F129" s="3">
        <v>45518</v>
      </c>
      <c r="G129" s="1">
        <f>IF(ISBLANK(Operacje[[#This Row],[Data]]),,MONTH(Operacje[[#This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tr">
        <f>_xlfn.XLOOKUP(Operacje[[#This Row],[Kategoria]],Kategorie[Kategoria],Kategorie[Typ],"",0)</f>
        <v>Transfer</v>
      </c>
      <c r="F130" s="3">
        <v>45519</v>
      </c>
      <c r="G130" s="1">
        <f>IF(ISBLANK(Operacje[[#This Row],[Data]]),,MONTH(Operacje[[#This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tr">
        <f>_xlfn.XLOOKUP(Operacje[[#This Row],[Kategoria]],Kategorie[Kategoria],Kategorie[Typ],"",0)</f>
        <v>Transfer</v>
      </c>
      <c r="F131" s="3">
        <v>45519</v>
      </c>
      <c r="G131" s="1">
        <f>IF(ISBLANK(Operacje[[#This Row],[Data]]),,MONTH(Operacje[[#This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tr">
        <f>_xlfn.XLOOKUP(Operacje[[#This Row],[Kategoria]],Kategorie[Kategoria],Kategorie[Typ],"",0)</f>
        <v>Wydatki</v>
      </c>
      <c r="F132" s="3">
        <v>45520</v>
      </c>
      <c r="G132" s="1">
        <f>IF(ISBLANK(Operacje[[#This Row],[Data]]),,MONTH(Operacje[[#This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tr">
        <f>_xlfn.XLOOKUP(Operacje[[#This Row],[Kategoria]],Kategorie[Kategoria],Kategorie[Typ],"",0)</f>
        <v>Wydatki</v>
      </c>
      <c r="F133" s="3">
        <v>45522</v>
      </c>
      <c r="G133" s="1">
        <f>IF(ISBLANK(Operacje[[#This Row],[Data]]),,MONTH(Operacje[[#This Row],[Data]]))</f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32</v>
      </c>
      <c r="E134" s="1" t="str">
        <f>_xlfn.XLOOKUP(Operacje[[#This Row],[Kategoria]],Kategorie[Kategoria],Kategorie[Typ],"",0)</f>
        <v>Wpływy</v>
      </c>
      <c r="F134" s="3">
        <v>45524</v>
      </c>
      <c r="G134" s="1">
        <f>IF(ISBLANK(Operacje[[#This Row],[Data]]),,MONTH(Operacje[[#This Row],[Data]]))</f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tr">
        <f>_xlfn.XLOOKUP(Operacje[[#This Row],[Kategoria]],Kategorie[Kategoria],Kategorie[Typ],"",0)</f>
        <v>Wydatki</v>
      </c>
      <c r="F135" s="3">
        <v>45526</v>
      </c>
      <c r="G135" s="1">
        <f>IF(ISBLANK(Operacje[[#This Row],[Data]]),,MONTH(Operacje[[#This Row],[Data]]))</f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tr">
        <f>_xlfn.XLOOKUP(Operacje[[#This Row],[Kategoria]],Kategorie[Kategoria],Kategorie[Typ],"",0)</f>
        <v>Wydatki</v>
      </c>
      <c r="F136" s="3">
        <v>45527</v>
      </c>
      <c r="G136" s="1">
        <f>IF(ISBLANK(Operacje[[#This Row],[Data]]),,MONTH(Operacje[[#This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tr">
        <f>_xlfn.XLOOKUP(Operacje[[#This Row],[Kategoria]],Kategorie[Kategoria],Kategorie[Typ],"",0)</f>
        <v>Wydatki</v>
      </c>
      <c r="F137" s="3">
        <v>45528</v>
      </c>
      <c r="G137" s="1">
        <f>IF(ISBLANK(Operacje[[#This Row],[Data]]),,MONTH(Operacje[[#This Row],[Data]]))</f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tr">
        <f>_xlfn.XLOOKUP(Operacje[[#This Row],[Kategoria]],Kategorie[Kategoria],Kategorie[Typ],"",0)</f>
        <v>Wydatki</v>
      </c>
      <c r="F138" s="3">
        <v>45531</v>
      </c>
      <c r="G138" s="1">
        <f>IF(ISBLANK(Operacje[[#This Row],[Data]]),,MONTH(Operacje[[#This Row],[Data]]))</f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33</v>
      </c>
      <c r="E139" s="1" t="str">
        <f>_xlfn.XLOOKUP(Operacje[[#This Row],[Kategoria]],Kategorie[Kategoria],Kategorie[Typ],"",0)</f>
        <v>Wpływy</v>
      </c>
      <c r="F139" s="3">
        <v>45534</v>
      </c>
      <c r="G139" s="1">
        <f>IF(ISBLANK(Operacje[[#This Row],[Data]]),,MONTH(Operacje[[#This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32</v>
      </c>
      <c r="E140" s="1" t="str">
        <f>_xlfn.XLOOKUP(Operacje[[#This Row],[Kategoria]],Kategorie[Kategoria],Kategorie[Typ],"",0)</f>
        <v>Wpływy</v>
      </c>
      <c r="F140" s="3">
        <v>45535</v>
      </c>
      <c r="G140" s="1">
        <f>IF(ISBLANK(Operacje[[#This Row],[Data]]),,MONTH(Operacje[[#This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tr">
        <f>_xlfn.XLOOKUP(Operacje[[#This Row],[Kategoria]],Kategorie[Kategoria],Kategorie[Typ],"",0)</f>
        <v>Wydatki</v>
      </c>
      <c r="F141" s="3">
        <v>45536</v>
      </c>
      <c r="G141" s="1">
        <f>IF(ISBLANK(Operacje[[#This Row],[Data]]),,MONTH(Operacje[[#This Row],[Data]]))</f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tr">
        <f>_xlfn.XLOOKUP(Operacje[[#This Row],[Kategoria]],Kategorie[Kategoria],Kategorie[Typ],"",0)</f>
        <v>Wydatki</v>
      </c>
      <c r="F142" s="3">
        <v>45539</v>
      </c>
      <c r="G142" s="1">
        <f>IF(ISBLANK(Operacje[[#This Row],[Data]]),,MONTH(Operacje[[#This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tr">
        <f>_xlfn.XLOOKUP(Operacje[[#This Row],[Kategoria]],Kategorie[Kategoria],Kategorie[Typ],"",0)</f>
        <v>Wydatki</v>
      </c>
      <c r="F143" s="3">
        <v>45542</v>
      </c>
      <c r="G143" s="1">
        <f>IF(ISBLANK(Operacje[[#This Row],[Data]]),,MONTH(Operacje[[#This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tr">
        <f>_xlfn.XLOOKUP(Operacje[[#This Row],[Kategoria]],Kategorie[Kategoria],Kategorie[Typ],"",0)</f>
        <v>Wydatki</v>
      </c>
      <c r="F144" s="3">
        <v>45543</v>
      </c>
      <c r="G144" s="1">
        <f>IF(ISBLANK(Operacje[[#This Row],[Data]]),,MONTH(Operacje[[#This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tr">
        <f>_xlfn.XLOOKUP(Operacje[[#This Row],[Kategoria]],Kategorie[Kategoria],Kategorie[Typ],"",0)</f>
        <v>Wpływy</v>
      </c>
      <c r="F145" s="3">
        <v>45545</v>
      </c>
      <c r="G145" s="1">
        <f>IF(ISBLANK(Operacje[[#This Row],[Data]]),,MONTH(Operacje[[#This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tr">
        <f>_xlfn.XLOOKUP(Operacje[[#This Row],[Kategoria]],Kategorie[Kategoria],Kategorie[Typ],"",0)</f>
        <v>Wydatki</v>
      </c>
      <c r="F146" s="3">
        <v>45546</v>
      </c>
      <c r="G146" s="1">
        <f>IF(ISBLANK(Operacje[[#This Row],[Data]]),,MONTH(Operacje[[#This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tr">
        <f>_xlfn.XLOOKUP(Operacje[[#This Row],[Kategoria]],Kategorie[Kategoria],Kategorie[Typ],"",0)</f>
        <v>Wydatki</v>
      </c>
      <c r="F147" s="3">
        <v>45546</v>
      </c>
      <c r="G147" s="1">
        <f>IF(ISBLANK(Operacje[[#This Row],[Data]]),,MONTH(Operacje[[#This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tr">
        <f>_xlfn.XLOOKUP(Operacje[[#This Row],[Kategoria]],Kategorie[Kategoria],Kategorie[Typ],"",0)</f>
        <v>Transfer</v>
      </c>
      <c r="F148" s="3">
        <v>45550</v>
      </c>
      <c r="G148" s="1">
        <f>IF(ISBLANK(Operacje[[#This Row],[Data]]),,MONTH(Operacje[[#This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tr">
        <f>_xlfn.XLOOKUP(Operacje[[#This Row],[Kategoria]],Kategorie[Kategoria],Kategorie[Typ],"",0)</f>
        <v>Transfer</v>
      </c>
      <c r="F149" s="3">
        <v>45550</v>
      </c>
      <c r="G149" s="1">
        <f>IF(ISBLANK(Operacje[[#This Row],[Data]]),,MONTH(Operacje[[#This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tr">
        <f>_xlfn.XLOOKUP(Operacje[[#This Row],[Kategoria]],Kategorie[Kategoria],Kategorie[Typ],"",0)</f>
        <v>Wydatki</v>
      </c>
      <c r="F150" s="3">
        <v>45553</v>
      </c>
      <c r="G150" s="1">
        <f>IF(ISBLANK(Operacje[[#This Row],[Data]]),,MONTH(Operacje[[#This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tr">
        <f>_xlfn.XLOOKUP(Operacje[[#This Row],[Kategoria]],Kategorie[Kategoria],Kategorie[Typ],"",0)</f>
        <v>Wydatki</v>
      </c>
      <c r="F151" s="3">
        <v>45566</v>
      </c>
      <c r="G151" s="1">
        <f>IF(ISBLANK(Operacje[[#This Row],[Data]]),,MONTH(Operacje[[#This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tr">
        <f>_xlfn.XLOOKUP(Operacje[[#This Row],[Kategoria]],Kategorie[Kategoria],Kategorie[Typ],"",0)</f>
        <v>Wydatki</v>
      </c>
      <c r="F152" s="3">
        <v>45572</v>
      </c>
      <c r="G152" s="1">
        <f>IF(ISBLANK(Operacje[[#This Row],[Data]]),,MONTH(Operacje[[#This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tr">
        <f>_xlfn.XLOOKUP(Operacje[[#This Row],[Kategoria]],Kategorie[Kategoria],Kategorie[Typ],"",0)</f>
        <v>Wydatki</v>
      </c>
      <c r="F153" s="3">
        <v>45573</v>
      </c>
      <c r="G153" s="1">
        <f>IF(ISBLANK(Operacje[[#This Row],[Data]]),,MONTH(Operacje[[#This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tr">
        <f>_xlfn.XLOOKUP(Operacje[[#This Row],[Kategoria]],Kategorie[Kategoria],Kategorie[Typ],"",0)</f>
        <v>Wpływy</v>
      </c>
      <c r="F154" s="3">
        <v>45575</v>
      </c>
      <c r="G154" s="1">
        <f>IF(ISBLANK(Operacje[[#This Row],[Data]]),,MONTH(Operacje[[#This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tr">
        <f>_xlfn.XLOOKUP(Operacje[[#This Row],[Kategoria]],Kategorie[Kategoria],Kategorie[Typ],"",0)</f>
        <v>Wydatki</v>
      </c>
      <c r="F155" s="3">
        <v>45576</v>
      </c>
      <c r="G155" s="1">
        <f>IF(ISBLANK(Operacje[[#This Row],[Data]]),,MONTH(Operacje[[#This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tr">
        <f>_xlfn.XLOOKUP(Operacje[[#This Row],[Kategoria]],Kategorie[Kategoria],Kategorie[Typ],"",0)</f>
        <v>Wydatki</v>
      </c>
      <c r="F156" s="3">
        <v>45576</v>
      </c>
      <c r="G156" s="1">
        <f>IF(ISBLANK(Operacje[[#This Row],[Data]]),,MONTH(Operacje[[#This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tr">
        <f>_xlfn.XLOOKUP(Operacje[[#This Row],[Kategoria]],Kategorie[Kategoria],Kategorie[Typ],"",0)</f>
        <v>Transfer</v>
      </c>
      <c r="F157" s="3">
        <v>45580</v>
      </c>
      <c r="G157" s="1">
        <f>IF(ISBLANK(Operacje[[#This Row],[Data]]),,MONTH(Operacje[[#This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tr">
        <f>_xlfn.XLOOKUP(Operacje[[#This Row],[Kategoria]],Kategorie[Kategoria],Kategorie[Typ],"",0)</f>
        <v>Transfer</v>
      </c>
      <c r="F158" s="3">
        <v>45580</v>
      </c>
      <c r="G158" s="1">
        <f>IF(ISBLANK(Operacje[[#This Row],[Data]]),,MONTH(Operacje[[#This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tr">
        <f>_xlfn.XLOOKUP(Operacje[[#This Row],[Kategoria]],Kategorie[Kategoria],Kategorie[Typ],"",0)</f>
        <v>Wpływy</v>
      </c>
      <c r="F159" s="3">
        <v>45606</v>
      </c>
      <c r="G159" s="1">
        <f>IF(ISBLANK(Operacje[[#This Row],[Data]]),,MONTH(Operacje[[#This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tr">
        <f>_xlfn.XLOOKUP(Operacje[[#This Row],[Kategoria]],Kategorie[Kategoria],Kategorie[Typ],"",0)</f>
        <v>Wydatki</v>
      </c>
      <c r="F160" s="3">
        <v>45607</v>
      </c>
      <c r="G160" s="1">
        <f>IF(ISBLANK(Operacje[[#This Row],[Data]]),,MONTH(Operacje[[#This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tr">
        <f>_xlfn.XLOOKUP(Operacje[[#This Row],[Kategoria]],Kategorie[Kategoria],Kategorie[Typ],"",0)</f>
        <v>Wydatki</v>
      </c>
      <c r="F161" s="3">
        <v>45607</v>
      </c>
      <c r="G161" s="1">
        <f>IF(ISBLANK(Operacje[[#This Row],[Data]]),,MONTH(Operacje[[#This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tr">
        <f>_xlfn.XLOOKUP(Operacje[[#This Row],[Kategoria]],Kategorie[Kategoria],Kategorie[Typ],"",0)</f>
        <v>Wydatki</v>
      </c>
      <c r="F162" s="3">
        <v>45607</v>
      </c>
      <c r="G162" s="1">
        <f>IF(ISBLANK(Operacje[[#This Row],[Data]]),,MONTH(Operacje[[#This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tr">
        <f>_xlfn.XLOOKUP(Operacje[[#This Row],[Kategoria]],Kategorie[Kategoria],Kategorie[Typ],"",0)</f>
        <v>Wydatki</v>
      </c>
      <c r="F163" s="3">
        <v>45608</v>
      </c>
      <c r="G163" s="1">
        <f>IF(ISBLANK(Operacje[[#This Row],[Data]]),,MONTH(Operacje[[#This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tr">
        <f>_xlfn.XLOOKUP(Operacje[[#This Row],[Kategoria]],Kategorie[Kategoria],Kategorie[Typ],"",0)</f>
        <v>Wydatki</v>
      </c>
      <c r="F164" s="3">
        <v>45610</v>
      </c>
      <c r="G164" s="1">
        <f>IF(ISBLANK(Operacje[[#This Row],[Data]]),,MONTH(Operacje[[#This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tr">
        <f>_xlfn.XLOOKUP(Operacje[[#This Row],[Kategoria]],Kategorie[Kategoria],Kategorie[Typ],"",0)</f>
        <v>Transfer</v>
      </c>
      <c r="F165" s="3">
        <v>45611</v>
      </c>
      <c r="G165" s="1">
        <f>IF(ISBLANK(Operacje[[#This Row],[Data]]),,MONTH(Operacje[[#This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tr">
        <f>_xlfn.XLOOKUP(Operacje[[#This Row],[Kategoria]],Kategorie[Kategoria],Kategorie[Typ],"",0)</f>
        <v>Transfer</v>
      </c>
      <c r="F166" s="3">
        <v>45611</v>
      </c>
      <c r="G166" s="1">
        <f>IF(ISBLANK(Operacje[[#This Row],[Data]]),,MONTH(Operacje[[#This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tr">
        <f>_xlfn.XLOOKUP(Operacje[[#This Row],[Kategoria]],Kategorie[Kategoria],Kategorie[Typ],"",0)</f>
        <v>Wydatki</v>
      </c>
      <c r="F167" s="3">
        <v>45612</v>
      </c>
      <c r="G167" s="1">
        <f>IF(ISBLANK(Operacje[[#This Row],[Data]]),,MONTH(Operacje[[#This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tr">
        <f>_xlfn.XLOOKUP(Operacje[[#This Row],[Kategoria]],Kategorie[Kategoria],Kategorie[Typ],"",0)</f>
        <v>Wydatki</v>
      </c>
      <c r="F168" s="3">
        <v>45613</v>
      </c>
      <c r="G168" s="1">
        <f>IF(ISBLANK(Operacje[[#This Row],[Data]]),,MONTH(Operacje[[#This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tr">
        <f>_xlfn.XLOOKUP(Operacje[[#This Row],[Kategoria]],Kategorie[Kategoria],Kategorie[Typ],"",0)</f>
        <v>Wydatki</v>
      </c>
      <c r="F169" s="3">
        <v>45613</v>
      </c>
      <c r="G169" s="1">
        <f>IF(ISBLANK(Operacje[[#This Row],[Data]]),,MONTH(Operacje[[#This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tr">
        <f>_xlfn.XLOOKUP(Operacje[[#This Row],[Kategoria]],Kategorie[Kategoria],Kategorie[Typ],"",0)</f>
        <v>Wydatki</v>
      </c>
      <c r="F170" s="3">
        <v>45615</v>
      </c>
      <c r="G170" s="1">
        <f>IF(ISBLANK(Operacje[[#This Row],[Data]]),,MONTH(Operacje[[#This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tr">
        <f>_xlfn.XLOOKUP(Operacje[[#This Row],[Kategoria]],Kategorie[Kategoria],Kategorie[Typ],"",0)</f>
        <v>Wydatki</v>
      </c>
      <c r="F171" s="3">
        <v>45616</v>
      </c>
      <c r="G171" s="1">
        <f>IF(ISBLANK(Operacje[[#This Row],[Data]]),,MONTH(Operacje[[#This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tr">
        <f>_xlfn.XLOOKUP(Operacje[[#This Row],[Kategoria]],Kategorie[Kategoria],Kategorie[Typ],"",0)</f>
        <v>Wydatki</v>
      </c>
      <c r="F172" s="3">
        <v>45617</v>
      </c>
      <c r="G172" s="1">
        <f>IF(ISBLANK(Operacje[[#This Row],[Data]]),,MONTH(Operacje[[#This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tr">
        <f>_xlfn.XLOOKUP(Operacje[[#This Row],[Kategoria]],Kategorie[Kategoria],Kategorie[Typ],"",0)</f>
        <v>Wydatki</v>
      </c>
      <c r="F173" s="3">
        <v>45618</v>
      </c>
      <c r="G173" s="1">
        <f>IF(ISBLANK(Operacje[[#This Row],[Data]]),,MONTH(Operacje[[#This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tr">
        <f>_xlfn.XLOOKUP(Operacje[[#This Row],[Kategoria]],Kategorie[Kategoria],Kategorie[Typ],"",0)</f>
        <v>Wydatki</v>
      </c>
      <c r="F174" s="3">
        <v>45618</v>
      </c>
      <c r="G174" s="1">
        <f>IF(ISBLANK(Operacje[[#This Row],[Data]]),,MONTH(Operacje[[#This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tr">
        <f>_xlfn.XLOOKUP(Operacje[[#This Row],[Kategoria]],Kategorie[Kategoria],Kategorie[Typ],"",0)</f>
        <v>Wydatki</v>
      </c>
      <c r="F175" s="3">
        <v>45618</v>
      </c>
      <c r="G175" s="1">
        <f>IF(ISBLANK(Operacje[[#This Row],[Data]]),,MONTH(Operacje[[#This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tr">
        <f>_xlfn.XLOOKUP(Operacje[[#This Row],[Kategoria]],Kategorie[Kategoria],Kategorie[Typ],"",0)</f>
        <v>Wydatki</v>
      </c>
      <c r="F176" s="3">
        <v>45619</v>
      </c>
      <c r="G176" s="1">
        <f>IF(ISBLANK(Operacje[[#This Row],[Data]]),,MONTH(Operacje[[#This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tr">
        <f>_xlfn.XLOOKUP(Operacje[[#This Row],[Kategoria]],Kategorie[Kategoria],Kategorie[Typ],"",0)</f>
        <v>Wydatki</v>
      </c>
      <c r="F177" s="3">
        <v>45619</v>
      </c>
      <c r="G177" s="1">
        <f>IF(ISBLANK(Operacje[[#This Row],[Data]]),,MONTH(Operacje[[#This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tr">
        <f>_xlfn.XLOOKUP(Operacje[[#This Row],[Kategoria]],Kategorie[Kategoria],Kategorie[Typ],"",0)</f>
        <v>Wydatki</v>
      </c>
      <c r="F178" s="3">
        <v>45621</v>
      </c>
      <c r="G178" s="1">
        <f>IF(ISBLANK(Operacje[[#This Row],[Data]]),,MONTH(Operacje[[#This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tr">
        <f>_xlfn.XLOOKUP(Operacje[[#This Row],[Kategoria]],Kategorie[Kategoria],Kategorie[Typ],"",0)</f>
        <v>Wydatki</v>
      </c>
      <c r="F179" s="3">
        <v>45622</v>
      </c>
      <c r="G179" s="1">
        <f>IF(ISBLANK(Operacje[[#This Row],[Data]]),,MONTH(Operacje[[#This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tr">
        <f>_xlfn.XLOOKUP(Operacje[[#This Row],[Kategoria]],Kategorie[Kategoria],Kategorie[Typ],"",0)</f>
        <v>Wydatki</v>
      </c>
      <c r="F180" s="3">
        <v>45623</v>
      </c>
      <c r="G180" s="1">
        <f>IF(ISBLANK(Operacje[[#This Row],[Data]]),,MONTH(Operacje[[#This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tr">
        <f>_xlfn.XLOOKUP(Operacje[[#This Row],[Kategoria]],Kategorie[Kategoria],Kategorie[Typ],"",0)</f>
        <v>Wydatki</v>
      </c>
      <c r="F181" s="3">
        <v>45623</v>
      </c>
      <c r="G181" s="1">
        <f>IF(ISBLANK(Operacje[[#This Row],[Data]]),,MONTH(Operacje[[#This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tr">
        <f>_xlfn.XLOOKUP(Operacje[[#This Row],[Kategoria]],Kategorie[Kategoria],Kategorie[Typ],"",0)</f>
        <v>Wydatki</v>
      </c>
      <c r="F182" s="3">
        <v>45623</v>
      </c>
      <c r="G182" s="1">
        <f>IF(ISBLANK(Operacje[[#This Row],[Data]]),,MONTH(Operacje[[#This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tr">
        <f>_xlfn.XLOOKUP(Operacje[[#This Row],[Kategoria]],Kategorie[Kategoria],Kategorie[Typ],"",0)</f>
        <v>Wydatki</v>
      </c>
      <c r="F183" s="3">
        <v>45624</v>
      </c>
      <c r="G183" s="1">
        <f>IF(ISBLANK(Operacje[[#This Row],[Data]]),,MONTH(Operacje[[#This Row],[Data]]))</f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32</v>
      </c>
      <c r="E184" s="1" t="str">
        <f>_xlfn.XLOOKUP(Operacje[[#This Row],[Kategoria]],Kategorie[Kategoria],Kategorie[Typ],"",0)</f>
        <v>Wpływy</v>
      </c>
      <c r="F184" s="3">
        <v>45625</v>
      </c>
      <c r="G184" s="1">
        <f>IF(ISBLANK(Operacje[[#This Row],[Data]]),,MONTH(Operacje[[#This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tr">
        <f>_xlfn.XLOOKUP(Operacje[[#This Row],[Kategoria]],Kategorie[Kategoria],Kategorie[Typ],"",0)</f>
        <v>Wydatki</v>
      </c>
      <c r="F185" s="3">
        <v>45626</v>
      </c>
      <c r="G185" s="1">
        <f>IF(ISBLANK(Operacje[[#This Row],[Data]]),,MONTH(Operacje[[#This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tr">
        <f>_xlfn.XLOOKUP(Operacje[[#This Row],[Kategoria]],Kategorie[Kategoria],Kategorie[Typ],"",0)</f>
        <v>Wydatki</v>
      </c>
      <c r="F186" s="3">
        <v>45627</v>
      </c>
      <c r="G186" s="1">
        <f>IF(ISBLANK(Operacje[[#This Row],[Data]]),,MONTH(Operacje[[#This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tr">
        <f>_xlfn.XLOOKUP(Operacje[[#This Row],[Kategoria]],Kategorie[Kategoria],Kategorie[Typ],"",0)</f>
        <v>Wydatki</v>
      </c>
      <c r="F187" s="3">
        <v>45627</v>
      </c>
      <c r="G187" s="1">
        <f>IF(ISBLANK(Operacje[[#This Row],[Data]]),,MONTH(Operacje[[#This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tr">
        <f>_xlfn.XLOOKUP(Operacje[[#This Row],[Kategoria]],Kategorie[Kategoria],Kategorie[Typ],"",0)</f>
        <v>Wydatki</v>
      </c>
      <c r="F188" s="3">
        <v>45628</v>
      </c>
      <c r="G188" s="1">
        <f>IF(ISBLANK(Operacje[[#This Row],[Data]]),,MONTH(Operacje[[#This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tr">
        <f>_xlfn.XLOOKUP(Operacje[[#This Row],[Kategoria]],Kategorie[Kategoria],Kategorie[Typ],"",0)</f>
        <v>Wydatki</v>
      </c>
      <c r="F189" s="3">
        <v>45628</v>
      </c>
      <c r="G189" s="1">
        <f>IF(ISBLANK(Operacje[[#This Row],[Data]]),,MONTH(Operacje[[#This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tr">
        <f>_xlfn.XLOOKUP(Operacje[[#This Row],[Kategoria]],Kategorie[Kategoria],Kategorie[Typ],"",0)</f>
        <v>Wydatki</v>
      </c>
      <c r="F190" s="3">
        <v>45628</v>
      </c>
      <c r="G190" s="1">
        <f>IF(ISBLANK(Operacje[[#This Row],[Data]]),,MONTH(Operacje[[#This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tr">
        <f>_xlfn.XLOOKUP(Operacje[[#This Row],[Kategoria]],Kategorie[Kategoria],Kategorie[Typ],"",0)</f>
        <v>Wydatki</v>
      </c>
      <c r="F191" s="3">
        <v>45628</v>
      </c>
      <c r="G191" s="1">
        <f>IF(ISBLANK(Operacje[[#This Row],[Data]]),,MONTH(Operacje[[#This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tr">
        <f>_xlfn.XLOOKUP(Operacje[[#This Row],[Kategoria]],Kategorie[Kategoria],Kategorie[Typ],"",0)</f>
        <v>Wydatki</v>
      </c>
      <c r="F192" s="3">
        <v>45628</v>
      </c>
      <c r="G192" s="1">
        <f>IF(ISBLANK(Operacje[[#This Row],[Data]]),,MONTH(Operacje[[#This Row],[Data]]))</f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tr">
        <f>_xlfn.XLOOKUP(Operacje[[#This Row],[Kategoria]],Kategorie[Kategoria],Kategorie[Typ],"",0)</f>
        <v>Wydatki</v>
      </c>
      <c r="F193" s="3">
        <v>45628</v>
      </c>
      <c r="G193" s="1">
        <f>IF(ISBLANK(Operacje[[#This Row],[Data]]),,MONTH(Operacje[[#This Row],[Data]]))</f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tr">
        <f>_xlfn.XLOOKUP(Operacje[[#This Row],[Kategoria]],Kategorie[Kategoria],Kategorie[Typ],"",0)</f>
        <v>Wydatki</v>
      </c>
      <c r="F194" s="3">
        <v>45629</v>
      </c>
      <c r="G194" s="1">
        <f>IF(ISBLANK(Operacje[[#This Row],[Data]]),,MONTH(Operacje[[#This Row],[Data]]))</f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tr">
        <f>_xlfn.XLOOKUP(Operacje[[#This Row],[Kategoria]],Kategorie[Kategoria],Kategorie[Typ],"",0)</f>
        <v>Wydatki</v>
      </c>
      <c r="F195" s="3">
        <v>45629</v>
      </c>
      <c r="G195" s="1">
        <f>IF(ISBLANK(Operacje[[#This Row],[Data]]),,MONTH(Operacje[[#This Row],[Data]]))</f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tr">
        <f>_xlfn.XLOOKUP(Operacje[[#This Row],[Kategoria]],Kategorie[Kategoria],Kategorie[Typ],"",0)</f>
        <v>Wydatki</v>
      </c>
      <c r="F196" s="3">
        <v>45632</v>
      </c>
      <c r="G196" s="1">
        <f>IF(ISBLANK(Operacje[[#This Row],[Data]]),,MONTH(Operacje[[#This Row],[Data]]))</f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tr">
        <f>_xlfn.XLOOKUP(Operacje[[#This Row],[Kategoria]],Kategorie[Kategoria],Kategorie[Typ],"",0)</f>
        <v>Wydatki</v>
      </c>
      <c r="F197" s="3">
        <v>45632</v>
      </c>
      <c r="G197" s="1">
        <f>IF(ISBLANK(Operacje[[#This Row],[Data]]),,MONTH(Operacje[[#This Row],[Data]]))</f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tr">
        <f>_xlfn.XLOOKUP(Operacje[[#This Row],[Kategoria]],Kategorie[Kategoria],Kategorie[Typ],"",0)</f>
        <v>Wpływy</v>
      </c>
      <c r="F198" s="3">
        <v>45636</v>
      </c>
      <c r="G198" s="1">
        <f>IF(ISBLANK(Operacje[[#This Row],[Data]]),,MONTH(Operacje[[#This Row],[Data]]))</f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tr">
        <f>_xlfn.XLOOKUP(Operacje[[#This Row],[Kategoria]],Kategorie[Kategoria],Kategorie[Typ],"",0)</f>
        <v>Wydatki</v>
      </c>
      <c r="F199" s="3">
        <v>45637</v>
      </c>
      <c r="G199" s="1">
        <f>IF(ISBLANK(Operacje[[#This Row],[Data]]),,MONTH(Operacje[[#This Row],[Data]]))</f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tr">
        <f>_xlfn.XLOOKUP(Operacje[[#This Row],[Kategoria]],Kategorie[Kategoria],Kategorie[Typ],"",0)</f>
        <v>Wydatki</v>
      </c>
      <c r="F200" s="3">
        <v>45640</v>
      </c>
      <c r="G200" s="1">
        <f>IF(ISBLANK(Operacje[[#This Row],[Data]]),,MONTH(Operacje[[#This Row],[Data]]))</f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tr">
        <f>_xlfn.XLOOKUP(Operacje[[#This Row],[Kategoria]],Kategorie[Kategoria],Kategorie[Typ],"",0)</f>
        <v>Wydatki</v>
      </c>
      <c r="F201" s="3">
        <v>45641</v>
      </c>
      <c r="G201" s="1">
        <f>IF(ISBLANK(Operacje[[#This Row],[Data]]),,MONTH(Operacje[[#This Row],[Data]]))</f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tr">
        <f>_xlfn.XLOOKUP(Operacje[[#This Row],[Kategoria]],Kategorie[Kategoria],Kategorie[Typ],"",0)</f>
        <v>Wydatki</v>
      </c>
      <c r="F202" s="3">
        <v>45644</v>
      </c>
      <c r="G202" s="1">
        <f>IF(ISBLANK(Operacje[[#This Row],[Data]]),,MONTH(Operacje[[#This Row],[Data]]))</f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32</v>
      </c>
      <c r="E203" s="1" t="str">
        <f>_xlfn.XLOOKUP(Operacje[[#This Row],[Kategoria]],Kategorie[Kategoria],Kategorie[Typ],"",0)</f>
        <v>Wpływy</v>
      </c>
      <c r="F203" s="3">
        <v>45648</v>
      </c>
      <c r="G203" s="1">
        <f>IF(ISBLANK(Operacje[[#This Row],[Data]]),,MONTH(Operacje[[#This Row],[Data]]))</f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tr">
        <f>_xlfn.XLOOKUP(Operacje[[#This Row],[Kategoria]],Kategorie[Kategoria],Kategorie[Typ],"",0)</f>
        <v>Wydatki</v>
      </c>
      <c r="F204" s="3">
        <v>45649</v>
      </c>
      <c r="G204" s="1">
        <f>IF(ISBLANK(Operacje[[#This Row],[Data]]),,MONTH(Operacje[[#This Row],[Data]]))</f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32</v>
      </c>
      <c r="E205" s="1" t="str">
        <f>_xlfn.XLOOKUP(Operacje[[#This Row],[Kategoria]],Kategorie[Kategoria],Kategorie[Typ],"",0)</f>
        <v>Wpływy</v>
      </c>
      <c r="F205" s="3">
        <v>45650</v>
      </c>
      <c r="G205" s="1">
        <f>IF(ISBLANK(Operacje[[#This Row],[Data]]),,MONTH(Operacje[[#This Row],[Data]]))</f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tr">
        <f>_xlfn.XLOOKUP(Operacje[[#This Row],[Kategoria]],Kategorie[Kategoria],Kategorie[Typ],"",0)</f>
        <v>Wydatki</v>
      </c>
      <c r="F206" s="3">
        <v>45654</v>
      </c>
      <c r="G206" s="1">
        <f>IF(ISBLANK(Operacje[[#This Row],[Data]]),,MONTH(Operacje[[#This Row],[Data]]))</f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tr">
        <f>_xlfn.XLOOKUP(Operacje[[#This Row],[Kategoria]],Kategorie[Kategoria],Kategorie[Typ],"",0)</f>
        <v>Wydatki</v>
      </c>
      <c r="F207" s="3">
        <v>45656</v>
      </c>
      <c r="G207" s="1">
        <f>IF(ISBLANK(Operacje[[#This Row],[Data]]),,MONTH(Operacje[[#This Row],[Data]]))</f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965742-A6CA-4231-9628-2ECD1C166E84}">
          <x14:formula1>
            <xm:f>kategorie!$A$2:$A$17</xm:f>
          </x14:formula1>
          <xm:sqref>D2:D1048576</xm:sqref>
        </x14:dataValidation>
        <x14:dataValidation type="list" allowBlank="1" showInputMessage="1" showErrorMessage="1" xr:uid="{E75822F1-50D3-40EE-BC62-40991F16EEE6}">
          <x14:formula1>
            <xm:f>CHOOSE(MATCH(B2,kategorie!$D$1:$F$1,0),kategorie!$D$2:$D$4,kategorie!$E$2:$E$3,kategorie!$F$2:$F$3)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FD62-4976-48B1-977C-6F0D7DF487D3}">
  <dimension ref="A1:L17"/>
  <sheetViews>
    <sheetView workbookViewId="0">
      <selection activeCell="M6" sqref="M6"/>
    </sheetView>
  </sheetViews>
  <sheetFormatPr defaultRowHeight="15" x14ac:dyDescent="0.25"/>
  <cols>
    <col min="1" max="1" width="17.28515625" bestFit="1" customWidth="1"/>
    <col min="2" max="2" width="11.42578125" bestFit="1" customWidth="1"/>
  </cols>
  <sheetData>
    <row r="1" spans="1:12" x14ac:dyDescent="0.25">
      <c r="A1" t="s">
        <v>3</v>
      </c>
      <c r="B1" t="s">
        <v>4</v>
      </c>
      <c r="D1" t="s">
        <v>7</v>
      </c>
      <c r="E1" t="s">
        <v>14</v>
      </c>
      <c r="F1" t="s">
        <v>26</v>
      </c>
      <c r="H1" t="s">
        <v>1</v>
      </c>
      <c r="I1" t="s">
        <v>2</v>
      </c>
      <c r="K1" t="s">
        <v>43</v>
      </c>
      <c r="L1">
        <v>1</v>
      </c>
    </row>
    <row r="2" spans="1:12" x14ac:dyDescent="0.25">
      <c r="A2" t="s">
        <v>31</v>
      </c>
      <c r="B2" t="s">
        <v>34</v>
      </c>
      <c r="D2" t="s">
        <v>8</v>
      </c>
      <c r="E2" t="s">
        <v>8</v>
      </c>
      <c r="F2" t="s">
        <v>27</v>
      </c>
      <c r="H2" t="s">
        <v>7</v>
      </c>
      <c r="I2" t="s">
        <v>15</v>
      </c>
      <c r="K2" t="s">
        <v>44</v>
      </c>
      <c r="L2">
        <v>2</v>
      </c>
    </row>
    <row r="3" spans="1:12" x14ac:dyDescent="0.25">
      <c r="A3" t="s">
        <v>32</v>
      </c>
      <c r="B3" t="s">
        <v>12</v>
      </c>
      <c r="D3" t="s">
        <v>15</v>
      </c>
      <c r="E3" t="s">
        <v>20</v>
      </c>
      <c r="F3" t="s">
        <v>28</v>
      </c>
      <c r="H3" t="s">
        <v>7</v>
      </c>
      <c r="I3" t="s">
        <v>8</v>
      </c>
      <c r="K3" t="s">
        <v>45</v>
      </c>
    </row>
    <row r="4" spans="1:12" x14ac:dyDescent="0.25">
      <c r="A4" t="s">
        <v>29</v>
      </c>
      <c r="B4" t="s">
        <v>12</v>
      </c>
      <c r="D4" t="s">
        <v>18</v>
      </c>
      <c r="H4" t="s">
        <v>7</v>
      </c>
      <c r="I4" t="s">
        <v>18</v>
      </c>
      <c r="K4" t="s">
        <v>46</v>
      </c>
    </row>
    <row r="5" spans="1:12" x14ac:dyDescent="0.25">
      <c r="A5" t="s">
        <v>21</v>
      </c>
      <c r="B5" t="s">
        <v>12</v>
      </c>
      <c r="H5" t="s">
        <v>14</v>
      </c>
      <c r="I5" t="s">
        <v>8</v>
      </c>
      <c r="K5" t="s">
        <v>47</v>
      </c>
    </row>
    <row r="6" spans="1:12" x14ac:dyDescent="0.25">
      <c r="A6" t="s">
        <v>17</v>
      </c>
      <c r="B6" t="s">
        <v>12</v>
      </c>
      <c r="H6" t="s">
        <v>14</v>
      </c>
      <c r="I6" t="s">
        <v>20</v>
      </c>
      <c r="K6" t="s">
        <v>48</v>
      </c>
    </row>
    <row r="7" spans="1:12" x14ac:dyDescent="0.25">
      <c r="A7" t="s">
        <v>33</v>
      </c>
      <c r="B7" t="s">
        <v>12</v>
      </c>
      <c r="H7" t="s">
        <v>26</v>
      </c>
      <c r="I7" t="s">
        <v>27</v>
      </c>
      <c r="K7" t="s">
        <v>49</v>
      </c>
    </row>
    <row r="8" spans="1:12" x14ac:dyDescent="0.25">
      <c r="A8" t="s">
        <v>11</v>
      </c>
      <c r="B8" t="s">
        <v>12</v>
      </c>
      <c r="H8" t="s">
        <v>26</v>
      </c>
      <c r="I8" t="s">
        <v>28</v>
      </c>
      <c r="K8" t="s">
        <v>50</v>
      </c>
    </row>
    <row r="9" spans="1:12" x14ac:dyDescent="0.25">
      <c r="A9" t="s">
        <v>9</v>
      </c>
      <c r="B9" t="s">
        <v>10</v>
      </c>
      <c r="K9" t="s">
        <v>51</v>
      </c>
    </row>
    <row r="10" spans="1:12" x14ac:dyDescent="0.25">
      <c r="A10" t="s">
        <v>13</v>
      </c>
      <c r="B10" t="s">
        <v>10</v>
      </c>
      <c r="K10" t="s">
        <v>52</v>
      </c>
    </row>
    <row r="11" spans="1:12" x14ac:dyDescent="0.25">
      <c r="A11" t="s">
        <v>24</v>
      </c>
      <c r="B11" t="s">
        <v>10</v>
      </c>
      <c r="K11" t="s">
        <v>53</v>
      </c>
    </row>
    <row r="12" spans="1:12" x14ac:dyDescent="0.25">
      <c r="A12" t="s">
        <v>19</v>
      </c>
      <c r="B12" t="s">
        <v>10</v>
      </c>
      <c r="K12" t="s">
        <v>54</v>
      </c>
    </row>
    <row r="13" spans="1:12" x14ac:dyDescent="0.25">
      <c r="A13" t="s">
        <v>22</v>
      </c>
      <c r="B13" t="s">
        <v>10</v>
      </c>
    </row>
    <row r="14" spans="1:12" x14ac:dyDescent="0.25">
      <c r="A14" t="s">
        <v>25</v>
      </c>
      <c r="B14" t="s">
        <v>10</v>
      </c>
    </row>
    <row r="15" spans="1:12" x14ac:dyDescent="0.25">
      <c r="A15" t="s">
        <v>16</v>
      </c>
      <c r="B15" t="s">
        <v>10</v>
      </c>
    </row>
    <row r="16" spans="1:12" x14ac:dyDescent="0.25">
      <c r="A16" t="s">
        <v>23</v>
      </c>
      <c r="B16" t="s">
        <v>10</v>
      </c>
    </row>
    <row r="17" spans="1:2" x14ac:dyDescent="0.25">
      <c r="A17" t="s">
        <v>30</v>
      </c>
      <c r="B17" t="s">
        <v>10</v>
      </c>
    </row>
  </sheetData>
  <sortState xmlns:xlrd2="http://schemas.microsoft.com/office/spreadsheetml/2017/richdata2" ref="A2:B17">
    <sortCondition ref="B2:B17"/>
    <sortCondition ref="A2:A17"/>
  </sortState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1AC7-E857-4FF4-8F8A-C0BAB673445B}">
  <dimension ref="A1:E33"/>
  <sheetViews>
    <sheetView topLeftCell="A13" zoomScale="160" zoomScaleNormal="160" workbookViewId="0">
      <selection activeCell="D16" sqref="D16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>
        <v>0</v>
      </c>
      <c r="D2" s="4">
        <f>SUMIFS(Operacje[Kwota],Operacje[Bank],styczeń_saldo[[#This Row],[Bank]],Operacje[Produkt],styczeń_saldo[[#This Row],[Produkt]],Operacje[Miesiąc],$B$11)</f>
        <v>-175</v>
      </c>
      <c r="E2" s="4">
        <f>styczeń_saldo[[#This Row],[Saldo początkowe]]+styczeń_saldo[[#This Row],[Operacje]]</f>
        <v>-175</v>
      </c>
    </row>
    <row r="3" spans="1:5" x14ac:dyDescent="0.25">
      <c r="A3" t="s">
        <v>7</v>
      </c>
      <c r="B3" t="s">
        <v>8</v>
      </c>
      <c r="C3" s="4">
        <v>600</v>
      </c>
      <c r="D3" s="4">
        <f>SUMIFS(Operacje[Kwota],Operacje[Bank],styczeń_saldo[[#This Row],[Bank]],Operacje[Produkt],styczeń_saldo[[#This Row],[Produkt]],Operacje[Miesiąc],$B$11)</f>
        <v>1100</v>
      </c>
      <c r="E3" s="4">
        <f>styczeń_saldo[[#This Row],[Saldo początkowe]]+styczeń_saldo[[#This Row],[Operacje]]</f>
        <v>1700</v>
      </c>
    </row>
    <row r="4" spans="1:5" x14ac:dyDescent="0.25">
      <c r="A4" t="s">
        <v>7</v>
      </c>
      <c r="B4" t="s">
        <v>18</v>
      </c>
      <c r="C4" s="4">
        <v>2000</v>
      </c>
      <c r="D4" s="4">
        <f>SUMIFS(Operacje[Kwota],Operacje[Bank],styczeń_saldo[[#This Row],[Bank]],Operacje[Produkt],styczeń_saldo[[#This Row],[Produkt]],Operacje[Miesiąc],$B$11)</f>
        <v>-400</v>
      </c>
      <c r="E4" s="4">
        <f>styczeń_saldo[[#This Row],[Saldo początkowe]]+styczeń_saldo[[#This Row],[Operacje]]</f>
        <v>1600</v>
      </c>
    </row>
    <row r="5" spans="1:5" x14ac:dyDescent="0.25">
      <c r="A5" t="s">
        <v>14</v>
      </c>
      <c r="B5" t="s">
        <v>8</v>
      </c>
      <c r="C5" s="4">
        <v>100</v>
      </c>
      <c r="D5" s="4">
        <f>SUMIFS(Operacje[Kwota],Operacje[Bank],styczeń_saldo[[#This Row],[Bank]],Operacje[Produkt],styczeń_saldo[[#This Row],[Produkt]],Operacje[Miesiąc],$B$11)</f>
        <v>-35</v>
      </c>
      <c r="E5" s="4">
        <f>styczeń_saldo[[#This Row],[Saldo początkowe]]+styczeń_saldo[[#This Row],[Operacje]]</f>
        <v>65</v>
      </c>
    </row>
    <row r="6" spans="1:5" x14ac:dyDescent="0.25">
      <c r="A6" t="s">
        <v>14</v>
      </c>
      <c r="B6" t="s">
        <v>20</v>
      </c>
      <c r="C6" s="4">
        <v>10.5</v>
      </c>
      <c r="D6" s="4">
        <f>SUMIFS(Operacje[Kwota],Operacje[Bank],styczeń_saldo[[#This Row],[Bank]],Operacje[Produkt],styczeń_saldo[[#This Row],[Produkt]],Operacje[Miesiąc],$B$11)</f>
        <v>255.5</v>
      </c>
      <c r="E6" s="4">
        <f>styczeń_saldo[[#This Row],[Saldo początkowe]]+styczeń_saldo[[#This Row],[Operacje]]</f>
        <v>266</v>
      </c>
    </row>
    <row r="7" spans="1:5" x14ac:dyDescent="0.25">
      <c r="A7" t="s">
        <v>26</v>
      </c>
      <c r="B7" t="s">
        <v>27</v>
      </c>
      <c r="C7" s="4">
        <v>200</v>
      </c>
      <c r="D7" s="4">
        <f>SUMIFS(Operacje[Kwota],Operacje[Bank],styczeń_saldo[[#This Row],[Bank]],Operacje[Produkt],styczeń_saldo[[#This Row],[Produkt]],Operacje[Miesiąc],$B$11)</f>
        <v>-50</v>
      </c>
      <c r="E7" s="4">
        <f>styczeń_saldo[[#This Row],[Saldo początkowe]]+styczeń_saldo[[#This Row],[Operacje]]</f>
        <v>150</v>
      </c>
    </row>
    <row r="8" spans="1:5" x14ac:dyDescent="0.25">
      <c r="A8" t="s">
        <v>26</v>
      </c>
      <c r="B8" t="s">
        <v>28</v>
      </c>
      <c r="C8" s="4">
        <v>30</v>
      </c>
      <c r="D8" s="4">
        <f>SUMIFS(Operacje[Kwota],Operacje[Bank],styczeń_saldo[[#This Row],[Bank]],Operacje[Produkt],styczeń_saldo[[#This Row],[Produkt]],Operacje[Miesiąc],$B$11)</f>
        <v>150</v>
      </c>
      <c r="E8" s="4">
        <f>styczeń_saldo[[#This Row],[Saldo początkowe]]+styczeń_saldo[[#This Row],[Operacje]]</f>
        <v>180</v>
      </c>
    </row>
    <row r="9" spans="1:5" x14ac:dyDescent="0.25">
      <c r="A9" t="s">
        <v>38</v>
      </c>
      <c r="C9" s="4">
        <f>SUBTOTAL(109,styczeń_saldo[Saldo początkowe])</f>
        <v>2940.5</v>
      </c>
      <c r="D9" s="4">
        <f>SUBTOTAL(109,styczeń_saldo[Operacje])</f>
        <v>845.5</v>
      </c>
      <c r="E9" s="4">
        <f>SUBTOTAL(109,styczeń_saldo[Saldo końcowe])</f>
        <v>3786</v>
      </c>
    </row>
    <row r="11" spans="1:5" x14ac:dyDescent="0.25">
      <c r="A11" t="s">
        <v>6</v>
      </c>
      <c r="B11">
        <v>1</v>
      </c>
      <c r="C11" t="str">
        <f>TEXT(DATE(2025,B11,1),"mmmm")</f>
        <v>styczeń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SUMIFS(Operacje[Kwota],Operacje[Kategoria],$A14,Operacje[Miesiąc],styczeń!$B$11)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SUMIFS(Operacje[Kwota],Operacje[Kategoria],$A16,Operacje[Miesiąc],styczeń!$B$11)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SUMIFS(Operacje[Kwota],Operacje[Kategoria],$A17,Operacje[Miesiąc],styczeń!$B$11)</f>
        <v>105.5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SUMIFS(Operacje[Kwota],Operacje[Kategoria],$A18,Operacje[Miesiąc],styczeń!$B$11)</f>
        <v>250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SUMIFS(Operacje[Kwota],Operacje[Kategoria],$A19,Operacje[Miesiąc],styczeń!$B$11)</f>
        <v>800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SUMIFS(Operacje[Kwota],Operacje[Kategoria],$A20,Operacje[Miesiąc],styczeń!$B$11)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SUMIFS(Operacje[Kwota],Operacje[Kategoria],$A21,Operacje[Miesiąc],styczeń!$B$11)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5655.5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SUMIFS(Operacje[Kwota],Operacje[Kategoria],$A23,Operacje[Miesiąc],styczeń!$B$11)</f>
        <v>-1715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SUMIFS(Operacje[Kwota],Operacje[Kategoria],$A24,Operacje[Miesiąc],styczeń!$B$11)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SUMIFS(Operacje[Kwota],Operacje[Kategoria],$A25,Operacje[Miesiąc],styczeń!$B$11)</f>
        <v>-80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SUMIFS(Operacje[Kwota],Operacje[Kategoria],$A26,Operacje[Miesiąc],styczeń!$B$11)</f>
        <v>-500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SUMIFS(Operacje[Kwota],Operacje[Kategoria],$A27,Operacje[Miesiąc],styczeń!$B$11)</f>
        <v>-85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SUMIFS(Operacje[Kwota],Operacje[Kategoria],$A28,Operacje[Miesiąc],styczeń!$B$11)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SUMIFS(Operacje[Kwota],Operacje[Kategoria],$A29,Operacje[Miesiąc],styczeń!$B$11)</f>
        <v>-150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SUMIFS(Operacje[Kwota],Operacje[Kategoria],$A30,Operacje[Miesiąc],styczeń!$B$11)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SUMIFS(Operacje[Kwota],Operacje[Kategoria],$A31,Operacje[Miesiąc],styczeń!$B$11)</f>
        <v>-100</v>
      </c>
    </row>
    <row r="32" spans="1:3" outlineLevel="1" x14ac:dyDescent="0.25">
      <c r="B32" s="7" t="s">
        <v>41</v>
      </c>
      <c r="C32">
        <f>SUBTOTAL(9,C23:C31)</f>
        <v>-4810</v>
      </c>
    </row>
    <row r="33" spans="2:3" x14ac:dyDescent="0.25">
      <c r="B33" s="7" t="s">
        <v>42</v>
      </c>
      <c r="C33">
        <f>SUBTOTAL(9,C14:C31)</f>
        <v>845.5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101-C772-42D1-B4F3-499D76FC79D3}">
  <dimension ref="A1:E33"/>
  <sheetViews>
    <sheetView zoomScale="160" zoomScaleNormal="160" workbookViewId="0">
      <selection activeCell="C3" sqref="C3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-175</v>
      </c>
      <c r="D2" s="4">
        <f>SUMIFS(Operacje[Kwota],Operacje[Bank],luty_saldo[[#This Row],[Bank]],Operacje[Produkt],luty_saldo[[#This Row],[Produkt]],Operacje[Miesiąc],$B$11)</f>
        <v>175</v>
      </c>
      <c r="E2" s="4">
        <f ca="1">luty_saldo[[#This Row],[Saldo początkowe]]+luty_saldo[[#This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1700</v>
      </c>
      <c r="D3" s="4">
        <f>SUMIFS(Operacje[Kwota],Operacje[Bank],luty_saldo[[#This Row],[Bank]],Operacje[Produkt],luty_saldo[[#This Row],[Produkt]],Operacje[Miesiąc],$B$11)</f>
        <v>2039.5</v>
      </c>
      <c r="E3" s="4">
        <f ca="1">luty_saldo[[#This Row],[Saldo początkowe]]+luty_saldo[[#This Row],[Operacje]]</f>
        <v>3739.5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1600</v>
      </c>
      <c r="D4" s="4">
        <f>SUMIFS(Operacje[Kwota],Operacje[Bank],luty_saldo[[#This Row],[Bank]],Operacje[Produkt],luty_saldo[[#This Row],[Produkt]],Operacje[Miesiąc],$B$11)</f>
        <v>-400</v>
      </c>
      <c r="E4" s="4">
        <f ca="1">luty_saldo[[#This Row],[Saldo początkowe]]+luty_saldo[[#This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65</v>
      </c>
      <c r="D5" s="4">
        <f>SUMIFS(Operacje[Kwota],Operacje[Bank],luty_saldo[[#This Row],[Bank]],Operacje[Produkt],luty_saldo[[#This Row],[Produkt]],Operacje[Miesiąc],$B$11)</f>
        <v>35</v>
      </c>
      <c r="E5" s="4">
        <f ca="1">luty_saldo[[#This Row],[Saldo początkowe]]+luty_saldo[[#This Row],[Operacje]]</f>
        <v>100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266</v>
      </c>
      <c r="D6" s="4">
        <f>SUMIFS(Operacje[Kwota],Operacje[Bank],luty_saldo[[#This Row],[Bank]],Operacje[Produkt],luty_saldo[[#This Row],[Produkt]],Operacje[Miesiąc],$B$11)</f>
        <v>15</v>
      </c>
      <c r="E6" s="4">
        <f ca="1">luty_saldo[[#This Row],[Saldo początkowe]]+luty_saldo[[#This Row],[Operacje]]</f>
        <v>281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150</v>
      </c>
      <c r="D7" s="4">
        <f>SUMIFS(Operacje[Kwota],Operacje[Bank],luty_saldo[[#This Row],[Bank]],Operacje[Produkt],luty_saldo[[#This Row],[Produkt]],Operacje[Miesiąc],$B$11)</f>
        <v>100</v>
      </c>
      <c r="E7" s="4">
        <f ca="1">luty_saldo[[#This Row],[Saldo początkowe]]+luty_saldo[[#This Row],[Operacje]]</f>
        <v>250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180</v>
      </c>
      <c r="D8" s="4">
        <f>SUMIFS(Operacje[Kwota],Operacje[Bank],luty_saldo[[#This Row],[Bank]],Operacje[Produkt],luty_saldo[[#This Row],[Produkt]],Operacje[Miesiąc],$B$11)</f>
        <v>500</v>
      </c>
      <c r="E8" s="4">
        <f ca="1">luty_saldo[[#This Row],[Saldo początkowe]]+luty_saldo[[#This Row],[Operacje]]</f>
        <v>680</v>
      </c>
    </row>
    <row r="9" spans="1:5" x14ac:dyDescent="0.25">
      <c r="A9" t="s">
        <v>38</v>
      </c>
      <c r="C9" s="4">
        <f ca="1">SUBTOTAL(109,luty_saldo[Saldo początkowe])</f>
        <v>3786</v>
      </c>
      <c r="D9" s="4">
        <f>SUBTOTAL(109,luty_saldo[Operacje])</f>
        <v>2464.5</v>
      </c>
      <c r="E9" s="4">
        <f ca="1">SUBTOTAL(109,luty_saldo[Saldo końcowe])</f>
        <v>6250.5</v>
      </c>
    </row>
    <row r="11" spans="1:5" x14ac:dyDescent="0.25">
      <c r="A11" t="s">
        <v>6</v>
      </c>
      <c r="B11">
        <v>2</v>
      </c>
      <c r="C11" t="str">
        <f>TEXT(DATE(2025,B11,1),"mmmm")</f>
        <v>luty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SUMIFS(Operacje[Kwota],Operacje[Kategoria],$A14,Operacje[Miesiąc],luty!$B$11)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SUMIFS(Operacje[Kwota],Operacje[Kategoria],$A16,Operacje[Miesiąc],luty!$B$11)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SUMIFS(Operacje[Kwota],Operacje[Kategoria],$A17,Operacje[Miesiąc],luty!$B$11)</f>
        <v>115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SUMIFS(Operacje[Kwota],Operacje[Kategoria],$A18,Operacje[Miesiąc],luty!$B$11)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SUMIFS(Operacje[Kwota],Operacje[Kategoria],$A19,Operacje[Miesiąc],luty!$B$11)</f>
        <v>1950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SUMIFS(Operacje[Kwota],Operacje[Kategoria],$A20,Operacje[Miesiąc],luty!$B$11)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SUMIFS(Operacje[Kwota],Operacje[Kategoria],$A21,Operacje[Miesiąc],luty!$B$11)</f>
        <v>4500</v>
      </c>
    </row>
    <row r="22" spans="1:3" outlineLevel="1" x14ac:dyDescent="0.25">
      <c r="A22" s="5"/>
      <c r="B22" s="6" t="s">
        <v>40</v>
      </c>
      <c r="C22" s="5">
        <f>SUBTOTAL(9,C16:C21)</f>
        <v>6565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SUMIFS(Operacje[Kwota],Operacje[Kategoria],$A23,Operacje[Miesiąc],luty!$B$11)</f>
        <v>-405.5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SUMIFS(Operacje[Kwota],Operacje[Kategoria],$A24,Operacje[Miesiąc],luty!$B$11)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SUMIFS(Operacje[Kwota],Operacje[Kategoria],$A25,Operacje[Miesiąc],luty!$B$11)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SUMIFS(Operacje[Kwota],Operacje[Kategoria],$A26,Operacje[Miesiąc],luty!$B$11)</f>
        <v>-765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SUMIFS(Operacje[Kwota],Operacje[Kategoria],$A27,Operacje[Miesiąc],luty!$B$11)</f>
        <v>-350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SUMIFS(Operacje[Kwota],Operacje[Kategoria],$A28,Operacje[Miesiąc],luty!$B$11)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SUMIFS(Operacje[Kwota],Operacje[Kategoria],$A29,Operacje[Miesiąc],luty!$B$11)</f>
        <v>-150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SUMIFS(Operacje[Kwota],Operacje[Kategoria],$A30,Operacje[Miesiąc],luty!$B$11)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SUMIFS(Operacje[Kwota],Operacje[Kategoria],$A31,Operacje[Miesiąc],luty!$B$11)</f>
        <v>-250</v>
      </c>
    </row>
    <row r="32" spans="1:3" outlineLevel="1" x14ac:dyDescent="0.25">
      <c r="B32" s="7" t="s">
        <v>41</v>
      </c>
      <c r="C32">
        <f>SUBTOTAL(9,C23:C31)</f>
        <v>-4100.5</v>
      </c>
    </row>
    <row r="33" spans="2:3" x14ac:dyDescent="0.25">
      <c r="B33" s="7" t="s">
        <v>42</v>
      </c>
      <c r="C33">
        <f>SUBTOTAL(9,C14:C31)</f>
        <v>2464.5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9D5D-DD97-4850-BA80-9AD5C0DBF0FC}">
  <dimension ref="A1:E33"/>
  <sheetViews>
    <sheetView zoomScale="160" zoomScaleNormal="160" workbookViewId="0">
      <selection activeCell="G15" sqref="G15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0</v>
      </c>
      <c r="D2" s="4">
        <f>SUMIFS(Operacje[Kwota],Operacje[Bank],marzec_saldo[[#This Row],[Bank]],Operacje[Produkt],marzec_saldo[[#This Row],[Produkt]],Operacje[Miesiąc],$B$11)</f>
        <v>-104.5</v>
      </c>
      <c r="E2" s="4">
        <f ca="1">marzec_saldo[[#This Row],[Saldo początkowe]]+marzec_saldo[[#This Row],[Operacje]]</f>
        <v>-104.5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3739.5</v>
      </c>
      <c r="D3" s="4">
        <f>SUMIFS(Operacje[Kwota],Operacje[Bank],marzec_saldo[[#This Row],[Bank]],Operacje[Produkt],marzec_saldo[[#This Row],[Produkt]],Operacje[Miesiąc],$B$11)</f>
        <v>821.59999999999991</v>
      </c>
      <c r="E3" s="4">
        <f ca="1">marzec_saldo[[#This Row],[Saldo początkowe]]+marzec_saldo[[#This Row],[Operacje]]</f>
        <v>4561.1000000000004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SUMIFS(Operacje[Kwota],Operacje[Bank],marzec_saldo[[#This Row],[Bank]],Operacje[Produkt],marzec_saldo[[#This Row],[Produkt]],Operacje[Miesiąc],$B$11)</f>
        <v>0</v>
      </c>
      <c r="E4" s="4">
        <f ca="1">marzec_saldo[[#This Row],[Saldo początkowe]]+marzec_saldo[[#This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100</v>
      </c>
      <c r="D5" s="4">
        <f>SUMIFS(Operacje[Kwota],Operacje[Bank],marzec_saldo[[#This Row],[Bank]],Operacje[Produkt],marzec_saldo[[#This Row],[Produkt]],Operacje[Miesiąc],$B$11)</f>
        <v>67.5</v>
      </c>
      <c r="E5" s="4">
        <f ca="1">marzec_saldo[[#This Row],[Saldo początkowe]]+marzec_saldo[[#This Row],[Operacje]]</f>
        <v>167.5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281</v>
      </c>
      <c r="D6" s="4">
        <f>SUMIFS(Operacje[Kwota],Operacje[Bank],marzec_saldo[[#This Row],[Bank]],Operacje[Produkt],marzec_saldo[[#This Row],[Produkt]],Operacje[Miesiąc],$B$11)</f>
        <v>5</v>
      </c>
      <c r="E6" s="4">
        <f ca="1">marzec_saldo[[#This Row],[Saldo początkowe]]+marzec_saldo[[#This Row],[Operacje]]</f>
        <v>286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250</v>
      </c>
      <c r="D7" s="4">
        <f>SUMIFS(Operacje[Kwota],Operacje[Bank],marzec_saldo[[#This Row],[Bank]],Operacje[Produkt],marzec_saldo[[#This Row],[Produkt]],Operacje[Miesiąc],$B$11)</f>
        <v>-24.49</v>
      </c>
      <c r="E7" s="4">
        <f ca="1">marzec_saldo[[#This Row],[Saldo początkowe]]+marzec_saldo[[#This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680</v>
      </c>
      <c r="D8" s="4">
        <f>SUMIFS(Operacje[Kwota],Operacje[Bank],marzec_saldo[[#This Row],[Bank]],Operacje[Produkt],marzec_saldo[[#This Row],[Produkt]],Operacje[Miesiąc],$B$11)</f>
        <v>-9.5</v>
      </c>
      <c r="E8" s="4">
        <f ca="1">marzec_saldo[[#This Row],[Saldo początkowe]]+marzec_saldo[[#This Row],[Operacje]]</f>
        <v>670.5</v>
      </c>
    </row>
    <row r="9" spans="1:5" x14ac:dyDescent="0.25">
      <c r="A9" t="s">
        <v>38</v>
      </c>
      <c r="C9" s="4">
        <f ca="1">SUBTOTAL(109,marzec_saldo[Saldo początkowe])</f>
        <v>6250.5</v>
      </c>
      <c r="D9" s="4">
        <f>SUBTOTAL(109,marzec_saldo[Operacje])</f>
        <v>755.6099999999999</v>
      </c>
      <c r="E9" s="4">
        <f ca="1">SUBTOTAL(109,marzec_saldo[Saldo końcowe])</f>
        <v>7006.1100000000006</v>
      </c>
    </row>
    <row r="11" spans="1:5" x14ac:dyDescent="0.25">
      <c r="A11" t="s">
        <v>6</v>
      </c>
      <c r="B11">
        <v>3</v>
      </c>
      <c r="C11" t="str">
        <f>TEXT(DATE(2025,B11,1),"mmmm")</f>
        <v>marzec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SUMIFS(Operacje[Kwota],Operacje[Kategoria],$A14,Operacje[Miesiąc],marzec!$B$11)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SUMIFS(Operacje[Kwota],Operacje[Kategoria],$A16,Operacje[Miesiąc],marzec!$B$11)</f>
        <v>5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SUMIFS(Operacje[Kwota],Operacje[Kategoria],$A17,Operacje[Miesiąc],marzec!$B$11)</f>
        <v>150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SUMIFS(Operacje[Kwota],Operacje[Kategoria],$A18,Operacje[Miesiąc],marzec!$B$11)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SUMIFS(Operacje[Kwota],Operacje[Kategoria],$A19,Operacje[Miesiąc],marzec!$B$11)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SUMIFS(Operacje[Kwota],Operacje[Kategoria],$A20,Operacje[Miesiąc],marzec!$B$11)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SUMIFS(Operacje[Kwota],Operacje[Kategoria],$A21,Operacje[Miesiąc],marzec!$B$11)</f>
        <v>4500</v>
      </c>
    </row>
    <row r="22" spans="1:3" outlineLevel="1" x14ac:dyDescent="0.25">
      <c r="A22" s="5"/>
      <c r="B22" s="6" t="s">
        <v>40</v>
      </c>
      <c r="C22" s="5">
        <f>SUBTOTAL(9,C16:C21)</f>
        <v>4655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SUMIFS(Operacje[Kwota],Operacje[Kategoria],$A23,Operacje[Miesiąc],marzec!$B$11)</f>
        <v>-734.99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SUMIFS(Operacje[Kwota],Operacje[Kategoria],$A24,Operacje[Miesiąc],marzec!$B$11)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SUMIFS(Operacje[Kwota],Operacje[Kategoria],$A25,Operacje[Miesiąc],marzec!$B$11)</f>
        <v>-469.9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SUMIFS(Operacje[Kwota],Operacje[Kategoria],$A26,Operacje[Miesiąc],marzec!$B$11)</f>
        <v>-300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SUMIFS(Operacje[Kwota],Operacje[Kategoria],$A27,Operacje[Miesiąc],marzec!$B$11)</f>
        <v>-200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SUMIFS(Operacje[Kwota],Operacje[Kategoria],$A28,Operacje[Miesiąc],marzec!$B$11)</f>
        <v>-79.5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SUMIFS(Operacje[Kwota],Operacje[Kategoria],$A29,Operacje[Miesiąc],marzec!$B$11)</f>
        <v>-23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SUMIFS(Operacje[Kwota],Operacje[Kategoria],$A30,Operacje[Miesiąc],marzec!$B$11)</f>
        <v>-82.5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SUMIFS(Operacje[Kwota],Operacje[Kategoria],$A31,Operacje[Miesiąc],marzec!$B$11)</f>
        <v>-9.5</v>
      </c>
    </row>
    <row r="32" spans="1:3" outlineLevel="1" x14ac:dyDescent="0.25">
      <c r="B32" s="7" t="s">
        <v>41</v>
      </c>
      <c r="C32">
        <f>SUBTOTAL(9,C23:C31)</f>
        <v>-3899.39</v>
      </c>
    </row>
    <row r="33" spans="2:3" x14ac:dyDescent="0.25">
      <c r="B33" s="7" t="s">
        <v>42</v>
      </c>
      <c r="C33">
        <f>SUBTOTAL(9,C14:C31)</f>
        <v>755.61000000000013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0808-6F4E-4856-BC0F-D36A39F744A1}">
  <dimension ref="A1:E33"/>
  <sheetViews>
    <sheetView zoomScale="160" zoomScaleNormal="160" workbookViewId="0">
      <selection activeCell="E2" sqref="E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-104.5</v>
      </c>
      <c r="D2" s="4">
        <f>SUMIFS(Operacje[Kwota],Operacje[Bank],kwiecień_saldo[[#This Row],[Bank]],Operacje[Produkt],kwiecień_saldo[[#This Row],[Produkt]],Operacje[Miesiąc],$B$11)</f>
        <v>13.110000000000007</v>
      </c>
      <c r="E2" s="4">
        <f ca="1">kwiecień_saldo[[#This Row],[Saldo początkowe]]+kwiecień_saldo[[#This Row],[Operacje]]</f>
        <v>-91.389999999999986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4561.1000000000004</v>
      </c>
      <c r="D3" s="4">
        <f>SUMIFS(Operacje[Kwota],Operacje[Bank],kwiecień_saldo[[#This Row],[Bank]],Operacje[Produkt],kwiecień_saldo[[#This Row],[Produkt]],Operacje[Miesiąc],$B$11)</f>
        <v>562.72999999999968</v>
      </c>
      <c r="E3" s="4">
        <f ca="1">kwiecień_saldo[[#This Row],[Saldo początkowe]]+kwiecień_saldo[[#This Row],[Operacje]]</f>
        <v>5123.83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SUMIFS(Operacje[Kwota],Operacje[Bank],kwiecień_saldo[[#This Row],[Bank]],Operacje[Produkt],kwiecień_saldo[[#This Row],[Produkt]],Operacje[Miesiąc],$B$11)</f>
        <v>0</v>
      </c>
      <c r="E4" s="4">
        <f ca="1">kwiecień_saldo[[#This Row],[Saldo początkowe]]+kwiecień_saldo[[#This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167.5</v>
      </c>
      <c r="D5" s="4">
        <f>SUMIFS(Operacje[Kwota],Operacje[Bank],kwiecień_saldo[[#This Row],[Bank]],Operacje[Produkt],kwiecień_saldo[[#This Row],[Produkt]],Operacje[Miesiąc],$B$11)</f>
        <v>101</v>
      </c>
      <c r="E5" s="4">
        <f ca="1">kwiecień_saldo[[#This Row],[Saldo początkowe]]+kwiecień_saldo[[#This Row],[Operacje]]</f>
        <v>268.5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286</v>
      </c>
      <c r="D6" s="4">
        <f>SUMIFS(Operacje[Kwota],Operacje[Bank],kwiecień_saldo[[#This Row],[Bank]],Operacje[Produkt],kwiecień_saldo[[#This Row],[Produkt]],Operacje[Miesiąc],$B$11)</f>
        <v>50</v>
      </c>
      <c r="E6" s="4">
        <f ca="1">kwiecień_saldo[[#This Row],[Saldo początkowe]]+kwiecień_saldo[[#This Row],[Operacje]]</f>
        <v>336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SUMIFS(Operacje[Kwota],Operacje[Bank],kwiecień_saldo[[#This Row],[Bank]],Operacje[Produkt],kwiecień_saldo[[#This Row],[Produkt]],Operacje[Miesiąc],$B$11)</f>
        <v>0</v>
      </c>
      <c r="E7" s="4">
        <f ca="1">kwiecień_saldo[[#This Row],[Saldo początkowe]]+kwiecień_saldo[[#This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670.5</v>
      </c>
      <c r="D8" s="4">
        <f>SUMIFS(Operacje[Kwota],Operacje[Bank],kwiecień_saldo[[#This Row],[Bank]],Operacje[Produkt],kwiecień_saldo[[#This Row],[Produkt]],Operacje[Miesiąc],$B$11)</f>
        <v>0</v>
      </c>
      <c r="E8" s="4">
        <f ca="1">kwiecień_saldo[[#This Row],[Saldo początkowe]]+kwiecień_saldo[[#This Row],[Operacje]]</f>
        <v>670.5</v>
      </c>
    </row>
    <row r="9" spans="1:5" x14ac:dyDescent="0.25">
      <c r="A9" t="s">
        <v>38</v>
      </c>
      <c r="C9" s="4">
        <f ca="1">SUBTOTAL(109,kwiecień_saldo[Saldo początkowe])</f>
        <v>7006.1100000000006</v>
      </c>
      <c r="D9" s="4">
        <f>SUBTOTAL(109,kwiecień_saldo[Operacje])</f>
        <v>726.83999999999969</v>
      </c>
      <c r="E9" s="4">
        <f ca="1">SUBTOTAL(109,kwiecień_saldo[Saldo końcowe])</f>
        <v>7732.95</v>
      </c>
    </row>
    <row r="11" spans="1:5" x14ac:dyDescent="0.25">
      <c r="A11" t="s">
        <v>6</v>
      </c>
      <c r="B11">
        <v>4</v>
      </c>
      <c r="C11" t="str">
        <f>TEXT(DATE(2025,B11,1),"mmmm")</f>
        <v>kwiecień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SUMIFS(Operacje[Kwota],Operacje[Kategoria],$A14,Operacje[Miesiąc],kwiecień!$B$11)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SUMIFS(Operacje[Kwota],Operacje[Kategoria],$A16,Operacje[Miesiąc],kwiecień!$B$11)</f>
        <v>50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SUMIFS(Operacje[Kwota],Operacje[Kategoria],$A17,Operacje[Miesiąc],kwiecień!$B$11)</f>
        <v>150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SUMIFS(Operacje[Kwota],Operacje[Kategoria],$A18,Operacje[Miesiąc],kwiecień!$B$11)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SUMIFS(Operacje[Kwota],Operacje[Kategoria],$A19,Operacje[Miesiąc],kwiecień!$B$11)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SUMIFS(Operacje[Kwota],Operacje[Kategoria],$A20,Operacje[Miesiąc],kwiecień!$B$11)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SUMIFS(Operacje[Kwota],Operacje[Kategoria],$A21,Operacje[Miesiąc],kwiecień!$B$11)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4700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SUMIFS(Operacje[Kwota],Operacje[Kategoria],$A23,Operacje[Miesiąc],kwiecień!$B$11)</f>
        <v>-372.26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SUMIFS(Operacje[Kwota],Operacje[Kategoria],$A24,Operacje[Miesiąc],kwiecień!$B$11)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SUMIFS(Operacje[Kwota],Operacje[Kategoria],$A25,Operacje[Miesiąc],kwiecień!$B$11)</f>
        <v>-149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SUMIFS(Operacje[Kwota],Operacje[Kategoria],$A26,Operacje[Miesiąc],kwiecień!$B$11)</f>
        <v>-100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SUMIFS(Operacje[Kwota],Operacje[Kategoria],$A27,Operacje[Miesiąc],kwiecień!$B$11)</f>
        <v>-1057.9000000000001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SUMIFS(Operacje[Kwota],Operacje[Kategoria],$A28,Operacje[Miesiąc],kwiecień!$B$11)</f>
        <v>-139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SUMIFS(Operacje[Kwota],Operacje[Kategoria],$A29,Operacje[Miesiąc],kwiecień!$B$11)</f>
        <v>-49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SUMIFS(Operacje[Kwota],Operacje[Kategoria],$A30,Operacje[Miesiąc],kwiecień!$B$11)</f>
        <v>-82.5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SUMIFS(Operacje[Kwota],Operacje[Kategoria],$A31,Operacje[Miesiąc],kwiecień!$B$11)</f>
        <v>-23.5</v>
      </c>
    </row>
    <row r="32" spans="1:3" outlineLevel="1" x14ac:dyDescent="0.25">
      <c r="B32" s="7" t="s">
        <v>41</v>
      </c>
      <c r="C32">
        <f>SUBTOTAL(9,C23:C31)</f>
        <v>-3973.1600000000003</v>
      </c>
    </row>
    <row r="33" spans="2:3" x14ac:dyDescent="0.25">
      <c r="B33" s="7" t="s">
        <v>42</v>
      </c>
      <c r="C33">
        <f>SUBTOTAL(9,C14:C31)</f>
        <v>726.83999999999969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BBA8-8653-44FC-BBAD-C0EDC7BCF232}">
  <dimension ref="A1:E33"/>
  <sheetViews>
    <sheetView zoomScale="160" zoomScaleNormal="160"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-91.389999999999986</v>
      </c>
      <c r="D2" s="4">
        <f>SUMIFS(Operacje[Kwota],Operacje[Bank],maj_saldo[[#This Row],[Bank]],Operacje[Produkt],maj_saldo[[#This Row],[Produkt]],Operacje[Miesiąc],$B$11)</f>
        <v>-908.61</v>
      </c>
      <c r="E2" s="4">
        <f ca="1">maj_saldo[[#This Row],[Saldo początkowe]]+maj_saldo[[#This Row],[Operacje]]</f>
        <v>-1000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5123.83</v>
      </c>
      <c r="D3" s="4">
        <f>SUMIFS(Operacje[Kwota],Operacje[Bank],maj_saldo[[#This Row],[Bank]],Operacje[Produkt],maj_saldo[[#This Row],[Produkt]],Operacje[Miesiąc],$B$11)</f>
        <v>2328.61</v>
      </c>
      <c r="E3" s="4">
        <f ca="1">maj_saldo[[#This Row],[Saldo początkowe]]+maj_saldo[[#This Row],[Operacje]]</f>
        <v>7452.4400000000005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SUMIFS(Operacje[Kwota],Operacje[Bank],maj_saldo[[#This Row],[Bank]],Operacje[Produkt],maj_saldo[[#This Row],[Produkt]],Operacje[Miesiąc],$B$11)</f>
        <v>0</v>
      </c>
      <c r="E4" s="4">
        <f ca="1">maj_saldo[[#This Row],[Saldo początkowe]]+maj_saldo[[#This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268.5</v>
      </c>
      <c r="D5" s="4">
        <f>SUMIFS(Operacje[Kwota],Operacje[Bank],maj_saldo[[#This Row],[Bank]],Operacje[Produkt],maj_saldo[[#This Row],[Produkt]],Operacje[Miesiąc],$B$11)</f>
        <v>-50</v>
      </c>
      <c r="E5" s="4">
        <f ca="1">maj_saldo[[#This Row],[Saldo początkowe]]+maj_saldo[[#This Row],[Operacje]]</f>
        <v>218.5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336</v>
      </c>
      <c r="D6" s="4">
        <f>SUMIFS(Operacje[Kwota],Operacje[Bank],maj_saldo[[#This Row],[Bank]],Operacje[Produkt],maj_saldo[[#This Row],[Produkt]],Operacje[Miesiąc],$B$11)</f>
        <v>0</v>
      </c>
      <c r="E6" s="4">
        <f ca="1">maj_saldo[[#This Row],[Saldo początkowe]]+maj_saldo[[#This Row],[Operacje]]</f>
        <v>336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SUMIFS(Operacje[Kwota],Operacje[Bank],maj_saldo[[#This Row],[Bank]],Operacje[Produkt],maj_saldo[[#This Row],[Produkt]],Operacje[Miesiąc],$B$11)</f>
        <v>0</v>
      </c>
      <c r="E7" s="4">
        <f ca="1">maj_saldo[[#This Row],[Saldo początkowe]]+maj_saldo[[#This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670.5</v>
      </c>
      <c r="D8" s="4">
        <f>SUMIFS(Operacje[Kwota],Operacje[Bank],maj_saldo[[#This Row],[Bank]],Operacje[Produkt],maj_saldo[[#This Row],[Produkt]],Operacje[Miesiąc],$B$11)</f>
        <v>-80</v>
      </c>
      <c r="E8" s="4">
        <f ca="1">maj_saldo[[#This Row],[Saldo początkowe]]+maj_saldo[[#This Row],[Operacje]]</f>
        <v>590.5</v>
      </c>
    </row>
    <row r="9" spans="1:5" x14ac:dyDescent="0.25">
      <c r="A9" t="s">
        <v>38</v>
      </c>
      <c r="C9" s="4">
        <f ca="1">SUBTOTAL(109,maj_saldo[Saldo początkowe])</f>
        <v>7732.95</v>
      </c>
      <c r="D9" s="4">
        <f>SUBTOTAL(109,maj_saldo[Operacje])</f>
        <v>1290</v>
      </c>
      <c r="E9" s="4">
        <f ca="1">SUBTOTAL(109,maj_saldo[Saldo końcowe])</f>
        <v>9022.9500000000007</v>
      </c>
    </row>
    <row r="11" spans="1:5" x14ac:dyDescent="0.25">
      <c r="A11" t="s">
        <v>6</v>
      </c>
      <c r="B11">
        <v>5</v>
      </c>
      <c r="C11" t="str">
        <f>TEXT(DATE(2025,B11,1),"mmmm")</f>
        <v>maj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SUMIFS(Operacje[Kwota],Operacje[Kategoria],$A14,Operacje[Miesiąc],maj!$B$11)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SUMIFS(Operacje[Kwota],Operacje[Kategoria],$A16,Operacje[Miesiąc],maj!$B$11)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SUMIFS(Operacje[Kwota],Operacje[Kategoria],$A17,Operacje[Miesiąc],maj!$B$11)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SUMIFS(Operacje[Kwota],Operacje[Kategoria],$A18,Operacje[Miesiąc],maj!$B$11)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SUMIFS(Operacje[Kwota],Operacje[Kategoria],$A19,Operacje[Miesiąc],maj!$B$11)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SUMIFS(Operacje[Kwota],Operacje[Kategoria],$A20,Operacje[Miesiąc],maj!$B$11)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SUMIFS(Operacje[Kwota],Operacje[Kategoria],$A21,Operacje[Miesiąc],maj!$B$11)</f>
        <v>4500</v>
      </c>
    </row>
    <row r="22" spans="1:3" outlineLevel="1" x14ac:dyDescent="0.25">
      <c r="A22" s="5"/>
      <c r="B22" s="6" t="s">
        <v>40</v>
      </c>
      <c r="C22" s="5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SUMIFS(Operacje[Kwota],Operacje[Kategoria],$A23,Operacje[Miesiąc],maj!$B$11)</f>
        <v>-1000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SUMIFS(Operacje[Kwota],Operacje[Kategoria],$A24,Operacje[Miesiąc],maj!$B$11)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SUMIFS(Operacje[Kwota],Operacje[Kategoria],$A25,Operacje[Miesiąc],maj!$B$11)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SUMIFS(Operacje[Kwota],Operacje[Kategoria],$A26,Operacje[Miesiąc],maj!$B$11)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SUMIFS(Operacje[Kwota],Operacje[Kategoria],$A27,Operacje[Miesiąc],maj!$B$11)</f>
        <v>-80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SUMIFS(Operacje[Kwota],Operacje[Kategoria],$A28,Operacje[Miesiąc],maj!$B$11)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SUMIFS(Operacje[Kwota],Operacje[Kategoria],$A29,Operacje[Miesiąc],maj!$B$11)</f>
        <v>-50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SUMIFS(Operacje[Kwota],Operacje[Kategoria],$A30,Operacje[Miesiąc],maj!$B$11)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SUMIFS(Operacje[Kwota],Operacje[Kategoria],$A31,Operacje[Miesiąc],maj!$B$11)</f>
        <v>0</v>
      </c>
    </row>
    <row r="32" spans="1:3" outlineLevel="1" x14ac:dyDescent="0.25">
      <c r="B32" s="7" t="s">
        <v>41</v>
      </c>
      <c r="C32">
        <f>SUBTOTAL(9,C23:C31)</f>
        <v>-3210</v>
      </c>
    </row>
    <row r="33" spans="2:3" x14ac:dyDescent="0.25">
      <c r="B33" s="7" t="s">
        <v>42</v>
      </c>
      <c r="C33">
        <f>SUBTOTAL(9,C14:C31)</f>
        <v>1290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88A7-FB8F-40D0-ABCA-72E49D37E810}">
  <dimension ref="A1:E33"/>
  <sheetViews>
    <sheetView zoomScale="160" zoomScaleNormal="160"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-1000</v>
      </c>
      <c r="D2" s="4">
        <f>SUMIFS(Operacje[Kwota],Operacje[Bank],czerwiec_saldo[[#This Row],[Bank]],Operacje[Produkt],czerwiec_saldo[[#This Row],[Produkt]],Operacje[Miesiąc],$B$11)</f>
        <v>-300</v>
      </c>
      <c r="E2" s="4">
        <f ca="1">czerwiec_saldo[[#This Row],[Saldo początkowe]]+czerwiec_saldo[[#This Row],[Operacje]]</f>
        <v>-1300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7452.4400000000005</v>
      </c>
      <c r="D3" s="4">
        <f>SUMIFS(Operacje[Kwota],Operacje[Bank],czerwiec_saldo[[#This Row],[Bank]],Operacje[Produkt],czerwiec_saldo[[#This Row],[Produkt]],Operacje[Miesiąc],$B$11)</f>
        <v>1420</v>
      </c>
      <c r="E3" s="4">
        <f ca="1">czerwiec_saldo[[#This Row],[Saldo początkowe]]+czerwiec_saldo[[#This Row],[Operacje]]</f>
        <v>8872.44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SUMIFS(Operacje[Kwota],Operacje[Bank],czerwiec_saldo[[#This Row],[Bank]],Operacje[Produkt],czerwiec_saldo[[#This Row],[Produkt]],Operacje[Miesiąc],$B$11)</f>
        <v>0</v>
      </c>
      <c r="E4" s="4">
        <f ca="1">czerwiec_saldo[[#This Row],[Saldo początkowe]]+czerwiec_saldo[[#This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218.5</v>
      </c>
      <c r="D5" s="4">
        <f>SUMIFS(Operacje[Kwota],Operacje[Bank],czerwiec_saldo[[#This Row],[Bank]],Operacje[Produkt],czerwiec_saldo[[#This Row],[Produkt]],Operacje[Miesiąc],$B$11)</f>
        <v>250</v>
      </c>
      <c r="E5" s="4">
        <f ca="1">czerwiec_saldo[[#This Row],[Saldo początkowe]]+czerwiec_saldo[[#This Row],[Operacje]]</f>
        <v>468.5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336</v>
      </c>
      <c r="D6" s="4">
        <f>SUMIFS(Operacje[Kwota],Operacje[Bank],czerwiec_saldo[[#This Row],[Bank]],Operacje[Produkt],czerwiec_saldo[[#This Row],[Produkt]],Operacje[Miesiąc],$B$11)</f>
        <v>0</v>
      </c>
      <c r="E6" s="4">
        <f ca="1">czerwiec_saldo[[#This Row],[Saldo początkowe]]+czerwiec_saldo[[#This Row],[Operacje]]</f>
        <v>336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SUMIFS(Operacje[Kwota],Operacje[Bank],czerwiec_saldo[[#This Row],[Bank]],Operacje[Produkt],czerwiec_saldo[[#This Row],[Produkt]],Operacje[Miesiąc],$B$11)</f>
        <v>0</v>
      </c>
      <c r="E7" s="4">
        <f ca="1">czerwiec_saldo[[#This Row],[Saldo początkowe]]+czerwiec_saldo[[#This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590.5</v>
      </c>
      <c r="D8" s="4">
        <f>SUMIFS(Operacje[Kwota],Operacje[Bank],czerwiec_saldo[[#This Row],[Bank]],Operacje[Produkt],czerwiec_saldo[[#This Row],[Produkt]],Operacje[Miesiąc],$B$11)</f>
        <v>-200</v>
      </c>
      <c r="E8" s="4">
        <f ca="1">czerwiec_saldo[[#This Row],[Saldo początkowe]]+czerwiec_saldo[[#This Row],[Operacje]]</f>
        <v>390.5</v>
      </c>
    </row>
    <row r="9" spans="1:5" x14ac:dyDescent="0.25">
      <c r="A9" t="s">
        <v>38</v>
      </c>
      <c r="C9" s="4">
        <f ca="1">SUBTOTAL(109,czerwiec_saldo[Saldo początkowe])</f>
        <v>9022.9500000000007</v>
      </c>
      <c r="D9" s="4">
        <f>SUBTOTAL(109,czerwiec_saldo[Operacje])</f>
        <v>1170</v>
      </c>
      <c r="E9" s="4">
        <f ca="1">SUBTOTAL(109,czerwiec_saldo[Saldo końcowe])</f>
        <v>10192.950000000001</v>
      </c>
    </row>
    <row r="11" spans="1:5" x14ac:dyDescent="0.25">
      <c r="A11" t="s">
        <v>6</v>
      </c>
      <c r="B11">
        <v>6</v>
      </c>
      <c r="C11" t="str">
        <f>TEXT(DATE(2025,B11,1),"mmmm")</f>
        <v>czerwiec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SUMIFS(Operacje[Kwota],Operacje[Kategoria],$A14,Operacje[Miesiąc],czerwiec!$B$11)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SUMIFS(Operacje[Kwota],Operacje[Kategoria],$A16,Operacje[Miesiąc],czerwiec!$B$11)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SUMIFS(Operacje[Kwota],Operacje[Kategoria],$A17,Operacje[Miesiąc],czerwiec!$B$11)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SUMIFS(Operacje[Kwota],Operacje[Kategoria],$A18,Operacje[Miesiąc],czerwiec!$B$11)</f>
        <v>400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SUMIFS(Operacje[Kwota],Operacje[Kategoria],$A19,Operacje[Miesiąc],czerwiec!$B$11)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SUMIFS(Operacje[Kwota],Operacje[Kategoria],$A20,Operacje[Miesiąc],czerwiec!$B$11)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SUMIFS(Operacje[Kwota],Operacje[Kategoria],$A21,Operacje[Miesiąc],czerwiec!$B$11)</f>
        <v>4500</v>
      </c>
    </row>
    <row r="22" spans="1:3" outlineLevel="1" x14ac:dyDescent="0.25">
      <c r="A22" s="5"/>
      <c r="B22" s="6" t="s">
        <v>40</v>
      </c>
      <c r="C22" s="5">
        <f>SUBTOTAL(9,C16:C21)</f>
        <v>4900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SUMIFS(Operacje[Kwota],Operacje[Kategoria],$A23,Operacje[Miesiąc],czerwiec!$B$11)</f>
        <v>-1000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SUMIFS(Operacje[Kwota],Operacje[Kategoria],$A24,Operacje[Miesiąc],czerwiec!$B$11)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SUMIFS(Operacje[Kwota],Operacje[Kategoria],$A25,Operacje[Miesiąc],czerwiec!$B$11)</f>
        <v>-300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SUMIFS(Operacje[Kwota],Operacje[Kategoria],$A26,Operacje[Miesiąc],czerwiec!$B$11)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SUMIFS(Operacje[Kwota],Operacje[Kategoria],$A27,Operacje[Miesiąc],czerwiec!$B$11)</f>
        <v>-200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SUMIFS(Operacje[Kwota],Operacje[Kategoria],$A28,Operacje[Miesiąc],czerwiec!$B$11)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SUMIFS(Operacje[Kwota],Operacje[Kategoria],$A29,Operacje[Miesiąc],czerwiec!$B$11)</f>
        <v>-50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SUMIFS(Operacje[Kwota],Operacje[Kategoria],$A30,Operacje[Miesiąc],czerwiec!$B$11)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SUMIFS(Operacje[Kwota],Operacje[Kategoria],$A31,Operacje[Miesiąc],czerwiec!$B$11)</f>
        <v>-100</v>
      </c>
    </row>
    <row r="32" spans="1:3" outlineLevel="1" x14ac:dyDescent="0.25">
      <c r="B32" s="7" t="s">
        <v>41</v>
      </c>
      <c r="C32">
        <f>SUBTOTAL(9,C23:C31)</f>
        <v>-3730</v>
      </c>
    </row>
    <row r="33" spans="2:3" x14ac:dyDescent="0.25">
      <c r="B33" s="7" t="s">
        <v>42</v>
      </c>
      <c r="C33">
        <f>SUBTOTAL(9,C14:C31)</f>
        <v>1170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675A-A8F9-49E3-8D2F-9C85153E1690}">
  <dimension ref="A1:E33"/>
  <sheetViews>
    <sheetView zoomScale="160" zoomScaleNormal="160" workbookViewId="0">
      <selection activeCell="E17" sqref="E17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-1300</v>
      </c>
      <c r="D2" s="4">
        <f>SUMIFS(Operacje[Kwota],Operacje[Bank],lipiec_saldo[[#This Row],[Bank]],Operacje[Produkt],lipiec_saldo[[#This Row],[Produkt]],Operacje[Miesiąc],$B$11)</f>
        <v>1165</v>
      </c>
      <c r="E2" s="4">
        <f ca="1">lipiec_saldo[[#This Row],[Saldo początkowe]]+lipiec_saldo[[#This Row],[Operacje]]</f>
        <v>-135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8872.44</v>
      </c>
      <c r="D3" s="4">
        <f>SUMIFS(Operacje[Kwota],Operacje[Bank],lipiec_saldo[[#This Row],[Bank]],Operacje[Produkt],lipiec_saldo[[#This Row],[Produkt]],Operacje[Miesiąc],$B$11)</f>
        <v>1010</v>
      </c>
      <c r="E3" s="4">
        <f ca="1">lipiec_saldo[[#This Row],[Saldo początkowe]]+lipiec_saldo[[#This Row],[Operacje]]</f>
        <v>9882.44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SUMIFS(Operacje[Kwota],Operacje[Bank],lipiec_saldo[[#This Row],[Bank]],Operacje[Produkt],lipiec_saldo[[#This Row],[Produkt]],Operacje[Miesiąc],$B$11)</f>
        <v>-180</v>
      </c>
      <c r="E4" s="4">
        <f ca="1">lipiec_saldo[[#This Row],[Saldo początkowe]]+lipiec_saldo[[#This Row],[Operacje]]</f>
        <v>1020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468.5</v>
      </c>
      <c r="D5" s="4">
        <f>SUMIFS(Operacje[Kwota],Operacje[Bank],lipiec_saldo[[#This Row],[Bank]],Operacje[Produkt],lipiec_saldo[[#This Row],[Produkt]],Operacje[Miesiąc],$B$11)</f>
        <v>-100</v>
      </c>
      <c r="E5" s="4">
        <f ca="1">lipiec_saldo[[#This Row],[Saldo początkowe]]+lipiec_saldo[[#This Row],[Operacje]]</f>
        <v>368.5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336</v>
      </c>
      <c r="D6" s="4">
        <f>SUMIFS(Operacje[Kwota],Operacje[Bank],lipiec_saldo[[#This Row],[Bank]],Operacje[Produkt],lipiec_saldo[[#This Row],[Produkt]],Operacje[Miesiąc],$B$11)</f>
        <v>1050</v>
      </c>
      <c r="E6" s="4">
        <f ca="1">lipiec_saldo[[#This Row],[Saldo początkowe]]+lipiec_saldo[[#This Row],[Operacje]]</f>
        <v>1386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SUMIFS(Operacje[Kwota],Operacje[Bank],lipiec_saldo[[#This Row],[Bank]],Operacje[Produkt],lipiec_saldo[[#This Row],[Produkt]],Operacje[Miesiąc],$B$11)</f>
        <v>-30</v>
      </c>
      <c r="E7" s="4">
        <f ca="1">lipiec_saldo[[#This Row],[Saldo początkowe]]+lipiec_saldo[[#This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390.5</v>
      </c>
      <c r="D8" s="4">
        <f>SUMIFS(Operacje[Kwota],Operacje[Bank],lipiec_saldo[[#This Row],[Bank]],Operacje[Produkt],lipiec_saldo[[#This Row],[Produkt]],Operacje[Miesiąc],$B$11)</f>
        <v>0</v>
      </c>
      <c r="E8" s="4">
        <f ca="1">lipiec_saldo[[#This Row],[Saldo początkowe]]+lipiec_saldo[[#This Row],[Operacje]]</f>
        <v>390.5</v>
      </c>
    </row>
    <row r="9" spans="1:5" x14ac:dyDescent="0.25">
      <c r="A9" t="s">
        <v>38</v>
      </c>
      <c r="C9" s="4">
        <f ca="1">SUBTOTAL(109,lipiec_saldo[Saldo początkowe])</f>
        <v>10192.950000000001</v>
      </c>
      <c r="D9" s="4">
        <f>SUBTOTAL(109,lipiec_saldo[Operacje])</f>
        <v>2915</v>
      </c>
      <c r="E9" s="4">
        <f ca="1">SUBTOTAL(109,lipiec_saldo[Saldo końcowe])</f>
        <v>13107.95</v>
      </c>
    </row>
    <row r="11" spans="1:5" x14ac:dyDescent="0.25">
      <c r="A11" t="s">
        <v>6</v>
      </c>
      <c r="B11">
        <v>7</v>
      </c>
      <c r="C11" t="str">
        <f>TEXT(DATE(2025,B11,1),"mmmm")</f>
        <v>lipiec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SUMIFS(Operacje[Kwota],Operacje[Kategoria],$A14,Operacje[Miesiąc],lipiec!$B$11)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SUMIFS(Operacje[Kwota],Operacje[Kategoria],$A16,Operacje[Miesiąc],lipiec!$B$11)</f>
        <v>800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SUMIFS(Operacje[Kwota],Operacje[Kategoria],$A17,Operacje[Miesiąc],lipiec!$B$11)</f>
        <v>120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SUMIFS(Operacje[Kwota],Operacje[Kategoria],$A18,Operacje[Miesiąc],lipiec!$B$11)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SUMIFS(Operacje[Kwota],Operacje[Kategoria],$A19,Operacje[Miesiąc],lipiec!$B$11)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SUMIFS(Operacje[Kwota],Operacje[Kategoria],$A20,Operacje[Miesiąc],lipiec!$B$11)</f>
        <v>500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SUMIFS(Operacje[Kwota],Operacje[Kategoria],$A21,Operacje[Miesiąc],lipiec!$B$11)</f>
        <v>4500</v>
      </c>
    </row>
    <row r="22" spans="1:3" outlineLevel="1" x14ac:dyDescent="0.25">
      <c r="A22" s="5"/>
      <c r="B22" s="6" t="s">
        <v>40</v>
      </c>
      <c r="C22" s="5">
        <f>SUBTOTAL(9,C16:C21)</f>
        <v>5920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SUMIFS(Operacje[Kwota],Operacje[Kategoria],$A23,Operacje[Miesiąc],lipiec!$B$11)</f>
        <v>-165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SUMIFS(Operacje[Kwota],Operacje[Kategoria],$A24,Operacje[Miesiąc],lipiec!$B$11)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SUMIFS(Operacje[Kwota],Operacje[Kategoria],$A25,Operacje[Miesiąc],lipiec!$B$11)</f>
        <v>250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SUMIFS(Operacje[Kwota],Operacje[Kategoria],$A26,Operacje[Miesiąc],lipiec!$B$11)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SUMIFS(Operacje[Kwota],Operacje[Kategoria],$A27,Operacje[Miesiąc],lipiec!$B$11)</f>
        <v>-700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SUMIFS(Operacje[Kwota],Operacje[Kategoria],$A28,Operacje[Miesiąc],lipiec!$B$11)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SUMIFS(Operacje[Kwota],Operacje[Kategoria],$A29,Operacje[Miesiąc],lipiec!$B$11)</f>
        <v>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SUMIFS(Operacje[Kwota],Operacje[Kategoria],$A30,Operacje[Miesiąc],lipiec!$B$11)</f>
        <v>-90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SUMIFS(Operacje[Kwota],Operacje[Kategoria],$A31,Operacje[Miesiąc],lipiec!$B$11)</f>
        <v>-300</v>
      </c>
    </row>
    <row r="32" spans="1:3" outlineLevel="1" x14ac:dyDescent="0.25">
      <c r="B32" s="7" t="s">
        <v>41</v>
      </c>
      <c r="C32">
        <f>SUBTOTAL(9,C23:C31)</f>
        <v>-3005</v>
      </c>
    </row>
    <row r="33" spans="2:3" x14ac:dyDescent="0.25">
      <c r="B33" s="7" t="s">
        <v>42</v>
      </c>
      <c r="C33">
        <f>SUBTOTAL(9,C14:C31)</f>
        <v>2915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A1A1-8866-4592-A69F-8E4C34DC0B7D}">
  <dimension ref="A1:E33"/>
  <sheetViews>
    <sheetView topLeftCell="A13" zoomScale="160" zoomScaleNormal="160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-135</v>
      </c>
      <c r="D2" s="4">
        <f>SUMIFS(Operacje[Kwota],Operacje[Bank],sierpień_saldo[[#This Row],[Bank]],Operacje[Produkt],sierpień_saldo[[#This Row],[Produkt]],Operacje[Miesiąc],$B$11)</f>
        <v>33</v>
      </c>
      <c r="E2" s="4">
        <f ca="1">sierpień_saldo[[#This Row],[Saldo początkowe]]+sierpień_saldo[[#This Row],[Operacje]]</f>
        <v>-102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9882.44</v>
      </c>
      <c r="D3" s="4">
        <f>SUMIFS(Operacje[Kwota],Operacje[Bank],sierpień_saldo[[#This Row],[Bank]],Operacje[Produkt],sierpień_saldo[[#This Row],[Produkt]],Operacje[Miesiąc],$B$11)</f>
        <v>1475</v>
      </c>
      <c r="E3" s="4">
        <f ca="1">sierpień_saldo[[#This Row],[Saldo początkowe]]+sierpień_saldo[[#This Row],[Operacje]]</f>
        <v>11357.44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1020</v>
      </c>
      <c r="D4" s="4">
        <f>SUMIFS(Operacje[Kwota],Operacje[Bank],sierpień_saldo[[#This Row],[Bank]],Operacje[Produkt],sierpień_saldo[[#This Row],[Produkt]],Operacje[Miesiąc],$B$11)</f>
        <v>-1020</v>
      </c>
      <c r="E4" s="4">
        <f ca="1">sierpień_saldo[[#This Row],[Saldo początkowe]]+sierpień_saldo[[#This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368.5</v>
      </c>
      <c r="D5" s="4">
        <f>SUMIFS(Operacje[Kwota],Operacje[Bank],sierpień_saldo[[#This Row],[Bank]],Operacje[Produkt],sierpień_saldo[[#This Row],[Produkt]],Operacje[Miesiąc],$B$11)</f>
        <v>200</v>
      </c>
      <c r="E5" s="4">
        <f ca="1">sierpień_saldo[[#This Row],[Saldo początkowe]]+sierpień_saldo[[#This Row],[Operacje]]</f>
        <v>568.5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1386</v>
      </c>
      <c r="D6" s="4">
        <f>SUMIFS(Operacje[Kwota],Operacje[Bank],sierpień_saldo[[#This Row],[Bank]],Operacje[Produkt],sierpień_saldo[[#This Row],[Produkt]],Operacje[Miesiąc],$B$11)</f>
        <v>-300</v>
      </c>
      <c r="E6" s="4">
        <f ca="1">sierpień_saldo[[#This Row],[Saldo początkowe]]+sierpień_saldo[[#This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SUMIFS(Operacje[Kwota],Operacje[Bank],sierpień_saldo[[#This Row],[Bank]],Operacje[Produkt],sierpień_saldo[[#This Row],[Produkt]],Operacje[Miesiąc],$B$11)</f>
        <v>0</v>
      </c>
      <c r="E7" s="4">
        <f ca="1">sierpień_saldo[[#This Row],[Saldo początkowe]]+sierpień_saldo[[#This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390.5</v>
      </c>
      <c r="D8" s="4">
        <f>SUMIFS(Operacje[Kwota],Operacje[Bank],sierpień_saldo[[#This Row],[Bank]],Operacje[Produkt],sierpień_saldo[[#This Row],[Produkt]],Operacje[Miesiąc],$B$11)</f>
        <v>2.5</v>
      </c>
      <c r="E8" s="4">
        <f ca="1">sierpień_saldo[[#This Row],[Saldo początkowe]]+sierpień_saldo[[#This Row],[Operacje]]</f>
        <v>393</v>
      </c>
    </row>
    <row r="9" spans="1:5" x14ac:dyDescent="0.25">
      <c r="A9" t="s">
        <v>38</v>
      </c>
      <c r="C9" s="4">
        <f ca="1">SUBTOTAL(109,sierpień_saldo[Saldo początkowe])</f>
        <v>13107.95</v>
      </c>
      <c r="D9" s="4">
        <f>SUBTOTAL(109,sierpień_saldo[Operacje])</f>
        <v>390.5</v>
      </c>
      <c r="E9" s="4">
        <f ca="1">SUBTOTAL(109,sierpień_saldo[Saldo końcowe])</f>
        <v>13498.45</v>
      </c>
    </row>
    <row r="11" spans="1:5" x14ac:dyDescent="0.25">
      <c r="A11" t="s">
        <v>6</v>
      </c>
      <c r="B11">
        <v>8</v>
      </c>
      <c r="C11" t="str">
        <f>TEXT(DATE(2025,B11,1),"mmmm")</f>
        <v>sierpień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SUMIFS(Operacje[Kwota],Operacje[Kategoria],$A14,Operacje[Miesiąc],sierpień!$B$11)</f>
        <v>-1020</v>
      </c>
    </row>
    <row r="15" spans="1:5" outlineLevel="1" x14ac:dyDescent="0.25">
      <c r="A15" s="5"/>
      <c r="B15" s="6" t="s">
        <v>39</v>
      </c>
      <c r="C15" s="5">
        <f>SUBTOTAL(9,C14:C14)</f>
        <v>-1020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SUMIFS(Operacje[Kwota],Operacje[Kategoria],$A16,Operacje[Miesiąc],sierpień!$B$11)</f>
        <v>400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SUMIFS(Operacje[Kwota],Operacje[Kategoria],$A17,Operacje[Miesiąc],sierpień!$B$11)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SUMIFS(Operacje[Kwota],Operacje[Kategoria],$A18,Operacje[Miesiąc],sierpień!$B$11)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SUMIFS(Operacje[Kwota],Operacje[Kategoria],$A19,Operacje[Miesiąc],sierpień!$B$11)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SUMIFS(Operacje[Kwota],Operacje[Kategoria],$A20,Operacje[Miesiąc],sierpień!$B$11)</f>
        <v>500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SUMIFS(Operacje[Kwota],Operacje[Kategoria],$A21,Operacje[Miesiąc],sierpień!$B$11)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5400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SUMIFS(Operacje[Kwota],Operacje[Kategoria],$A23,Operacje[Miesiąc],sierpień!$B$11)</f>
        <v>-749.5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SUMIFS(Operacje[Kwota],Operacje[Kategoria],$A24,Operacje[Miesiąc],sierpień!$B$11)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SUMIFS(Operacje[Kwota],Operacje[Kategoria],$A25,Operacje[Miesiąc],sierpień!$B$11)</f>
        <v>-300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SUMIFS(Operacje[Kwota],Operacje[Kategoria],$A26,Operacje[Miesiąc],sierpień!$B$11)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SUMIFS(Operacje[Kwota],Operacje[Kategoria],$A27,Operacje[Miesiąc],sierpień!$B$11)</f>
        <v>-250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SUMIFS(Operacje[Kwota],Operacje[Kategoria],$A28,Operacje[Miesiąc],sierpień!$B$11)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SUMIFS(Operacje[Kwota],Operacje[Kategoria],$A29,Operacje[Miesiąc],sierpień!$B$11)</f>
        <v>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SUMIFS(Operacje[Kwota],Operacje[Kategoria],$A30,Operacje[Miesiąc],sierpień!$B$11)</f>
        <v>-290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SUMIFS(Operacje[Kwota],Operacje[Kategoria],$A31,Operacje[Miesiąc],sierpień!$B$11)</f>
        <v>-400</v>
      </c>
    </row>
    <row r="32" spans="1:3" outlineLevel="1" x14ac:dyDescent="0.25">
      <c r="B32" s="7" t="s">
        <v>41</v>
      </c>
      <c r="C32">
        <f>SUBTOTAL(9,C23:C31)</f>
        <v>-3989.5</v>
      </c>
    </row>
    <row r="33" spans="2:3" x14ac:dyDescent="0.25">
      <c r="B33" s="7" t="s">
        <v>42</v>
      </c>
      <c r="C33">
        <f>SUBTOTAL(9,C14:C31)</f>
        <v>390.5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6701-2710-454C-BC8C-15CA85EB28F5}">
  <dimension ref="A1:E33"/>
  <sheetViews>
    <sheetView zoomScale="160" zoomScaleNormal="160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-102</v>
      </c>
      <c r="D2" s="4">
        <f>SUMIFS(Operacje[Kwota],Operacje[Bank],wrzesień_saldo[[#This Row],[Bank]],Operacje[Produkt],wrzesień_saldo[[#This Row],[Produkt]],Operacje[Miesiąc],$B$11)</f>
        <v>82</v>
      </c>
      <c r="E2" s="4">
        <f ca="1">wrzesień_saldo[[#This Row],[Saldo początkowe]]+wrzesień_saldo[[#This Row],[Operacje]]</f>
        <v>-20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11357.44</v>
      </c>
      <c r="D3" s="4">
        <f>SUMIFS(Operacje[Kwota],Operacje[Bank],wrzesień_saldo[[#This Row],[Bank]],Operacje[Produkt],wrzesień_saldo[[#This Row],[Produkt]],Operacje[Miesiąc],$B$11)</f>
        <v>1689.5</v>
      </c>
      <c r="E3" s="4">
        <f ca="1">wrzesień_saldo[[#This Row],[Saldo początkowe]]+wrzesień_saldo[[#This Row],[Operacje]]</f>
        <v>13046.94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SUMIFS(Operacje[Kwota],Operacje[Bank],wrzesień_saldo[[#This Row],[Bank]],Operacje[Produkt],wrzesień_saldo[[#This Row],[Produkt]],Operacje[Miesiąc],$B$11)</f>
        <v>0</v>
      </c>
      <c r="E4" s="4">
        <f ca="1">wrzesień_saldo[[#This Row],[Saldo początkowe]]+wrzesień_saldo[[#This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568.5</v>
      </c>
      <c r="D5" s="4">
        <f>SUMIFS(Operacje[Kwota],Operacje[Bank],wrzesień_saldo[[#This Row],[Bank]],Operacje[Produkt],wrzesień_saldo[[#This Row],[Produkt]],Operacje[Miesiąc],$B$11)</f>
        <v>-20</v>
      </c>
      <c r="E5" s="4">
        <f ca="1">wrzesień_saldo[[#This Row],[Saldo początkowe]]+wrzesień_saldo[[#This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SUMIFS(Operacje[Kwota],Operacje[Bank],wrzesień_saldo[[#This Row],[Bank]],Operacje[Produkt],wrzesień_saldo[[#This Row],[Produkt]],Operacje[Miesiąc],$B$11)</f>
        <v>0</v>
      </c>
      <c r="E6" s="4">
        <f ca="1">wrzesień_saldo[[#This Row],[Saldo początkowe]]+wrzesień_saldo[[#This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SUMIFS(Operacje[Kwota],Operacje[Bank],wrzesień_saldo[[#This Row],[Bank]],Operacje[Produkt],wrzesień_saldo[[#This Row],[Produkt]],Operacje[Miesiąc],$B$11)</f>
        <v>0</v>
      </c>
      <c r="E7" s="4">
        <f ca="1">wrzesień_saldo[[#This Row],[Saldo początkowe]]+wrzesień_saldo[[#This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393</v>
      </c>
      <c r="D8" s="4">
        <f>SUMIFS(Operacje[Kwota],Operacje[Bank],wrzesień_saldo[[#This Row],[Bank]],Operacje[Produkt],wrzesień_saldo[[#This Row],[Produkt]],Operacje[Miesiąc],$B$11)</f>
        <v>0</v>
      </c>
      <c r="E8" s="4">
        <f ca="1">wrzesień_saldo[[#This Row],[Saldo początkowe]]+wrzesień_saldo[[#This Row],[Operacje]]</f>
        <v>393</v>
      </c>
    </row>
    <row r="9" spans="1:5" x14ac:dyDescent="0.25">
      <c r="A9" t="s">
        <v>38</v>
      </c>
      <c r="C9" s="4">
        <f ca="1">SUBTOTAL(109,wrzesień_saldo[Saldo początkowe])</f>
        <v>13498.45</v>
      </c>
      <c r="D9" s="4">
        <f>SUBTOTAL(109,wrzesień_saldo[Operacje])</f>
        <v>1751.5</v>
      </c>
      <c r="E9" s="4">
        <f ca="1">SUBTOTAL(109,wrzesień_saldo[Saldo końcowe])</f>
        <v>15249.95</v>
      </c>
    </row>
    <row r="11" spans="1:5" x14ac:dyDescent="0.25">
      <c r="A11" t="s">
        <v>6</v>
      </c>
      <c r="B11">
        <v>9</v>
      </c>
      <c r="C11" t="str">
        <f>TEXT(DATE(2025,B11,1),"mmmm")</f>
        <v>wrzesień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SUMIFS(Operacje[Kwota],Operacje[Kategoria],$A14,Operacje[Miesiąc],wrzesień!$B$11)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SUMIFS(Operacje[Kwota],Operacje[Kategoria],$A16,Operacje[Miesiąc],wrzesień!$B$11)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SUMIFS(Operacje[Kwota],Operacje[Kategoria],$A17,Operacje[Miesiąc],wrzesień!$B$11)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SUMIFS(Operacje[Kwota],Operacje[Kategoria],$A18,Operacje[Miesiąc],wrzesień!$B$11)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SUMIFS(Operacje[Kwota],Operacje[Kategoria],$A19,Operacje[Miesiąc],wrzesień!$B$11)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SUMIFS(Operacje[Kwota],Operacje[Kategoria],$A20,Operacje[Miesiąc],wrzesień!$B$11)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SUMIFS(Operacje[Kwota],Operacje[Kategoria],$A21,Operacje[Miesiąc],wrzesień!$B$11)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SUMIFS(Operacje[Kwota],Operacje[Kategoria],$A23,Operacje[Miesiąc],wrzesień!$B$11)</f>
        <v>-538.5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SUMIFS(Operacje[Kwota],Operacje[Kategoria],$A24,Operacje[Miesiąc],wrzesień!$B$11)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SUMIFS(Operacje[Kwota],Operacje[Kategoria],$A25,Operacje[Miesiąc],wrzesień!$B$11)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SUMIFS(Operacje[Kwota],Operacje[Kategoria],$A26,Operacje[Miesiąc],wrzesień!$B$11)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SUMIFS(Operacje[Kwota],Operacje[Kategoria],$A27,Operacje[Miesiąc],wrzesień!$B$11)</f>
        <v>-20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SUMIFS(Operacje[Kwota],Operacje[Kategoria],$A28,Operacje[Miesiąc],wrzesień!$B$11)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SUMIFS(Operacje[Kwota],Operacje[Kategoria],$A29,Operacje[Miesiąc],wrzesień!$B$11)</f>
        <v>-40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SUMIFS(Operacje[Kwota],Operacje[Kategoria],$A30,Operacje[Miesiąc],wrzesień!$B$11)</f>
        <v>-150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SUMIFS(Operacje[Kwota],Operacje[Kategoria],$A31,Operacje[Miesiąc],wrzesień!$B$11)</f>
        <v>0</v>
      </c>
    </row>
    <row r="32" spans="1:3" outlineLevel="1" x14ac:dyDescent="0.25">
      <c r="B32" s="7" t="s">
        <v>41</v>
      </c>
      <c r="C32">
        <f>SUBTOTAL(9,C23:C31)</f>
        <v>-2748.5</v>
      </c>
    </row>
    <row r="33" spans="2:3" x14ac:dyDescent="0.25">
      <c r="B33" s="7" t="s">
        <v>42</v>
      </c>
      <c r="C33">
        <f>SUBTOTAL(9,C14:C31)</f>
        <v>1751.5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F678-DEB4-412D-A9D6-A2985B0AD3C6}">
  <dimension ref="A1:E33"/>
  <sheetViews>
    <sheetView zoomScale="160" zoomScaleNormal="160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-20</v>
      </c>
      <c r="D2" s="4">
        <f>SUMIFS(Operacje[Kwota],Operacje[Bank],październik_saldo[[#This Row],[Bank]],Operacje[Produkt],październik_saldo[[#This Row],[Produkt]],Operacje[Miesiąc],$B$11)</f>
        <v>-20</v>
      </c>
      <c r="E2" s="4">
        <f ca="1">październik_saldo[[#This Row],[Saldo początkowe]]+październik_saldo[[#This Row],[Operacje]]</f>
        <v>-40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13046.94</v>
      </c>
      <c r="D3" s="4">
        <f>SUMIFS(Operacje[Kwota],Operacje[Bank],październik_saldo[[#This Row],[Bank]],Operacje[Produkt],październik_saldo[[#This Row],[Produkt]],Operacje[Miesiąc],$B$11)</f>
        <v>1690</v>
      </c>
      <c r="E3" s="4">
        <f ca="1">październik_saldo[[#This Row],[Saldo początkowe]]+październik_saldo[[#This Row],[Operacje]]</f>
        <v>14736.94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SUMIFS(Operacje[Kwota],Operacje[Bank],październik_saldo[[#This Row],[Bank]],Operacje[Produkt],październik_saldo[[#This Row],[Produkt]],Operacje[Miesiąc],$B$11)</f>
        <v>0</v>
      </c>
      <c r="E4" s="4">
        <f ca="1">październik_saldo[[#This Row],[Saldo początkowe]]+październik_saldo[[#This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548.5</v>
      </c>
      <c r="D5" s="4">
        <f>SUMIFS(Operacje[Kwota],Operacje[Bank],październik_saldo[[#This Row],[Bank]],Operacje[Produkt],październik_saldo[[#This Row],[Produkt]],Operacje[Miesiąc],$B$11)</f>
        <v>0</v>
      </c>
      <c r="E5" s="4">
        <f ca="1">październik_saldo[[#This Row],[Saldo początkowe]]+październik_saldo[[#This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SUMIFS(Operacje[Kwota],Operacje[Bank],październik_saldo[[#This Row],[Bank]],Operacje[Produkt],październik_saldo[[#This Row],[Produkt]],Operacje[Miesiąc],$B$11)</f>
        <v>0</v>
      </c>
      <c r="E6" s="4">
        <f ca="1">październik_saldo[[#This Row],[Saldo początkowe]]+październik_saldo[[#This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SUMIFS(Operacje[Kwota],Operacje[Bank],październik_saldo[[#This Row],[Bank]],Operacje[Produkt],październik_saldo[[#This Row],[Produkt]],Operacje[Miesiąc],$B$11)</f>
        <v>0</v>
      </c>
      <c r="E7" s="4">
        <f ca="1">październik_saldo[[#This Row],[Saldo początkowe]]+październik_saldo[[#This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393</v>
      </c>
      <c r="D8" s="4">
        <f>SUMIFS(Operacje[Kwota],Operacje[Bank],październik_saldo[[#This Row],[Bank]],Operacje[Produkt],październik_saldo[[#This Row],[Produkt]],Operacje[Miesiąc],$B$11)</f>
        <v>0</v>
      </c>
      <c r="E8" s="4">
        <f ca="1">październik_saldo[[#This Row],[Saldo początkowe]]+październik_saldo[[#This Row],[Operacje]]</f>
        <v>393</v>
      </c>
    </row>
    <row r="9" spans="1:5" x14ac:dyDescent="0.25">
      <c r="A9" t="s">
        <v>38</v>
      </c>
      <c r="C9" s="4">
        <f ca="1">SUBTOTAL(109,październik_saldo[Saldo początkowe])</f>
        <v>15249.95</v>
      </c>
      <c r="D9" s="4">
        <f>SUBTOTAL(109,październik_saldo[Operacje])</f>
        <v>1670</v>
      </c>
      <c r="E9" s="4">
        <f ca="1">SUBTOTAL(109,październik_saldo[Saldo końcowe])</f>
        <v>16919.95</v>
      </c>
    </row>
    <row r="11" spans="1:5" x14ac:dyDescent="0.25">
      <c r="A11" t="s">
        <v>6</v>
      </c>
      <c r="B11">
        <v>10</v>
      </c>
      <c r="C11" t="str">
        <f>TEXT(DATE(2025,B11,1),"mmmm")</f>
        <v>październik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SUMIFS(Operacje[Kwota],Operacje[Kategoria],$A14,Operacje[Miesiąc],październik!$B$11)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SUMIFS(Operacje[Kwota],Operacje[Kategoria],$A16,Operacje[Miesiąc],październik!$B$11)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SUMIFS(Operacje[Kwota],Operacje[Kategoria],$A17,Operacje[Miesiąc],październik!$B$11)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SUMIFS(Operacje[Kwota],Operacje[Kategoria],$A18,Operacje[Miesiąc],październik!$B$11)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SUMIFS(Operacje[Kwota],Operacje[Kategoria],$A19,Operacje[Miesiąc],październik!$B$11)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SUMIFS(Operacje[Kwota],Operacje[Kategoria],$A20,Operacje[Miesiąc],październik!$B$11)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SUMIFS(Operacje[Kwota],Operacje[Kategoria],$A21,Operacje[Miesiąc],październik!$B$11)</f>
        <v>4500</v>
      </c>
    </row>
    <row r="22" spans="1:3" outlineLevel="1" x14ac:dyDescent="0.25">
      <c r="A22" s="5"/>
      <c r="B22" s="6" t="s">
        <v>40</v>
      </c>
      <c r="C22" s="5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SUMIFS(Operacje[Kwota],Operacje[Kategoria],$A23,Operacje[Miesiąc],październik!$B$11)</f>
        <v>-600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SUMIFS(Operacje[Kwota],Operacje[Kategoria],$A24,Operacje[Miesiąc],październik!$B$11)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SUMIFS(Operacje[Kwota],Operacje[Kategoria],$A25,Operacje[Miesiąc],październik!$B$11)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SUMIFS(Operacje[Kwota],Operacje[Kategoria],$A26,Operacje[Miesiąc],październik!$B$11)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SUMIFS(Operacje[Kwota],Operacje[Kategoria],$A27,Operacje[Miesiąc],październik!$B$11)</f>
        <v>-40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SUMIFS(Operacje[Kwota],Operacje[Kategoria],$A28,Operacje[Miesiąc],październik!$B$11)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SUMIFS(Operacje[Kwota],Operacje[Kategoria],$A29,Operacje[Miesiąc],październik!$B$11)</f>
        <v>-40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SUMIFS(Operacje[Kwota],Operacje[Kategoria],$A30,Operacje[Miesiąc],październik!$B$11)</f>
        <v>-150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SUMIFS(Operacje[Kwota],Operacje[Kategoria],$A31,Operacje[Miesiąc],październik!$B$11)</f>
        <v>0</v>
      </c>
    </row>
    <row r="32" spans="1:3" outlineLevel="1" x14ac:dyDescent="0.25">
      <c r="B32" s="7" t="s">
        <v>41</v>
      </c>
      <c r="C32">
        <f>SUBTOTAL(9,C23:C31)</f>
        <v>-2830</v>
      </c>
    </row>
    <row r="33" spans="2:3" x14ac:dyDescent="0.25">
      <c r="B33" s="7" t="s">
        <v>42</v>
      </c>
      <c r="C33">
        <f>SUBTOTAL(9,C14:C31)</f>
        <v>1670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0D99-6D16-42DC-9AD6-4C6377773A8F}">
  <dimension ref="A1:E33"/>
  <sheetViews>
    <sheetView zoomScale="160" zoomScaleNormal="160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-40</v>
      </c>
      <c r="D2" s="4">
        <f>SUMIFS(Operacje[Kwota],Operacje[Bank],listopad_saldo[[#This Row],[Bank]],Operacje[Produkt],listopad_saldo[[#This Row],[Produkt]],Operacje[Miesiąc],$B$11)</f>
        <v>40</v>
      </c>
      <c r="E2" s="4">
        <f ca="1">listopad_saldo[[#This Row],[Saldo początkowe]]+listopad_saldo[[#This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14736.94</v>
      </c>
      <c r="D3" s="4">
        <f>SUMIFS(Operacje[Kwota],Operacje[Bank],listopad_saldo[[#This Row],[Bank]],Operacje[Produkt],listopad_saldo[[#This Row],[Produkt]],Operacje[Miesiąc],$B$11)</f>
        <v>960</v>
      </c>
      <c r="E3" s="4">
        <f ca="1">listopad_saldo[[#This Row],[Saldo początkowe]]+listopad_saldo[[#This Row],[Operacje]]</f>
        <v>15696.94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SUMIFS(Operacje[Kwota],Operacje[Bank],listopad_saldo[[#This Row],[Bank]],Operacje[Produkt],listopad_saldo[[#This Row],[Produkt]],Operacje[Miesiąc],$B$11)</f>
        <v>0</v>
      </c>
      <c r="E4" s="4">
        <f ca="1">listopad_saldo[[#This Row],[Saldo początkowe]]+listopad_saldo[[#This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548.5</v>
      </c>
      <c r="D5" s="4">
        <f>SUMIFS(Operacje[Kwota],Operacje[Bank],listopad_saldo[[#This Row],[Bank]],Operacje[Produkt],listopad_saldo[[#This Row],[Produkt]],Operacje[Miesiąc],$B$11)</f>
        <v>0</v>
      </c>
      <c r="E5" s="4">
        <f ca="1">listopad_saldo[[#This Row],[Saldo początkowe]]+listopad_saldo[[#This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SUMIFS(Operacje[Kwota],Operacje[Bank],listopad_saldo[[#This Row],[Bank]],Operacje[Produkt],listopad_saldo[[#This Row],[Produkt]],Operacje[Miesiąc],$B$11)</f>
        <v>0</v>
      </c>
      <c r="E6" s="4">
        <f ca="1">listopad_saldo[[#This Row],[Saldo początkowe]]+listopad_saldo[[#This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SUMIFS(Operacje[Kwota],Operacje[Bank],listopad_saldo[[#This Row],[Bank]],Operacje[Produkt],listopad_saldo[[#This Row],[Produkt]],Operacje[Miesiąc],$B$11)</f>
        <v>0</v>
      </c>
      <c r="E7" s="4">
        <f ca="1">listopad_saldo[[#This Row],[Saldo początkowe]]+listopad_saldo[[#This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393</v>
      </c>
      <c r="D8" s="4">
        <f>SUMIFS(Operacje[Kwota],Operacje[Bank],listopad_saldo[[#This Row],[Bank]],Operacje[Produkt],listopad_saldo[[#This Row],[Produkt]],Operacje[Miesiąc],$B$11)</f>
        <v>400</v>
      </c>
      <c r="E8" s="4">
        <f ca="1">listopad_saldo[[#This Row],[Saldo początkowe]]+listopad_saldo[[#This Row],[Operacje]]</f>
        <v>793</v>
      </c>
    </row>
    <row r="9" spans="1:5" x14ac:dyDescent="0.25">
      <c r="A9" t="s">
        <v>38</v>
      </c>
      <c r="C9" s="4">
        <f ca="1">SUBTOTAL(109,listopad_saldo[Saldo początkowe])</f>
        <v>16919.95</v>
      </c>
      <c r="D9" s="4">
        <f>SUBTOTAL(109,listopad_saldo[Operacje])</f>
        <v>1400</v>
      </c>
      <c r="E9" s="4">
        <f ca="1">SUBTOTAL(109,listopad_saldo[Saldo końcowe])</f>
        <v>18319.95</v>
      </c>
    </row>
    <row r="11" spans="1:5" x14ac:dyDescent="0.25">
      <c r="A11" t="s">
        <v>6</v>
      </c>
      <c r="B11">
        <v>11</v>
      </c>
      <c r="C11" t="str">
        <f>TEXT(DATE(2025,B11,1),"mmmm")</f>
        <v>listopad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SUMIFS(Operacje[Kwota],Operacje[Kategoria],$A14,Operacje[Miesiąc],listopad!$B$11)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SUMIFS(Operacje[Kwota],Operacje[Kategoria],$A16,Operacje[Miesiąc],listopad!$B$11)</f>
        <v>400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SUMIFS(Operacje[Kwota],Operacje[Kategoria],$A17,Operacje[Miesiąc],listopad!$B$11)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SUMIFS(Operacje[Kwota],Operacje[Kategoria],$A18,Operacje[Miesiąc],listopad!$B$11)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SUMIFS(Operacje[Kwota],Operacje[Kategoria],$A19,Operacje[Miesiąc],listopad!$B$11)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SUMIFS(Operacje[Kwota],Operacje[Kategoria],$A20,Operacje[Miesiąc],listopad!$B$11)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SUMIFS(Operacje[Kwota],Operacje[Kategoria],$A21,Operacje[Miesiąc],listopad!$B$11)</f>
        <v>4500</v>
      </c>
    </row>
    <row r="22" spans="1:3" outlineLevel="1" x14ac:dyDescent="0.25">
      <c r="A22" s="5"/>
      <c r="B22" s="6" t="s">
        <v>40</v>
      </c>
      <c r="C22" s="5">
        <f>SUBTOTAL(9,C16:C21)</f>
        <v>4900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SUMIFS(Operacje[Kwota],Operacje[Kategoria],$A23,Operacje[Miesiąc],listopad!$B$11)</f>
        <v>-506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SUMIFS(Operacje[Kwota],Operacje[Kategoria],$A24,Operacje[Miesiąc],listopad!$B$11)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SUMIFS(Operacje[Kwota],Operacje[Kategoria],$A25,Operacje[Miesiąc],listopad!$B$11)</f>
        <v>-158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SUMIFS(Operacje[Kwota],Operacje[Kategoria],$A26,Operacje[Miesiąc],listopad!$B$11)</f>
        <v>-234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SUMIFS(Operacje[Kwota],Operacje[Kategoria],$A27,Operacje[Miesiąc],listopad!$B$11)</f>
        <v>-214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SUMIFS(Operacje[Kwota],Operacje[Kategoria],$A28,Operacje[Miesiąc],listopad!$B$11)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SUMIFS(Operacje[Kwota],Operacje[Kategoria],$A29,Operacje[Miesiąc],listopad!$B$11)</f>
        <v>-47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SUMIFS(Operacje[Kwota],Operacje[Kategoria],$A30,Operacje[Miesiąc],listopad!$B$11)</f>
        <v>-208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SUMIFS(Operacje[Kwota],Operacje[Kategoria],$A31,Operacje[Miesiąc],listopad!$B$11)</f>
        <v>-133</v>
      </c>
    </row>
    <row r="32" spans="1:3" outlineLevel="1" x14ac:dyDescent="0.25">
      <c r="B32" s="7" t="s">
        <v>41</v>
      </c>
      <c r="C32">
        <f>SUBTOTAL(9,C23:C31)</f>
        <v>-3500</v>
      </c>
    </row>
    <row r="33" spans="2:3" x14ac:dyDescent="0.25">
      <c r="B33" s="7" t="s">
        <v>42</v>
      </c>
      <c r="C33">
        <f>SUBTOTAL(9,C14:C31)</f>
        <v>1400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707D-AC43-44A2-A022-39856934F8AB}">
  <dimension ref="A1:E33"/>
  <sheetViews>
    <sheetView tabSelected="1" zoomScale="160" zoomScaleNormal="160" workbookViewId="0">
      <selection activeCell="F14" sqref="F14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0</v>
      </c>
      <c r="D2" s="4">
        <f>SUMIFS(Operacje[Kwota],Operacje[Bank],grudzień_saldo[[#This Row],[Bank]],Operacje[Produkt],grudzień_saldo[[#This Row],[Produkt]],Operacje[Miesiąc],$B$11)</f>
        <v>0</v>
      </c>
      <c r="E2" s="4">
        <f ca="1">grudzień_saldo[[#This Row],[Saldo początkowe]]+grudzień_saldo[[#This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15696.94</v>
      </c>
      <c r="D3" s="4">
        <f>SUMIFS(Operacje[Kwota],Operacje[Bank],grudzień_saldo[[#This Row],[Bank]],Operacje[Produkt],grudzień_saldo[[#This Row],[Produkt]],Operacje[Miesiąc],$B$11)</f>
        <v>1320</v>
      </c>
      <c r="E3" s="4">
        <f ca="1">grudzień_saldo[[#This Row],[Saldo początkowe]]+grudzień_saldo[[#This Row],[Operacje]]</f>
        <v>17016.940000000002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SUMIFS(Operacje[Kwota],Operacje[Bank],grudzień_saldo[[#This Row],[Bank]],Operacje[Produkt],grudzień_saldo[[#This Row],[Produkt]],Operacje[Miesiąc],$B$11)</f>
        <v>0</v>
      </c>
      <c r="E4" s="4">
        <f ca="1">grudzień_saldo[[#This Row],[Saldo początkowe]]+grudzień_saldo[[#This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548.5</v>
      </c>
      <c r="D5" s="4">
        <f>SUMIFS(Operacje[Kwota],Operacje[Bank],grudzień_saldo[[#This Row],[Bank]],Operacje[Produkt],grudzień_saldo[[#This Row],[Produkt]],Operacje[Miesiąc],$B$11)</f>
        <v>0</v>
      </c>
      <c r="E5" s="4">
        <f ca="1">grudzień_saldo[[#This Row],[Saldo początkowe]]+grudzień_saldo[[#This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SUMIFS(Operacje[Kwota],Operacje[Bank],grudzień_saldo[[#This Row],[Bank]],Operacje[Produkt],grudzień_saldo[[#This Row],[Produkt]],Operacje[Miesiąc],$B$11)</f>
        <v>0</v>
      </c>
      <c r="E6" s="4">
        <f ca="1">grudzień_saldo[[#This Row],[Saldo początkowe]]+grudzień_saldo[[#This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SUMIFS(Operacje[Kwota],Operacje[Bank],grudzień_saldo[[#This Row],[Bank]],Operacje[Produkt],grudzień_saldo[[#This Row],[Produkt]],Operacje[Miesiąc],$B$11)</f>
        <v>0</v>
      </c>
      <c r="E7" s="4">
        <f ca="1">grudzień_saldo[[#This Row],[Saldo początkowe]]+grudzień_saldo[[#This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793</v>
      </c>
      <c r="D8" s="4">
        <f>SUMIFS(Operacje[Kwota],Operacje[Bank],grudzień_saldo[[#This Row],[Bank]],Operacje[Produkt],grudzień_saldo[[#This Row],[Produkt]],Operacje[Miesiąc],$B$11)</f>
        <v>1100</v>
      </c>
      <c r="E8" s="4">
        <f ca="1">grudzień_saldo[[#This Row],[Saldo początkowe]]+grudzień_saldo[[#This Row],[Operacje]]</f>
        <v>1893</v>
      </c>
    </row>
    <row r="9" spans="1:5" x14ac:dyDescent="0.25">
      <c r="A9" t="s">
        <v>38</v>
      </c>
      <c r="C9" s="4">
        <f ca="1">SUBTOTAL(109,grudzień_saldo[Saldo początkowe])</f>
        <v>18319.95</v>
      </c>
      <c r="D9" s="4">
        <f>SUBTOTAL(109,grudzień_saldo[Operacje])</f>
        <v>2420</v>
      </c>
      <c r="E9" s="4">
        <f ca="1">SUBTOTAL(109,grudzień_saldo[Saldo końcowe])</f>
        <v>20739.95</v>
      </c>
    </row>
    <row r="11" spans="1:5" x14ac:dyDescent="0.25">
      <c r="A11" t="s">
        <v>6</v>
      </c>
      <c r="B11">
        <v>12</v>
      </c>
      <c r="C11" t="str">
        <f>TEXT(DATE(2025,B11,1),"mmmm")</f>
        <v>grudzień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SUMIFS(Operacje[Kwota],Operacje[Kategoria],$A14,Operacje[Miesiąc],grudzień!$B$11)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SUMIFS(Operacje[Kwota],Operacje[Kategoria],$A16,Operacje[Miesiąc],grudzień!$B$11)</f>
        <v>2000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SUMIFS(Operacje[Kwota],Operacje[Kategoria],$A17,Operacje[Miesiąc],grudzień!$B$11)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SUMIFS(Operacje[Kwota],Operacje[Kategoria],$A18,Operacje[Miesiąc],grudzień!$B$11)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SUMIFS(Operacje[Kwota],Operacje[Kategoria],$A19,Operacje[Miesiąc],grudzień!$B$11)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SUMIFS(Operacje[Kwota],Operacje[Kategoria],$A20,Operacje[Miesiąc],grudzień!$B$11)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SUMIFS(Operacje[Kwota],Operacje[Kategoria],$A21,Operacje[Miesiąc],grudzień!$B$11)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6500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SUMIFS(Operacje[Kwota],Operacje[Kategoria],$A23,Operacje[Miesiąc],grudzień!$B$11)</f>
        <v>-700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SUMIFS(Operacje[Kwota],Operacje[Kategoria],$A24,Operacje[Miesiąc],grudzień!$B$11)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SUMIFS(Operacje[Kwota],Operacje[Kategoria],$A25,Operacje[Miesiąc],grudzień!$B$11)</f>
        <v>-120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SUMIFS(Operacje[Kwota],Operacje[Kategoria],$A26,Operacje[Miesiąc],grudzień!$B$11)</f>
        <v>-700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SUMIFS(Operacje[Kwota],Operacje[Kategoria],$A27,Operacje[Miesiąc],grudzień!$B$11)</f>
        <v>-450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SUMIFS(Operacje[Kwota],Operacje[Kategoria],$A28,Operacje[Miesiąc],grudzień!$B$11)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SUMIFS(Operacje[Kwota],Operacje[Kategoria],$A29,Operacje[Miesiąc],grudzień!$B$11)</f>
        <v>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SUMIFS(Operacje[Kwota],Operacje[Kategoria],$A30,Operacje[Miesiąc],grudzień!$B$11)</f>
        <v>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SUMIFS(Operacje[Kwota],Operacje[Kategoria],$A31,Operacje[Miesiąc],grudzień!$B$11)</f>
        <v>-10</v>
      </c>
    </row>
    <row r="32" spans="1:3" outlineLevel="1" x14ac:dyDescent="0.25">
      <c r="B32" s="7" t="s">
        <v>41</v>
      </c>
      <c r="C32">
        <f>SUBTOTAL(9,C23:C31)</f>
        <v>-4080</v>
      </c>
    </row>
    <row r="33" spans="2:3" x14ac:dyDescent="0.25">
      <c r="B33" s="7" t="s">
        <v>42</v>
      </c>
      <c r="C33">
        <f>SUBTOTAL(9,C14:C31)</f>
        <v>2420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operacje</vt:lpstr>
      <vt:lpstr>kategorie</vt:lpstr>
      <vt:lpstr>styczeń</vt:lpstr>
      <vt:lpstr>luty</vt:lpstr>
      <vt:lpstr>marzec</vt:lpstr>
      <vt:lpstr>kwiecień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s-A121-08</cp:lastModifiedBy>
  <dcterms:created xsi:type="dcterms:W3CDTF">2024-12-14T15:11:08Z</dcterms:created>
  <dcterms:modified xsi:type="dcterms:W3CDTF">2025-01-11T16:11:29Z</dcterms:modified>
</cp:coreProperties>
</file>