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eo\Desktop\CONSEGNA PROPOSTA\"/>
    </mc:Choice>
  </mc:AlternateContent>
  <xr:revisionPtr revIDLastSave="0" documentId="13_ncr:1_{99DA067D-F9FB-4AB1-B0CF-9E0EA6605482}" xr6:coauthVersionLast="45" xr6:coauthVersionMax="45" xr10:uidLastSave="{00000000-0000-0000-0000-000000000000}"/>
  <bookViews>
    <workbookView xWindow="-120" yWindow="-120" windowWidth="20730" windowHeight="11160" xr2:uid="{3F061035-EA8E-4C94-9C97-35992959AEE0}"/>
  </bookViews>
  <sheets>
    <sheet name="Cash Flow calculation" sheetId="1" r:id="rId1"/>
    <sheet name="Cash flow graph" sheetId="4" r:id="rId2"/>
    <sheet name="Cost calculation" sheetId="2" r:id="rId3"/>
    <sheet name="Price calculation" sheetId="3" r:id="rId4"/>
  </sheets>
  <calcPr calcId="191029" iterate="1" iterateDelta="0.0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112" i="2" l="1"/>
  <c r="Y113" i="2"/>
  <c r="X112" i="2"/>
  <c r="X113" i="2"/>
  <c r="D9" i="3" l="1"/>
  <c r="M59" i="2" l="1"/>
  <c r="I113" i="2" l="1"/>
  <c r="J113" i="2"/>
  <c r="K113" i="2"/>
  <c r="L113" i="2"/>
  <c r="M113" i="2"/>
  <c r="N113" i="2"/>
  <c r="O113" i="2"/>
  <c r="P113" i="2"/>
  <c r="Q113" i="2"/>
  <c r="R113" i="2"/>
  <c r="S113" i="2"/>
  <c r="T113" i="2"/>
  <c r="U113" i="2"/>
  <c r="V113" i="2"/>
  <c r="W113" i="2"/>
  <c r="Z113" i="2"/>
  <c r="AA113" i="2"/>
  <c r="AB113" i="2"/>
  <c r="AC113" i="2"/>
  <c r="AD113" i="2"/>
  <c r="AE113" i="2"/>
  <c r="AF113" i="2"/>
  <c r="AG113" i="2"/>
  <c r="AH113" i="2"/>
  <c r="H113" i="2"/>
  <c r="I103" i="2"/>
  <c r="J103" i="2"/>
  <c r="K103" i="2"/>
  <c r="L103" i="2"/>
  <c r="M103" i="2"/>
  <c r="N103" i="2"/>
  <c r="O103" i="2"/>
  <c r="P103" i="2"/>
  <c r="Q103" i="2"/>
  <c r="R103" i="2"/>
  <c r="S103" i="2"/>
  <c r="T103" i="2"/>
  <c r="U103" i="2"/>
  <c r="V103" i="2"/>
  <c r="W103" i="2"/>
  <c r="X103" i="2"/>
  <c r="Y103" i="2"/>
  <c r="Z103" i="2"/>
  <c r="AA103" i="2"/>
  <c r="AB103" i="2"/>
  <c r="AC103" i="2"/>
  <c r="AD103" i="2"/>
  <c r="AE103" i="2"/>
  <c r="AF103" i="2"/>
  <c r="AG103" i="2"/>
  <c r="AH103" i="2"/>
  <c r="G103" i="2"/>
  <c r="H103" i="2"/>
  <c r="AI59" i="2"/>
  <c r="X67" i="2"/>
  <c r="W67" i="2"/>
  <c r="V67" i="2"/>
  <c r="U67" i="2"/>
  <c r="T67" i="2"/>
  <c r="AJ59" i="2" l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K3" i="1"/>
  <c r="B9" i="3"/>
  <c r="I105" i="2"/>
  <c r="J105" i="2"/>
  <c r="K105" i="2"/>
  <c r="L105" i="2"/>
  <c r="M105" i="2"/>
  <c r="N105" i="2"/>
  <c r="O105" i="2"/>
  <c r="P105" i="2"/>
  <c r="Q105" i="2"/>
  <c r="R105" i="2"/>
  <c r="S105" i="2"/>
  <c r="T105" i="2"/>
  <c r="U105" i="2"/>
  <c r="V105" i="2"/>
  <c r="W105" i="2"/>
  <c r="X105" i="2"/>
  <c r="Y105" i="2"/>
  <c r="Z105" i="2"/>
  <c r="AA105" i="2"/>
  <c r="AB105" i="2"/>
  <c r="AC105" i="2"/>
  <c r="AD105" i="2"/>
  <c r="AE105" i="2"/>
  <c r="AF105" i="2"/>
  <c r="AG105" i="2"/>
  <c r="AH105" i="2"/>
  <c r="G105" i="2"/>
  <c r="H105" i="2"/>
  <c r="G101" i="2"/>
  <c r="I101" i="2"/>
  <c r="J101" i="2"/>
  <c r="K101" i="2"/>
  <c r="L101" i="2"/>
  <c r="M101" i="2"/>
  <c r="N101" i="2"/>
  <c r="P101" i="2"/>
  <c r="R101" i="2"/>
  <c r="Z101" i="2"/>
  <c r="AA101" i="2"/>
  <c r="AB101" i="2"/>
  <c r="AC101" i="2"/>
  <c r="AD101" i="2"/>
  <c r="AE101" i="2"/>
  <c r="AF101" i="2"/>
  <c r="AG101" i="2"/>
  <c r="AH101" i="2"/>
  <c r="H101" i="2"/>
  <c r="AI73" i="2"/>
  <c r="AJ73" i="2" s="1"/>
  <c r="AI57" i="2"/>
  <c r="AJ57" i="2" s="1"/>
  <c r="O54" i="2"/>
  <c r="P54" i="2" s="1"/>
  <c r="Q54" i="2" s="1"/>
  <c r="R54" i="2" s="1"/>
  <c r="S54" i="2" s="1"/>
  <c r="T54" i="2" s="1"/>
  <c r="U54" i="2" s="1"/>
  <c r="V54" i="2" s="1"/>
  <c r="W54" i="2" s="1"/>
  <c r="X54" i="2" s="1"/>
  <c r="Y54" i="2" s="1"/>
  <c r="Z54" i="2" s="1"/>
  <c r="AA54" i="2" s="1"/>
  <c r="AI56" i="2"/>
  <c r="AJ56" i="2" s="1"/>
  <c r="AI38" i="2"/>
  <c r="AI72" i="2"/>
  <c r="AI58" i="2"/>
  <c r="AJ58" i="2" s="1"/>
  <c r="X101" i="2" l="1"/>
  <c r="S101" i="2"/>
  <c r="Y101" i="2"/>
  <c r="Q101" i="2"/>
  <c r="W101" i="2"/>
  <c r="O101" i="2"/>
  <c r="V101" i="2"/>
  <c r="U101" i="2"/>
  <c r="T101" i="2"/>
  <c r="G3" i="1" l="1"/>
  <c r="H3" i="1"/>
  <c r="P3" i="1" l="1"/>
  <c r="Q3" i="1" s="1"/>
  <c r="N3" i="4" s="1"/>
  <c r="J5" i="4"/>
  <c r="J25" i="4"/>
  <c r="J3" i="4"/>
  <c r="D4" i="4"/>
  <c r="E4" i="4"/>
  <c r="C3" i="4"/>
  <c r="D3" i="4"/>
  <c r="E3" i="4"/>
  <c r="F3" i="4"/>
  <c r="B3" i="4"/>
  <c r="A4" i="4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M3" i="4" l="1"/>
  <c r="O31" i="1"/>
  <c r="K4" i="1"/>
  <c r="F4" i="4" s="1"/>
  <c r="K5" i="1"/>
  <c r="F5" i="4" s="1"/>
  <c r="K6" i="1"/>
  <c r="F6" i="4" s="1"/>
  <c r="K7" i="1"/>
  <c r="F7" i="4" s="1"/>
  <c r="K8" i="1"/>
  <c r="F8" i="4" s="1"/>
  <c r="K9" i="1"/>
  <c r="F9" i="4" s="1"/>
  <c r="K10" i="1"/>
  <c r="F10" i="4" s="1"/>
  <c r="K11" i="1"/>
  <c r="F11" i="4" s="1"/>
  <c r="K12" i="1"/>
  <c r="F12" i="4" s="1"/>
  <c r="K13" i="1"/>
  <c r="F13" i="4" s="1"/>
  <c r="K14" i="1"/>
  <c r="F14" i="4" s="1"/>
  <c r="K15" i="1"/>
  <c r="F15" i="4" s="1"/>
  <c r="K16" i="1"/>
  <c r="F16" i="4" s="1"/>
  <c r="K17" i="1"/>
  <c r="F17" i="4" s="1"/>
  <c r="K18" i="1"/>
  <c r="F18" i="4" s="1"/>
  <c r="K19" i="1"/>
  <c r="F19" i="4" s="1"/>
  <c r="K20" i="1"/>
  <c r="F20" i="4" s="1"/>
  <c r="K21" i="1"/>
  <c r="F21" i="4" s="1"/>
  <c r="K22" i="1"/>
  <c r="F22" i="4" s="1"/>
  <c r="K23" i="1"/>
  <c r="F23" i="4" s="1"/>
  <c r="K24" i="1"/>
  <c r="F24" i="4" s="1"/>
  <c r="K25" i="1"/>
  <c r="F25" i="4" s="1"/>
  <c r="K26" i="1"/>
  <c r="F26" i="4" s="1"/>
  <c r="K27" i="1"/>
  <c r="F27" i="4" s="1"/>
  <c r="K28" i="1"/>
  <c r="F28" i="4" s="1"/>
  <c r="K29" i="1"/>
  <c r="F29" i="4" s="1"/>
  <c r="K32" i="1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J32" i="1"/>
  <c r="I6" i="1"/>
  <c r="D6" i="4" s="1"/>
  <c r="I7" i="1"/>
  <c r="D7" i="4" s="1"/>
  <c r="I8" i="1"/>
  <c r="D8" i="4" s="1"/>
  <c r="I9" i="1"/>
  <c r="D9" i="4" s="1"/>
  <c r="I10" i="1"/>
  <c r="D10" i="4" s="1"/>
  <c r="I11" i="1"/>
  <c r="D11" i="4" s="1"/>
  <c r="I12" i="1"/>
  <c r="D12" i="4" s="1"/>
  <c r="I13" i="1"/>
  <c r="D13" i="4" s="1"/>
  <c r="I14" i="1"/>
  <c r="D14" i="4" s="1"/>
  <c r="I15" i="1"/>
  <c r="D15" i="4" s="1"/>
  <c r="I16" i="1"/>
  <c r="D16" i="4" s="1"/>
  <c r="I17" i="1"/>
  <c r="D17" i="4" s="1"/>
  <c r="I18" i="1"/>
  <c r="D18" i="4" s="1"/>
  <c r="I19" i="1"/>
  <c r="D19" i="4" s="1"/>
  <c r="I20" i="1"/>
  <c r="D20" i="4" s="1"/>
  <c r="I21" i="1"/>
  <c r="D21" i="4" s="1"/>
  <c r="I22" i="1"/>
  <c r="D22" i="4" s="1"/>
  <c r="I23" i="1"/>
  <c r="D23" i="4" s="1"/>
  <c r="I24" i="1"/>
  <c r="D24" i="4" s="1"/>
  <c r="I25" i="1"/>
  <c r="D25" i="4" s="1"/>
  <c r="I26" i="1"/>
  <c r="D26" i="4" s="1"/>
  <c r="I27" i="1"/>
  <c r="D27" i="4" s="1"/>
  <c r="I28" i="1"/>
  <c r="D28" i="4" s="1"/>
  <c r="I29" i="1"/>
  <c r="D29" i="4" s="1"/>
  <c r="I32" i="1"/>
  <c r="I5" i="1"/>
  <c r="D5" i="4" s="1"/>
  <c r="G4" i="1"/>
  <c r="B4" i="4" s="1"/>
  <c r="G5" i="1"/>
  <c r="B5" i="4" s="1"/>
  <c r="G6" i="1"/>
  <c r="B6" i="4" s="1"/>
  <c r="G7" i="1"/>
  <c r="B7" i="4" s="1"/>
  <c r="G8" i="1"/>
  <c r="B8" i="4" s="1"/>
  <c r="G9" i="1"/>
  <c r="B9" i="4" s="1"/>
  <c r="G10" i="1"/>
  <c r="B10" i="4" s="1"/>
  <c r="G11" i="1"/>
  <c r="B11" i="4" s="1"/>
  <c r="G12" i="1"/>
  <c r="B12" i="4" s="1"/>
  <c r="G13" i="1"/>
  <c r="B13" i="4" s="1"/>
  <c r="G14" i="1"/>
  <c r="B14" i="4" s="1"/>
  <c r="G15" i="1"/>
  <c r="B15" i="4" s="1"/>
  <c r="G16" i="1"/>
  <c r="B16" i="4" s="1"/>
  <c r="G17" i="1"/>
  <c r="B17" i="4" s="1"/>
  <c r="G18" i="1"/>
  <c r="B18" i="4" s="1"/>
  <c r="G19" i="1"/>
  <c r="B19" i="4" s="1"/>
  <c r="G20" i="1"/>
  <c r="B20" i="4" s="1"/>
  <c r="G21" i="1"/>
  <c r="B21" i="4" s="1"/>
  <c r="G22" i="1"/>
  <c r="B22" i="4" s="1"/>
  <c r="G23" i="1"/>
  <c r="B23" i="4" s="1"/>
  <c r="G24" i="1"/>
  <c r="B24" i="4" s="1"/>
  <c r="G25" i="1"/>
  <c r="B25" i="4" s="1"/>
  <c r="G26" i="1"/>
  <c r="B26" i="4" s="1"/>
  <c r="G27" i="1"/>
  <c r="B27" i="4" s="1"/>
  <c r="G28" i="1"/>
  <c r="B28" i="4" s="1"/>
  <c r="G29" i="1"/>
  <c r="B29" i="4" s="1"/>
  <c r="G32" i="1"/>
  <c r="H4" i="1"/>
  <c r="C4" i="4" s="1"/>
  <c r="H5" i="1"/>
  <c r="C5" i="4" s="1"/>
  <c r="H6" i="1"/>
  <c r="C6" i="4" s="1"/>
  <c r="H7" i="1"/>
  <c r="C7" i="4" s="1"/>
  <c r="H8" i="1"/>
  <c r="C8" i="4" s="1"/>
  <c r="H9" i="1"/>
  <c r="C9" i="4" s="1"/>
  <c r="H10" i="1"/>
  <c r="C10" i="4" s="1"/>
  <c r="H11" i="1"/>
  <c r="C11" i="4" s="1"/>
  <c r="H12" i="1"/>
  <c r="C12" i="4" s="1"/>
  <c r="H13" i="1"/>
  <c r="C13" i="4" s="1"/>
  <c r="H14" i="1"/>
  <c r="C14" i="4" s="1"/>
  <c r="H15" i="1"/>
  <c r="C15" i="4" s="1"/>
  <c r="H16" i="1"/>
  <c r="C16" i="4" s="1"/>
  <c r="H17" i="1"/>
  <c r="C17" i="4" s="1"/>
  <c r="H18" i="1"/>
  <c r="C18" i="4" s="1"/>
  <c r="H19" i="1"/>
  <c r="C19" i="4" s="1"/>
  <c r="H20" i="1"/>
  <c r="C20" i="4" s="1"/>
  <c r="H21" i="1"/>
  <c r="C21" i="4" s="1"/>
  <c r="H22" i="1"/>
  <c r="C22" i="4" s="1"/>
  <c r="H23" i="1"/>
  <c r="C23" i="4" s="1"/>
  <c r="H24" i="1"/>
  <c r="C24" i="4" s="1"/>
  <c r="H25" i="1"/>
  <c r="C25" i="4" s="1"/>
  <c r="H26" i="1"/>
  <c r="C26" i="4" s="1"/>
  <c r="H27" i="1"/>
  <c r="C27" i="4" s="1"/>
  <c r="H28" i="1"/>
  <c r="C28" i="4" s="1"/>
  <c r="H29" i="1"/>
  <c r="C29" i="4" s="1"/>
  <c r="H32" i="1"/>
  <c r="C31" i="1"/>
  <c r="D31" i="1"/>
  <c r="E31" i="1"/>
  <c r="F31" i="1"/>
  <c r="X66" i="2"/>
  <c r="W66" i="2"/>
  <c r="V66" i="2"/>
  <c r="U66" i="2"/>
  <c r="T66" i="2"/>
  <c r="S66" i="2"/>
  <c r="R66" i="2"/>
  <c r="Q66" i="2"/>
  <c r="R65" i="2"/>
  <c r="Q65" i="2"/>
  <c r="P65" i="2"/>
  <c r="R63" i="2"/>
  <c r="Q63" i="2"/>
  <c r="P63" i="2"/>
  <c r="O63" i="2"/>
  <c r="R62" i="2"/>
  <c r="Q62" i="2"/>
  <c r="P62" i="2"/>
  <c r="O62" i="2"/>
  <c r="G31" i="1" l="1"/>
  <c r="K31" i="1"/>
  <c r="H31" i="1"/>
  <c r="J31" i="1"/>
  <c r="I31" i="1"/>
  <c r="B113" i="2" l="1"/>
  <c r="L114" i="2" s="1"/>
  <c r="AH114" i="2" l="1"/>
  <c r="X115" i="2"/>
  <c r="J115" i="2"/>
  <c r="AA115" i="2"/>
  <c r="Z114" i="2"/>
  <c r="AC115" i="2"/>
  <c r="AE115" i="2"/>
  <c r="V114" i="2"/>
  <c r="AG114" i="2"/>
  <c r="W115" i="2"/>
  <c r="X114" i="2"/>
  <c r="AF114" i="2"/>
  <c r="N114" i="2"/>
  <c r="R115" i="2"/>
  <c r="P114" i="2"/>
  <c r="AD114" i="2"/>
  <c r="O115" i="2"/>
  <c r="T115" i="2"/>
  <c r="J114" i="2"/>
  <c r="AG115" i="2"/>
  <c r="U114" i="2"/>
  <c r="U115" i="2"/>
  <c r="H114" i="2"/>
  <c r="AC114" i="2"/>
  <c r="H115" i="2"/>
  <c r="M114" i="2"/>
  <c r="AB115" i="2"/>
  <c r="S114" i="2"/>
  <c r="M115" i="2"/>
  <c r="Z115" i="2"/>
  <c r="AF115" i="2"/>
  <c r="L115" i="2"/>
  <c r="N115" i="2"/>
  <c r="AA114" i="2"/>
  <c r="S115" i="2"/>
  <c r="Y115" i="2"/>
  <c r="P115" i="2"/>
  <c r="Y114" i="2"/>
  <c r="K115" i="2"/>
  <c r="K114" i="2"/>
  <c r="AE114" i="2"/>
  <c r="Q115" i="2"/>
  <c r="AB114" i="2"/>
  <c r="Q114" i="2"/>
  <c r="W114" i="2"/>
  <c r="AD115" i="2"/>
  <c r="R114" i="2"/>
  <c r="O114" i="2"/>
  <c r="I115" i="2"/>
  <c r="T114" i="2"/>
  <c r="I114" i="2"/>
  <c r="AH115" i="2"/>
  <c r="V115" i="2"/>
  <c r="B31" i="1"/>
  <c r="AI87" i="2"/>
  <c r="H102" i="2" l="1"/>
  <c r="I102" i="2"/>
  <c r="J102" i="2"/>
  <c r="K102" i="2"/>
  <c r="L102" i="2"/>
  <c r="M102" i="2"/>
  <c r="N102" i="2"/>
  <c r="O102" i="2"/>
  <c r="P102" i="2"/>
  <c r="Q102" i="2"/>
  <c r="R102" i="2"/>
  <c r="S102" i="2"/>
  <c r="T102" i="2"/>
  <c r="U102" i="2"/>
  <c r="V102" i="2"/>
  <c r="W102" i="2"/>
  <c r="X102" i="2"/>
  <c r="Y102" i="2"/>
  <c r="Z102" i="2"/>
  <c r="AA102" i="2"/>
  <c r="AB102" i="2"/>
  <c r="AC102" i="2"/>
  <c r="AD102" i="2"/>
  <c r="AE102" i="2"/>
  <c r="AF102" i="2"/>
  <c r="AG102" i="2"/>
  <c r="AH102" i="2"/>
  <c r="H104" i="2"/>
  <c r="I104" i="2"/>
  <c r="J104" i="2"/>
  <c r="K104" i="2"/>
  <c r="L104" i="2"/>
  <c r="M104" i="2"/>
  <c r="N104" i="2"/>
  <c r="O104" i="2"/>
  <c r="P104" i="2"/>
  <c r="Q104" i="2"/>
  <c r="R104" i="2"/>
  <c r="S104" i="2"/>
  <c r="T104" i="2"/>
  <c r="U104" i="2"/>
  <c r="V104" i="2"/>
  <c r="W104" i="2"/>
  <c r="X104" i="2"/>
  <c r="Y104" i="2"/>
  <c r="Z104" i="2"/>
  <c r="AA104" i="2"/>
  <c r="AB104" i="2"/>
  <c r="AC104" i="2"/>
  <c r="AD104" i="2"/>
  <c r="AE104" i="2"/>
  <c r="AF104" i="2"/>
  <c r="AG104" i="2"/>
  <c r="AH104" i="2"/>
  <c r="G102" i="2"/>
  <c r="G104" i="2"/>
  <c r="AI3" i="2"/>
  <c r="AI14" i="2"/>
  <c r="AJ14" i="2" s="1"/>
  <c r="AI2" i="2"/>
  <c r="AJ2" i="2" s="1"/>
  <c r="AI4" i="2"/>
  <c r="AJ4" i="2" s="1"/>
  <c r="AI5" i="2"/>
  <c r="AJ5" i="2" s="1"/>
  <c r="AI6" i="2"/>
  <c r="AJ6" i="2" s="1"/>
  <c r="AC108" i="2" l="1"/>
  <c r="AC110" i="2" s="1"/>
  <c r="U108" i="2"/>
  <c r="U110" i="2" s="1"/>
  <c r="M108" i="2"/>
  <c r="M110" i="2" s="1"/>
  <c r="Z108" i="2"/>
  <c r="Z110" i="2" s="1"/>
  <c r="AA108" i="2"/>
  <c r="AA110" i="2" s="1"/>
  <c r="R108" i="2"/>
  <c r="R110" i="2" s="1"/>
  <c r="AJ3" i="2"/>
  <c r="AI104" i="2"/>
  <c r="O108" i="2"/>
  <c r="O110" i="2" s="1"/>
  <c r="AF108" i="2"/>
  <c r="AF110" i="2" s="1"/>
  <c r="X108" i="2"/>
  <c r="X110" i="2" s="1"/>
  <c r="P108" i="2"/>
  <c r="P110" i="2" s="1"/>
  <c r="H108" i="2"/>
  <c r="H110" i="2" s="1"/>
  <c r="S108" i="2"/>
  <c r="S110" i="2" s="1"/>
  <c r="K108" i="2"/>
  <c r="K110" i="2" s="1"/>
  <c r="AD108" i="2"/>
  <c r="AD110" i="2" s="1"/>
  <c r="V108" i="2"/>
  <c r="V110" i="2" s="1"/>
  <c r="N108" i="2"/>
  <c r="N110" i="2" s="1"/>
  <c r="W108" i="2"/>
  <c r="W110" i="2" s="1"/>
  <c r="AH108" i="2"/>
  <c r="AH110" i="2" s="1"/>
  <c r="AE108" i="2"/>
  <c r="AE110" i="2" s="1"/>
  <c r="AG108" i="2"/>
  <c r="AG110" i="2" s="1"/>
  <c r="Y108" i="2"/>
  <c r="Y110" i="2" s="1"/>
  <c r="Q108" i="2"/>
  <c r="Q110" i="2" s="1"/>
  <c r="I108" i="2"/>
  <c r="I110" i="2" s="1"/>
  <c r="AB108" i="2"/>
  <c r="AB110" i="2" s="1"/>
  <c r="T108" i="2"/>
  <c r="T110" i="2" s="1"/>
  <c r="L108" i="2"/>
  <c r="L110" i="2" s="1"/>
  <c r="J108" i="2"/>
  <c r="J110" i="2" s="1"/>
  <c r="G108" i="2"/>
  <c r="G110" i="2" s="1"/>
  <c r="AJ104" i="2" l="1"/>
  <c r="B7" i="3"/>
  <c r="D7" i="3" s="1"/>
  <c r="AI7" i="2"/>
  <c r="AI8" i="2"/>
  <c r="AJ8" i="2" s="1"/>
  <c r="AI9" i="2"/>
  <c r="AJ9" i="2" s="1"/>
  <c r="AI10" i="2"/>
  <c r="AJ10" i="2" s="1"/>
  <c r="AI11" i="2"/>
  <c r="AJ11" i="2" s="1"/>
  <c r="AI12" i="2"/>
  <c r="AJ12" i="2" s="1"/>
  <c r="AI13" i="2"/>
  <c r="AJ13" i="2" s="1"/>
  <c r="AI15" i="2"/>
  <c r="AI16" i="2"/>
  <c r="AJ16" i="2" s="1"/>
  <c r="AI17" i="2"/>
  <c r="AJ17" i="2" s="1"/>
  <c r="AI18" i="2"/>
  <c r="AJ18" i="2" s="1"/>
  <c r="AI19" i="2"/>
  <c r="AJ19" i="2" s="1"/>
  <c r="AI20" i="2"/>
  <c r="AJ20" i="2" s="1"/>
  <c r="AI21" i="2"/>
  <c r="AJ21" i="2" s="1"/>
  <c r="AI22" i="2"/>
  <c r="AJ22" i="2" s="1"/>
  <c r="AI23" i="2"/>
  <c r="AJ23" i="2" s="1"/>
  <c r="AI24" i="2"/>
  <c r="AJ24" i="2" s="1"/>
  <c r="AI25" i="2"/>
  <c r="AJ25" i="2" s="1"/>
  <c r="AI26" i="2"/>
  <c r="AJ26" i="2" s="1"/>
  <c r="AI27" i="2"/>
  <c r="AJ27" i="2" s="1"/>
  <c r="AI28" i="2"/>
  <c r="AJ28" i="2" s="1"/>
  <c r="AI29" i="2"/>
  <c r="AJ29" i="2" s="1"/>
  <c r="AI30" i="2"/>
  <c r="AJ30" i="2" s="1"/>
  <c r="AI31" i="2"/>
  <c r="AJ31" i="2" s="1"/>
  <c r="AI32" i="2"/>
  <c r="AJ32" i="2" s="1"/>
  <c r="AI33" i="2"/>
  <c r="AJ33" i="2" s="1"/>
  <c r="AI34" i="2"/>
  <c r="AJ34" i="2" s="1"/>
  <c r="AI35" i="2"/>
  <c r="AJ35" i="2" s="1"/>
  <c r="AI36" i="2"/>
  <c r="AJ36" i="2" s="1"/>
  <c r="AI37" i="2"/>
  <c r="AJ38" i="2" s="1"/>
  <c r="AI39" i="2"/>
  <c r="AJ39" i="2" s="1"/>
  <c r="AI40" i="2"/>
  <c r="AJ40" i="2" s="1"/>
  <c r="AI41" i="2"/>
  <c r="AJ41" i="2" s="1"/>
  <c r="AI42" i="2"/>
  <c r="AJ42" i="2" s="1"/>
  <c r="AI43" i="2"/>
  <c r="AJ43" i="2" s="1"/>
  <c r="AI44" i="2"/>
  <c r="AJ44" i="2" s="1"/>
  <c r="AI45" i="2"/>
  <c r="AJ45" i="2" s="1"/>
  <c r="AI46" i="2"/>
  <c r="AJ46" i="2" s="1"/>
  <c r="AI47" i="2"/>
  <c r="AJ47" i="2" s="1"/>
  <c r="AI48" i="2"/>
  <c r="AJ48" i="2" s="1"/>
  <c r="AI49" i="2"/>
  <c r="AJ49" i="2" s="1"/>
  <c r="AI50" i="2"/>
  <c r="AJ50" i="2" s="1"/>
  <c r="AI51" i="2"/>
  <c r="AJ51" i="2" s="1"/>
  <c r="AI52" i="2"/>
  <c r="AJ52" i="2" s="1"/>
  <c r="AI53" i="2"/>
  <c r="AJ53" i="2" s="1"/>
  <c r="AI54" i="2"/>
  <c r="AJ54" i="2" s="1"/>
  <c r="AI55" i="2"/>
  <c r="AI60" i="2"/>
  <c r="AI61" i="2"/>
  <c r="AJ61" i="2" s="1"/>
  <c r="AI62" i="2"/>
  <c r="AJ62" i="2" s="1"/>
  <c r="AI63" i="2"/>
  <c r="AJ63" i="2" s="1"/>
  <c r="AI64" i="2"/>
  <c r="AJ64" i="2" s="1"/>
  <c r="AI65" i="2"/>
  <c r="AJ65" i="2" s="1"/>
  <c r="AI66" i="2"/>
  <c r="AJ66" i="2" s="1"/>
  <c r="AI67" i="2"/>
  <c r="AJ67" i="2" s="1"/>
  <c r="AI68" i="2"/>
  <c r="AJ68" i="2" s="1"/>
  <c r="AI69" i="2"/>
  <c r="AJ69" i="2" s="1"/>
  <c r="AI70" i="2"/>
  <c r="AJ70" i="2" s="1"/>
  <c r="AI71" i="2"/>
  <c r="AJ71" i="2" s="1"/>
  <c r="AJ72" i="2"/>
  <c r="AI74" i="2"/>
  <c r="AJ74" i="2" s="1"/>
  <c r="AI75" i="2"/>
  <c r="AJ75" i="2" s="1"/>
  <c r="AI76" i="2"/>
  <c r="AJ76" i="2" s="1"/>
  <c r="AI77" i="2"/>
  <c r="AJ77" i="2" s="1"/>
  <c r="AI78" i="2"/>
  <c r="AJ78" i="2" s="1"/>
  <c r="AI79" i="2"/>
  <c r="AJ79" i="2" s="1"/>
  <c r="AI80" i="2"/>
  <c r="AJ80" i="2" s="1"/>
  <c r="AI81" i="2"/>
  <c r="AJ81" i="2" s="1"/>
  <c r="AI82" i="2"/>
  <c r="AJ82" i="2" s="1"/>
  <c r="AI83" i="2"/>
  <c r="AJ83" i="2" s="1"/>
  <c r="AI84" i="2"/>
  <c r="AJ84" i="2" s="1"/>
  <c r="AI85" i="2"/>
  <c r="AJ85" i="2" s="1"/>
  <c r="AI86" i="2"/>
  <c r="AJ86" i="2" s="1"/>
  <c r="AI88" i="2"/>
  <c r="AI89" i="2"/>
  <c r="AJ89" i="2" s="1"/>
  <c r="AI90" i="2"/>
  <c r="AJ90" i="2" s="1"/>
  <c r="AI91" i="2"/>
  <c r="AJ91" i="2" s="1"/>
  <c r="AI92" i="2"/>
  <c r="AJ92" i="2" s="1"/>
  <c r="AI93" i="2"/>
  <c r="AJ93" i="2" s="1"/>
  <c r="AI94" i="2"/>
  <c r="AJ94" i="2" s="1"/>
  <c r="AI95" i="2"/>
  <c r="AJ95" i="2" s="1"/>
  <c r="AI96" i="2"/>
  <c r="AI97" i="2"/>
  <c r="AJ97" i="2" s="1"/>
  <c r="AI98" i="2"/>
  <c r="AJ98" i="2" s="1"/>
  <c r="AI99" i="2"/>
  <c r="AJ99" i="2" s="1"/>
  <c r="I1" i="2"/>
  <c r="J1" i="2" s="1"/>
  <c r="K1" i="2" s="1"/>
  <c r="L1" i="2" s="1"/>
  <c r="M1" i="2" s="1"/>
  <c r="N1" i="2" s="1"/>
  <c r="O1" i="2" s="1"/>
  <c r="P1" i="2" s="1"/>
  <c r="Q1" i="2" s="1"/>
  <c r="R1" i="2" s="1"/>
  <c r="S1" i="2" s="1"/>
  <c r="T1" i="2" s="1"/>
  <c r="U1" i="2" s="1"/>
  <c r="V1" i="2" s="1"/>
  <c r="W1" i="2" s="1"/>
  <c r="X1" i="2" s="1"/>
  <c r="Y1" i="2" s="1"/>
  <c r="Z1" i="2" s="1"/>
  <c r="AA1" i="2" s="1"/>
  <c r="AB1" i="2" s="1"/>
  <c r="AC1" i="2" s="1"/>
  <c r="AD1" i="2" s="1"/>
  <c r="AE1" i="2" s="1"/>
  <c r="AF1" i="2" s="1"/>
  <c r="AG1" i="2" s="1"/>
  <c r="AH1" i="2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J88" i="2" l="1"/>
  <c r="AI103" i="2"/>
  <c r="AI101" i="2"/>
  <c r="AJ55" i="2"/>
  <c r="AI105" i="2"/>
  <c r="AJ7" i="2"/>
  <c r="AJ60" i="2"/>
  <c r="AJ15" i="2"/>
  <c r="AI102" i="2"/>
  <c r="N6" i="1"/>
  <c r="J6" i="4" s="1"/>
  <c r="N29" i="1"/>
  <c r="J29" i="4" s="1"/>
  <c r="L4" i="1"/>
  <c r="I3" i="4"/>
  <c r="G3" i="4" l="1"/>
  <c r="K3" i="4"/>
  <c r="L3" i="4" s="1"/>
  <c r="AJ105" i="2"/>
  <c r="B5" i="3"/>
  <c r="D5" i="3" s="1"/>
  <c r="AJ101" i="2"/>
  <c r="B2" i="3"/>
  <c r="D2" i="3" s="1"/>
  <c r="AJ102" i="2"/>
  <c r="B3" i="3"/>
  <c r="D3" i="3" s="1"/>
  <c r="AJ103" i="2"/>
  <c r="B4" i="3"/>
  <c r="D4" i="3" s="1"/>
  <c r="H3" i="4"/>
  <c r="I4" i="4"/>
  <c r="G4" i="4" s="1"/>
  <c r="B1" i="3" l="1"/>
  <c r="H4" i="4"/>
  <c r="D1" i="3" l="1"/>
  <c r="P29" i="1"/>
  <c r="M29" i="4" s="1"/>
  <c r="I28" i="4"/>
  <c r="I29" i="4"/>
  <c r="K29" i="4" s="1"/>
  <c r="G28" i="4" l="1"/>
  <c r="G29" i="4"/>
  <c r="M3" i="1"/>
  <c r="N4" i="1"/>
  <c r="P4" i="1"/>
  <c r="Q4" i="1"/>
  <c r="L5" i="1"/>
  <c r="M5" i="1"/>
  <c r="P5" i="1"/>
  <c r="Q5" i="1"/>
  <c r="L6" i="1"/>
  <c r="M6" i="1"/>
  <c r="P6" i="1"/>
  <c r="Q6" i="1"/>
  <c r="L7" i="1"/>
  <c r="M7" i="1"/>
  <c r="N7" i="1"/>
  <c r="P7" i="1"/>
  <c r="Q7" i="1"/>
  <c r="L8" i="1"/>
  <c r="M8" i="1"/>
  <c r="N8" i="1"/>
  <c r="P8" i="1"/>
  <c r="Q8" i="1"/>
  <c r="L9" i="1"/>
  <c r="M9" i="1"/>
  <c r="N9" i="1"/>
  <c r="P9" i="1"/>
  <c r="Q9" i="1"/>
  <c r="L10" i="1"/>
  <c r="M10" i="1"/>
  <c r="N10" i="1"/>
  <c r="P10" i="1"/>
  <c r="Q10" i="1"/>
  <c r="L11" i="1"/>
  <c r="M11" i="1"/>
  <c r="N11" i="1"/>
  <c r="P11" i="1"/>
  <c r="Q11" i="1"/>
  <c r="L12" i="1"/>
  <c r="M12" i="1"/>
  <c r="N12" i="1"/>
  <c r="P12" i="1"/>
  <c r="Q12" i="1"/>
  <c r="L13" i="1"/>
  <c r="M13" i="1"/>
  <c r="N13" i="1"/>
  <c r="P13" i="1"/>
  <c r="Q13" i="1"/>
  <c r="L14" i="1"/>
  <c r="M14" i="1"/>
  <c r="N14" i="1"/>
  <c r="P14" i="1"/>
  <c r="Q14" i="1"/>
  <c r="L15" i="1"/>
  <c r="M15" i="1"/>
  <c r="N15" i="1"/>
  <c r="P15" i="1"/>
  <c r="Q15" i="1"/>
  <c r="L16" i="1"/>
  <c r="M16" i="1"/>
  <c r="N16" i="1"/>
  <c r="P16" i="1"/>
  <c r="Q16" i="1"/>
  <c r="L17" i="1"/>
  <c r="M17" i="1"/>
  <c r="N17" i="1"/>
  <c r="P17" i="1"/>
  <c r="Q17" i="1"/>
  <c r="L18" i="1"/>
  <c r="M18" i="1"/>
  <c r="N18" i="1"/>
  <c r="P18" i="1"/>
  <c r="Q18" i="1"/>
  <c r="L19" i="1"/>
  <c r="M19" i="1"/>
  <c r="N19" i="1"/>
  <c r="P19" i="1"/>
  <c r="Q19" i="1"/>
  <c r="L20" i="1"/>
  <c r="M20" i="1"/>
  <c r="N20" i="1"/>
  <c r="P20" i="1"/>
  <c r="Q20" i="1"/>
  <c r="L21" i="1"/>
  <c r="M21" i="1"/>
  <c r="N21" i="1"/>
  <c r="P21" i="1"/>
  <c r="Q21" i="1"/>
  <c r="L22" i="1"/>
  <c r="M22" i="1"/>
  <c r="N22" i="1"/>
  <c r="P22" i="1"/>
  <c r="Q22" i="1"/>
  <c r="L23" i="1"/>
  <c r="M23" i="1"/>
  <c r="N23" i="1"/>
  <c r="P23" i="1"/>
  <c r="Q23" i="1"/>
  <c r="L24" i="1"/>
  <c r="M24" i="1"/>
  <c r="N24" i="1"/>
  <c r="P24" i="1"/>
  <c r="Q24" i="1"/>
  <c r="L25" i="1"/>
  <c r="M25" i="1"/>
  <c r="P25" i="1"/>
  <c r="Q25" i="1"/>
  <c r="L26" i="1"/>
  <c r="M26" i="1"/>
  <c r="N26" i="1"/>
  <c r="P26" i="1"/>
  <c r="Q26" i="1"/>
  <c r="L27" i="1"/>
  <c r="N27" i="1"/>
  <c r="P27" i="1"/>
  <c r="Q27" i="1"/>
  <c r="N28" i="1"/>
  <c r="P28" i="1"/>
  <c r="Q28" i="1"/>
  <c r="Q29" i="1"/>
  <c r="L31" i="1"/>
  <c r="B35" i="1"/>
  <c r="J4" i="4"/>
  <c r="K4" i="4"/>
  <c r="L4" i="4"/>
  <c r="M4" i="4"/>
  <c r="N4" i="4"/>
  <c r="G5" i="4"/>
  <c r="H5" i="4"/>
  <c r="I5" i="4"/>
  <c r="K5" i="4"/>
  <c r="L5" i="4"/>
  <c r="M5" i="4"/>
  <c r="N5" i="4"/>
  <c r="G6" i="4"/>
  <c r="H6" i="4"/>
  <c r="I6" i="4"/>
  <c r="K6" i="4"/>
  <c r="L6" i="4"/>
  <c r="M6" i="4"/>
  <c r="N6" i="4"/>
  <c r="G7" i="4"/>
  <c r="H7" i="4"/>
  <c r="I7" i="4"/>
  <c r="J7" i="4"/>
  <c r="K7" i="4"/>
  <c r="L7" i="4"/>
  <c r="M7" i="4"/>
  <c r="N7" i="4"/>
  <c r="G8" i="4"/>
  <c r="H8" i="4"/>
  <c r="I8" i="4"/>
  <c r="J8" i="4"/>
  <c r="K8" i="4"/>
  <c r="L8" i="4"/>
  <c r="M8" i="4"/>
  <c r="N8" i="4"/>
  <c r="G9" i="4"/>
  <c r="H9" i="4"/>
  <c r="I9" i="4"/>
  <c r="J9" i="4"/>
  <c r="K9" i="4"/>
  <c r="L9" i="4"/>
  <c r="M9" i="4"/>
  <c r="N9" i="4"/>
  <c r="G10" i="4"/>
  <c r="H10" i="4"/>
  <c r="I10" i="4"/>
  <c r="J10" i="4"/>
  <c r="K10" i="4"/>
  <c r="L10" i="4"/>
  <c r="M10" i="4"/>
  <c r="N10" i="4"/>
  <c r="G11" i="4"/>
  <c r="H11" i="4"/>
  <c r="I11" i="4"/>
  <c r="J11" i="4"/>
  <c r="K11" i="4"/>
  <c r="L11" i="4"/>
  <c r="M11" i="4"/>
  <c r="N11" i="4"/>
  <c r="G12" i="4"/>
  <c r="H12" i="4"/>
  <c r="I12" i="4"/>
  <c r="J12" i="4"/>
  <c r="K12" i="4"/>
  <c r="L12" i="4"/>
  <c r="M12" i="4"/>
  <c r="N12" i="4"/>
  <c r="G13" i="4"/>
  <c r="H13" i="4"/>
  <c r="I13" i="4"/>
  <c r="J13" i="4"/>
  <c r="K13" i="4"/>
  <c r="L13" i="4"/>
  <c r="M13" i="4"/>
  <c r="N13" i="4"/>
  <c r="G14" i="4"/>
  <c r="H14" i="4"/>
  <c r="I14" i="4"/>
  <c r="J14" i="4"/>
  <c r="K14" i="4"/>
  <c r="L14" i="4"/>
  <c r="M14" i="4"/>
  <c r="N14" i="4"/>
  <c r="G15" i="4"/>
  <c r="H15" i="4"/>
  <c r="I15" i="4"/>
  <c r="J15" i="4"/>
  <c r="K15" i="4"/>
  <c r="L15" i="4"/>
  <c r="M15" i="4"/>
  <c r="N15" i="4"/>
  <c r="G16" i="4"/>
  <c r="H16" i="4"/>
  <c r="I16" i="4"/>
  <c r="J16" i="4"/>
  <c r="K16" i="4"/>
  <c r="L16" i="4"/>
  <c r="M16" i="4"/>
  <c r="N16" i="4"/>
  <c r="G17" i="4"/>
  <c r="H17" i="4"/>
  <c r="I17" i="4"/>
  <c r="J17" i="4"/>
  <c r="K17" i="4"/>
  <c r="L17" i="4"/>
  <c r="M17" i="4"/>
  <c r="N17" i="4"/>
  <c r="G18" i="4"/>
  <c r="H18" i="4"/>
  <c r="I18" i="4"/>
  <c r="J18" i="4"/>
  <c r="K18" i="4"/>
  <c r="L18" i="4"/>
  <c r="M18" i="4"/>
  <c r="N18" i="4"/>
  <c r="G19" i="4"/>
  <c r="H19" i="4"/>
  <c r="I19" i="4"/>
  <c r="J19" i="4"/>
  <c r="K19" i="4"/>
  <c r="L19" i="4"/>
  <c r="M19" i="4"/>
  <c r="N19" i="4"/>
  <c r="G20" i="4"/>
  <c r="H20" i="4"/>
  <c r="I20" i="4"/>
  <c r="J20" i="4"/>
  <c r="K20" i="4"/>
  <c r="L20" i="4"/>
  <c r="M20" i="4"/>
  <c r="N20" i="4"/>
  <c r="G21" i="4"/>
  <c r="H21" i="4"/>
  <c r="I21" i="4"/>
  <c r="J21" i="4"/>
  <c r="K21" i="4"/>
  <c r="L21" i="4"/>
  <c r="M21" i="4"/>
  <c r="N21" i="4"/>
  <c r="G22" i="4"/>
  <c r="H22" i="4"/>
  <c r="I22" i="4"/>
  <c r="J22" i="4"/>
  <c r="K22" i="4"/>
  <c r="L22" i="4"/>
  <c r="M22" i="4"/>
  <c r="N22" i="4"/>
  <c r="G23" i="4"/>
  <c r="H23" i="4"/>
  <c r="I23" i="4"/>
  <c r="J23" i="4"/>
  <c r="K23" i="4"/>
  <c r="L23" i="4"/>
  <c r="M23" i="4"/>
  <c r="N23" i="4"/>
  <c r="G24" i="4"/>
  <c r="H24" i="4"/>
  <c r="I24" i="4"/>
  <c r="J24" i="4"/>
  <c r="K24" i="4"/>
  <c r="L24" i="4"/>
  <c r="M24" i="4"/>
  <c r="N24" i="4"/>
  <c r="G25" i="4"/>
  <c r="H25" i="4"/>
  <c r="I25" i="4"/>
  <c r="K25" i="4"/>
  <c r="L25" i="4"/>
  <c r="M25" i="4"/>
  <c r="N25" i="4"/>
  <c r="G26" i="4"/>
  <c r="H26" i="4"/>
  <c r="I26" i="4"/>
  <c r="J26" i="4"/>
  <c r="K26" i="4"/>
  <c r="L26" i="4"/>
  <c r="M26" i="4"/>
  <c r="N26" i="4"/>
  <c r="G27" i="4"/>
  <c r="H27" i="4"/>
  <c r="I27" i="4"/>
  <c r="J27" i="4"/>
  <c r="K27" i="4"/>
  <c r="L27" i="4"/>
  <c r="M27" i="4"/>
  <c r="N27" i="4"/>
  <c r="H28" i="4"/>
  <c r="J28" i="4"/>
  <c r="K28" i="4"/>
  <c r="L28" i="4"/>
  <c r="M28" i="4"/>
  <c r="N28" i="4"/>
  <c r="H29" i="4"/>
  <c r="L29" i="4"/>
  <c r="N29" i="4"/>
  <c r="B11" i="3"/>
  <c r="D11" i="3"/>
  <c r="B13" i="3"/>
  <c r="D13" i="3"/>
  <c r="B15" i="3"/>
  <c r="D15" i="3"/>
  <c r="B17" i="3"/>
  <c r="D17" i="3"/>
</calcChain>
</file>

<file path=xl/sharedStrings.xml><?xml version="1.0" encoding="utf-8"?>
<sst xmlns="http://schemas.openxmlformats.org/spreadsheetml/2006/main" count="598" uniqueCount="339">
  <si>
    <t>COSTS INVOICE</t>
  </si>
  <si>
    <t>CORPORATE OVERHEAD</t>
  </si>
  <si>
    <t>HUMAN RESOURCES</t>
  </si>
  <si>
    <t>MATERIALS</t>
  </si>
  <si>
    <t>SUBCONTRACTORS</t>
  </si>
  <si>
    <t>INSURANCE</t>
  </si>
  <si>
    <t>TOTAL</t>
  </si>
  <si>
    <t>Task Name</t>
  </si>
  <si>
    <t>Start</t>
  </si>
  <si>
    <t>Finish</t>
  </si>
  <si>
    <t>Resource Names</t>
  </si>
  <si>
    <t>Work</t>
  </si>
  <si>
    <t>Duration</t>
  </si>
  <si>
    <t>Cost</t>
  </si>
  <si>
    <t>PROJECT</t>
  </si>
  <si>
    <t>Mon 31/05/21</t>
  </si>
  <si>
    <t>Wed 18/01/23</t>
  </si>
  <si>
    <t>24.448,32 hrs</t>
  </si>
  <si>
    <t>427,12 days?</t>
  </si>
  <si>
    <t xml:space="preserve">   Start</t>
  </si>
  <si>
    <t>0 hrs</t>
  </si>
  <si>
    <t>0 days</t>
  </si>
  <si>
    <t xml:space="preserve">   INITIALIZATION</t>
  </si>
  <si>
    <t>Fri 29/10/21</t>
  </si>
  <si>
    <t>3.156 hrs</t>
  </si>
  <si>
    <t>109,5 days?</t>
  </si>
  <si>
    <t xml:space="preserve">      START-UP</t>
  </si>
  <si>
    <t>Tue 08/06/21</t>
  </si>
  <si>
    <t>56 hrs</t>
  </si>
  <si>
    <t>7 days</t>
  </si>
  <si>
    <t xml:space="preserve">         Contract finalization and signature</t>
  </si>
  <si>
    <t>Tue 01/06/21</t>
  </si>
  <si>
    <t>Project manager</t>
  </si>
  <si>
    <t>16 hrs</t>
  </si>
  <si>
    <t>2 days</t>
  </si>
  <si>
    <t xml:space="preserve">         Detailed Planning</t>
  </si>
  <si>
    <t>Wed 02/06/21</t>
  </si>
  <si>
    <t>40 hrs</t>
  </si>
  <si>
    <t>5 days</t>
  </si>
  <si>
    <t xml:space="preserve">      ENGINEERING PHASE</t>
  </si>
  <si>
    <t>Wed 09/06/21</t>
  </si>
  <si>
    <t>3.100 hrs</t>
  </si>
  <si>
    <t>102,5 days?</t>
  </si>
  <si>
    <t xml:space="preserve">         Detailed Engineering - Process</t>
  </si>
  <si>
    <t>Mon 05/07/21</t>
  </si>
  <si>
    <t>Thu 22/07/21</t>
  </si>
  <si>
    <t>Project engineer[200%];Specialized engineer[200%]</t>
  </si>
  <si>
    <t>350 hrs</t>
  </si>
  <si>
    <t>13,13 days</t>
  </si>
  <si>
    <t xml:space="preserve">         Detailed Engineering - Layout</t>
  </si>
  <si>
    <t>Thu 05/08/21</t>
  </si>
  <si>
    <t>260 hrs</t>
  </si>
  <si>
    <t>9,38 days?</t>
  </si>
  <si>
    <t xml:space="preserve">         Detailed Engineering - Utilities</t>
  </si>
  <si>
    <t>Mon 16/08/21</t>
  </si>
  <si>
    <t>210 hrs</t>
  </si>
  <si>
    <t>7,5 days?</t>
  </si>
  <si>
    <t xml:space="preserve">         Industrial Building Design </t>
  </si>
  <si>
    <t>510 hrs</t>
  </si>
  <si>
    <t>18,75 days?</t>
  </si>
  <si>
    <t xml:space="preserve">         Line manufacturing ICT system specification &amp; development</t>
  </si>
  <si>
    <t>Mon 20/09/21</t>
  </si>
  <si>
    <t>610 hrs</t>
  </si>
  <si>
    <t>25 days</t>
  </si>
  <si>
    <t xml:space="preserve">         Approval of engineering by the client</t>
  </si>
  <si>
    <t>Tue 03/08/21</t>
  </si>
  <si>
    <t>Tue 31/08/21</t>
  </si>
  <si>
    <t>Owner</t>
  </si>
  <si>
    <t>160 hrs</t>
  </si>
  <si>
    <t>20 days</t>
  </si>
  <si>
    <t xml:space="preserve">         Permits and authorizations from local authorities</t>
  </si>
  <si>
    <t>Fri 25/06/21</t>
  </si>
  <si>
    <t>Project engineer[200%];Specialized engineer[200%];Local Authorities</t>
  </si>
  <si>
    <t>1.000 hrs</t>
  </si>
  <si>
    <t>90 days</t>
  </si>
  <si>
    <t xml:space="preserve">   WORK IN ITALY</t>
  </si>
  <si>
    <t>Thu 18/08/22</t>
  </si>
  <si>
    <t>9.016 hrs</t>
  </si>
  <si>
    <t>293,23 days?</t>
  </si>
  <si>
    <t xml:space="preserve">      PURCHASE CIVIL WORKS</t>
  </si>
  <si>
    <t>Thu 19/08/21</t>
  </si>
  <si>
    <t>120 hrs</t>
  </si>
  <si>
    <t>33 days?</t>
  </si>
  <si>
    <t xml:space="preserve">         Request for proposals</t>
  </si>
  <si>
    <t>Thu 08/07/21</t>
  </si>
  <si>
    <t>Purchasing agent[200%]</t>
  </si>
  <si>
    <t>2,5 days?</t>
  </si>
  <si>
    <t xml:space="preserve">         Collection of proposals </t>
  </si>
  <si>
    <t xml:space="preserve">         Competitive proposal analysis</t>
  </si>
  <si>
    <t>Wed 18/08/21</t>
  </si>
  <si>
    <t>Project engineer[200%];Purchasing agent[200%]</t>
  </si>
  <si>
    <t>64 hrs</t>
  </si>
  <si>
    <t>2,75 days</t>
  </si>
  <si>
    <t xml:space="preserve">         Orders</t>
  </si>
  <si>
    <t>1 day</t>
  </si>
  <si>
    <t xml:space="preserve">      PURCHASE MACHINES</t>
  </si>
  <si>
    <t>Wed 15/09/21</t>
  </si>
  <si>
    <t>21,6 days?</t>
  </si>
  <si>
    <t>Mon 06/09/21</t>
  </si>
  <si>
    <t>Wed 08/09/21</t>
  </si>
  <si>
    <t>Tue 07/09/21</t>
  </si>
  <si>
    <t xml:space="preserve">      EQUIPMENT MANUFACTURING</t>
  </si>
  <si>
    <t>Wed 09/03/22</t>
  </si>
  <si>
    <t>4.888 hrs</t>
  </si>
  <si>
    <t>130 days</t>
  </si>
  <si>
    <t xml:space="preserve">         CNC machine (single-spindle and double-spindle)</t>
  </si>
  <si>
    <t>Wed 09/02/22</t>
  </si>
  <si>
    <t>Double-spindle CNC machine[11];Single-spindle CNC machine[3];Supplier</t>
  </si>
  <si>
    <t>880 hrs</t>
  </si>
  <si>
    <t>110 days</t>
  </si>
  <si>
    <t xml:space="preserve">         Washing station </t>
  </si>
  <si>
    <t>Wed 15/12/21</t>
  </si>
  <si>
    <t>Final washing station[1];Intermediate washing station[1];Supplier</t>
  </si>
  <si>
    <t>560 hrs</t>
  </si>
  <si>
    <t>70 days</t>
  </si>
  <si>
    <t xml:space="preserve">         Drilling machine</t>
  </si>
  <si>
    <t>Thu 09/12/21</t>
  </si>
  <si>
    <t>Drilling machine[1];Supplier</t>
  </si>
  <si>
    <t>528 hrs</t>
  </si>
  <si>
    <t>66 days</t>
  </si>
  <si>
    <t xml:space="preserve">         Assembly station</t>
  </si>
  <si>
    <t>Wed 26/01/22</t>
  </si>
  <si>
    <t>Assembly station[2];Supplier</t>
  </si>
  <si>
    <t>800 hrs</t>
  </si>
  <si>
    <t>100 days</t>
  </si>
  <si>
    <t xml:space="preserve">         Gantry loaders and robotized arms (total values)</t>
  </si>
  <si>
    <t>Wed 19/01/22</t>
  </si>
  <si>
    <t>Gantry loader (including robots)[1];Supplier</t>
  </si>
  <si>
    <t>760 hrs</t>
  </si>
  <si>
    <t>95 days</t>
  </si>
  <si>
    <t xml:space="preserve">         Material handling equipment (powered conveyors, overhead conveyors, lift/lower components, manipulators, rotating tables). Total values</t>
  </si>
  <si>
    <t>Lift/lower component[1];Manipulator[2];Overhead conveyor[1];Powered conveyor[1];Rotating table[7];Supplier</t>
  </si>
  <si>
    <t>1.040 hrs</t>
  </si>
  <si>
    <t xml:space="preserve">         Metal foodbridges and protection grids (total values)</t>
  </si>
  <si>
    <t>Wed 03/11/21</t>
  </si>
  <si>
    <t>Metal footbridge[1];Protection grids including doors[1];Supplier</t>
  </si>
  <si>
    <t>320 hrs</t>
  </si>
  <si>
    <t>40 days</t>
  </si>
  <si>
    <t xml:space="preserve">      PRE- ERECTION</t>
  </si>
  <si>
    <t>3.888 hrs</t>
  </si>
  <si>
    <t>180 days</t>
  </si>
  <si>
    <t xml:space="preserve">         Op. 10-CNC machine (2 single-spindle)</t>
  </si>
  <si>
    <t>Fri 11/03/22</t>
  </si>
  <si>
    <t>Fri 29/04/22</t>
  </si>
  <si>
    <t>Team of Italian workers (4 workers each)</t>
  </si>
  <si>
    <t>280 hrs</t>
  </si>
  <si>
    <t>35 days</t>
  </si>
  <si>
    <t xml:space="preserve">         Op. 20-Drilling machine</t>
  </si>
  <si>
    <t>Thu 27/01/22</t>
  </si>
  <si>
    <t xml:space="preserve">         Op. 30-CNC machine (2 double-spindle)</t>
  </si>
  <si>
    <t>Wed 30/03/22</t>
  </si>
  <si>
    <t>Wed 18/05/22</t>
  </si>
  <si>
    <t xml:space="preserve">         Op. 40-CNC machine (2 double-spindle)</t>
  </si>
  <si>
    <t xml:space="preserve">         Op. 50-CNC machine (1 single-spindle and 2 double-spindle)</t>
  </si>
  <si>
    <t>Fri 17/06/22</t>
  </si>
  <si>
    <t xml:space="preserve">         Op. 60-Washing station</t>
  </si>
  <si>
    <t>Fri 14/01/22</t>
  </si>
  <si>
    <t>176 hrs</t>
  </si>
  <si>
    <t>22 days</t>
  </si>
  <si>
    <t xml:space="preserve">         Op. 70-Assembly station</t>
  </si>
  <si>
    <t>256 hrs</t>
  </si>
  <si>
    <t>32 days</t>
  </si>
  <si>
    <t xml:space="preserve">         Op. 80-CNC machine (2 double-spindle)</t>
  </si>
  <si>
    <t xml:space="preserve">         Op. 90-CNC machine (3 double-spindle)</t>
  </si>
  <si>
    <t xml:space="preserve">         Op. 100-Washing station</t>
  </si>
  <si>
    <t xml:space="preserve">         Op. 110-Assembly station</t>
  </si>
  <si>
    <t>Wed 22/06/22</t>
  </si>
  <si>
    <t>200 hrs</t>
  </si>
  <si>
    <t xml:space="preserve">         Line manufacturing ICT system installation</t>
  </si>
  <si>
    <t>Wed 13/07/22</t>
  </si>
  <si>
    <t>Software developer[200%]</t>
  </si>
  <si>
    <t>240 hrs</t>
  </si>
  <si>
    <t>15 days</t>
  </si>
  <si>
    <t xml:space="preserve">         Preliminary line testing</t>
  </si>
  <si>
    <t>Mon 25/07/22</t>
  </si>
  <si>
    <t>Software developer[200%];Team of Italian workers (4 workers each)[200%]</t>
  </si>
  <si>
    <t>192 hrs</t>
  </si>
  <si>
    <t>8 days</t>
  </si>
  <si>
    <t xml:space="preserve">         Line disassembling (for all equipment)</t>
  </si>
  <si>
    <t>Team of Italian workers (4 workers each)[300%]</t>
  </si>
  <si>
    <t>432 hrs</t>
  </si>
  <si>
    <t>18 days</t>
  </si>
  <si>
    <t xml:space="preserve">   WORK IN VIETNAM</t>
  </si>
  <si>
    <t>Wed 21/12/22</t>
  </si>
  <si>
    <t>6.285,04 hrs</t>
  </si>
  <si>
    <t>297,62 days?</t>
  </si>
  <si>
    <t xml:space="preserve">      CIVIL WORKS ERECTION PHASE</t>
  </si>
  <si>
    <t>Mon 19/09/22</t>
  </si>
  <si>
    <t>3.843,76 hrs</t>
  </si>
  <si>
    <t>231,3 days</t>
  </si>
  <si>
    <t xml:space="preserve">         Site installation (working days)</t>
  </si>
  <si>
    <t>Fri 19/11/21</t>
  </si>
  <si>
    <t>Sub-contractor (Site installation)</t>
  </si>
  <si>
    <t xml:space="preserve">         Excavations &amp; Foundations</t>
  </si>
  <si>
    <t>Sub-contractor (Excavations &amp; Foundations)</t>
  </si>
  <si>
    <t>384 hrs</t>
  </si>
  <si>
    <t>48 days</t>
  </si>
  <si>
    <t xml:space="preserve">         Structures</t>
  </si>
  <si>
    <t>Tue 07/12/21</t>
  </si>
  <si>
    <t>Tue 01/03/22</t>
  </si>
  <si>
    <t>Sub-contractor (Structures)</t>
  </si>
  <si>
    <t>480 hrs</t>
  </si>
  <si>
    <t>60 days</t>
  </si>
  <si>
    <t xml:space="preserve">         Roofing</t>
  </si>
  <si>
    <t>Tue 28/12/21</t>
  </si>
  <si>
    <t>Tue 22/03/22</t>
  </si>
  <si>
    <t>Sub-contractor (Roofing)</t>
  </si>
  <si>
    <t xml:space="preserve">         Enclosures</t>
  </si>
  <si>
    <t>Tue 18/01/22</t>
  </si>
  <si>
    <t>Mon 31/01/22</t>
  </si>
  <si>
    <t>Sub-contractor (Enclosures)</t>
  </si>
  <si>
    <t>75,76 hrs</t>
  </si>
  <si>
    <t>9,47 days</t>
  </si>
  <si>
    <t xml:space="preserve">         Industrial flooring</t>
  </si>
  <si>
    <t>Thu 20/01/22</t>
  </si>
  <si>
    <t>Tue 29/03/22</t>
  </si>
  <si>
    <t>Sub-contractor (Industrial flooring)</t>
  </si>
  <si>
    <t xml:space="preserve">         Building services</t>
  </si>
  <si>
    <t>Mon 07/02/22</t>
  </si>
  <si>
    <t>Sub-contractor (Building services)</t>
  </si>
  <si>
    <t>1.280 hrs</t>
  </si>
  <si>
    <t>160 days</t>
  </si>
  <si>
    <t xml:space="preserve">         Finishes</t>
  </si>
  <si>
    <t>Sub-contractor (Finishes)</t>
  </si>
  <si>
    <t>640 hrs</t>
  </si>
  <si>
    <t>80 days</t>
  </si>
  <si>
    <t xml:space="preserve">      TRANSPORTATION PHASE </t>
  </si>
  <si>
    <t>Mon 15/08/22</t>
  </si>
  <si>
    <t>Mon 24/10/22</t>
  </si>
  <si>
    <t>600 hrs</t>
  </si>
  <si>
    <t>50,93 days</t>
  </si>
  <si>
    <t xml:space="preserve">         Ship trasportation</t>
  </si>
  <si>
    <t>Fri 16/09/22</t>
  </si>
  <si>
    <t>Ship;Double-spindle CNC machine trasportation[6];Final washing station trasportation[1];Gantry loader (including robots) trasportation[1];Metal footbridge trasportation[1];Single-spindle CNC machine trasportation[3];Protection grids including doors tras...</t>
  </si>
  <si>
    <t>Mon 05/09/22</t>
  </si>
  <si>
    <t>Fri 07/10/22</t>
  </si>
  <si>
    <t>Ship;Assembly station trasportation[1];Double-spindle CNC machine trasportation[5];Intermediate washing station trasportation[1]</t>
  </si>
  <si>
    <t>Ship;Assembly station trasportation[1];Drilling machine trasportation[1];Lift/lower component trasportation[1];Manipulator trasportation[2];Overhead conveyor trasportation[1];Powered conveyor trasportation[1];Rotating table trasportation[7]</t>
  </si>
  <si>
    <t xml:space="preserve">      ON SITE ERECTION</t>
  </si>
  <si>
    <t>Mon 10/10/22</t>
  </si>
  <si>
    <t>Team of Vietnamese workers (4 workers each)</t>
  </si>
  <si>
    <t>121,2 hrs</t>
  </si>
  <si>
    <t>15,15 days</t>
  </si>
  <si>
    <t>Thu 27/10/22</t>
  </si>
  <si>
    <t>Mon 21/11/22</t>
  </si>
  <si>
    <t>129,52 hrs</t>
  </si>
  <si>
    <t>16,19 days</t>
  </si>
  <si>
    <t>103,84 hrs</t>
  </si>
  <si>
    <t>12,98 days</t>
  </si>
  <si>
    <t>Fri 04/11/22</t>
  </si>
  <si>
    <t>145,44 hrs</t>
  </si>
  <si>
    <t>18,18 days</t>
  </si>
  <si>
    <t>Thu 17/11/22</t>
  </si>
  <si>
    <t>119,28 hrs</t>
  </si>
  <si>
    <t>14,91 days</t>
  </si>
  <si>
    <t>Mon 12/12/22</t>
  </si>
  <si>
    <t>Software developer[200%];Software developer travel cost[30]</t>
  </si>
  <si>
    <t xml:space="preserve">         Test on Completion</t>
  </si>
  <si>
    <t>7 days?</t>
  </si>
  <si>
    <t xml:space="preserve">   ACCEPTANCE OF THE WORK</t>
  </si>
  <si>
    <t>20 days?</t>
  </si>
  <si>
    <t xml:space="preserve">      TEST AFTER COMPLETION</t>
  </si>
  <si>
    <t>Mon 02/01/23</t>
  </si>
  <si>
    <t>Installation supervisor;Project engineer[200%];Software developer[200%];Team of Vietnamese workers (4 workers each)[200%];Installation supervisor travel cost[8];Project engineer travel cost[16];Software developer travel cost[16]</t>
  </si>
  <si>
    <t>448 hrs</t>
  </si>
  <si>
    <t xml:space="preserve">      OWNER'S TAKING OVER</t>
  </si>
  <si>
    <t>12 days?</t>
  </si>
  <si>
    <t xml:space="preserve">         SUBMISSION OF TECHNICAL DOCUMENTATION</t>
  </si>
  <si>
    <t>Fri 13/01/23</t>
  </si>
  <si>
    <t>Project engineer[200%];Project engineer travel cost[18]</t>
  </si>
  <si>
    <t>144 hrs</t>
  </si>
  <si>
    <t>9 days?</t>
  </si>
  <si>
    <t xml:space="preserve">         Line Delivery</t>
  </si>
  <si>
    <t>Project engineer;Software developer;Project engineer travel cost[3];Software developer travel cost[3]</t>
  </si>
  <si>
    <t>48 hrs</t>
  </si>
  <si>
    <t>3 days</t>
  </si>
  <si>
    <t xml:space="preserve">   MANAGEMENT</t>
  </si>
  <si>
    <t>5.351,28 hrs</t>
  </si>
  <si>
    <t>400,11 days?</t>
  </si>
  <si>
    <t>Tue 30/11/21</t>
  </si>
  <si>
    <t>125 days?</t>
  </si>
  <si>
    <t xml:space="preserve">      Site Management</t>
  </si>
  <si>
    <t>Site manager;Site manager travel cost[298]</t>
  </si>
  <si>
    <t>2.380,88 hrs</t>
  </si>
  <si>
    <t>297,61 days</t>
  </si>
  <si>
    <t xml:space="preserve">      Supervision to pre-erection</t>
  </si>
  <si>
    <t>Installation supervisor</t>
  </si>
  <si>
    <t>1.439,92 hrs</t>
  </si>
  <si>
    <t>179,99 days</t>
  </si>
  <si>
    <t xml:space="preserve">      Supervision to on site erection</t>
  </si>
  <si>
    <t>Installation supervisor;Installation supervisor travel cost[67]</t>
  </si>
  <si>
    <t>530,48 hrs</t>
  </si>
  <si>
    <t>66,31 days</t>
  </si>
  <si>
    <t xml:space="preserve">   End</t>
  </si>
  <si>
    <t>CHECK TOTAL</t>
  </si>
  <si>
    <t>Line manufacturing ICT system[1]</t>
  </si>
  <si>
    <t>Software developer[200%];Software engineer[300%]</t>
  </si>
  <si>
    <t>Team of Vietnamese workers (4 workers each)[200%]</t>
  </si>
  <si>
    <t>Software developer[200%];Software developer travel cost[6]</t>
  </si>
  <si>
    <t>HR TOT</t>
  </si>
  <si>
    <t>MATERIALS TOT</t>
  </si>
  <si>
    <t>SUBCONTRACTORS TOT</t>
  </si>
  <si>
    <t>OVERHEAD TOT</t>
  </si>
  <si>
    <t>Overhead</t>
  </si>
  <si>
    <t>CASH FLOW OUT</t>
  </si>
  <si>
    <t>CONSTRUCTION COSTS</t>
  </si>
  <si>
    <t>COMPLETING PERCENTAGE OF CONSTRUCTION WORKS</t>
  </si>
  <si>
    <t>DELTA PERCENTAGE</t>
  </si>
  <si>
    <t>COST OF DEBT/REVENUE FROM CREDIT</t>
  </si>
  <si>
    <t>REVENUE INVOICE</t>
  </si>
  <si>
    <t>DELTA PERCENTAGE OF CONSTRUCTION WORKS COMPLETION</t>
  </si>
  <si>
    <t>DELTA CASH FLOW</t>
  </si>
  <si>
    <t>CUMULATED CASH FLOW</t>
  </si>
  <si>
    <t>Contingency Budget</t>
  </si>
  <si>
    <t>Interest</t>
  </si>
  <si>
    <t>Total Costs</t>
  </si>
  <si>
    <t>Profit Margin</t>
  </si>
  <si>
    <t>Price</t>
  </si>
  <si>
    <t>Direct Costs</t>
  </si>
  <si>
    <t>Human Resources</t>
  </si>
  <si>
    <t>Cost of material</t>
  </si>
  <si>
    <t>Subcontractors</t>
  </si>
  <si>
    <t>TOTAL PRICE</t>
  </si>
  <si>
    <t>CUMULATED CASH FLOW OUT</t>
  </si>
  <si>
    <t>CUMULATED CASH FLOW IN</t>
  </si>
  <si>
    <t>CASH FLOW IN FROM OWNER</t>
  </si>
  <si>
    <t>Insurance on typhoons</t>
  </si>
  <si>
    <t>Formation course
(risk mitigation)</t>
  </si>
  <si>
    <t>Insurance on worker safety</t>
  </si>
  <si>
    <t>Wall and drainage system
(risk mitigation)</t>
  </si>
  <si>
    <t>Interpreter
(risk mitigation)</t>
  </si>
  <si>
    <t>Control meeting
(risk mitigation)</t>
  </si>
  <si>
    <t>Option B (Addendum 3)</t>
  </si>
  <si>
    <t>Mon 30/05/2022</t>
  </si>
  <si>
    <t>Mon 19/09/2022</t>
  </si>
  <si>
    <t xml:space="preserve">      Project management</t>
  </si>
  <si>
    <t>TOTAL CONSTRUCTION COST</t>
  </si>
  <si>
    <t>Insurances</t>
  </si>
  <si>
    <t>COST MACHINE INSTALLED IN THIS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</si>
</sst>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_-* #,##0.00\ [$VND]_-;\-* #,##0.00\ [$VND]_-;_-* &quot;-&quot;??\ [$VND]_-;_-@_-"/>
    <numFmt numFmtId="165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363636"/>
      <name val="Segoe U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/>
    <xf numFmtId="44" fontId="5" fillId="0" borderId="0" applyFont="0" applyFill="0" applyBorder="0" applyAlignment="0" applyProtection="0"/>
  </cellStyleXfs>
  <cellXfs count="198">
    <xf numFmtId="0" fontId="0" fillId="0" borderId="0" xfId="0"/>
    <xf numFmtId="17" fontId="0" fillId="0" borderId="0" xfId="0" applyNumberFormat="1"/>
    <xf numFmtId="164" fontId="0" fillId="0" borderId="0" xfId="0" applyNumberFormat="1"/>
    <xf numFmtId="164" fontId="0" fillId="5" borderId="0" xfId="0" applyNumberFormat="1" applyFill="1"/>
    <xf numFmtId="0" fontId="2" fillId="3" borderId="1" xfId="0" applyFont="1" applyFill="1" applyBorder="1" applyAlignment="1">
      <alignment vertical="center" wrapText="1"/>
    </xf>
    <xf numFmtId="17" fontId="0" fillId="0" borderId="1" xfId="0" applyNumberFormat="1" applyBorder="1"/>
    <xf numFmtId="0" fontId="0" fillId="0" borderId="1" xfId="0" applyBorder="1"/>
    <xf numFmtId="0" fontId="3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164" fontId="3" fillId="4" borderId="1" xfId="0" applyNumberFormat="1" applyFont="1" applyFill="1" applyBorder="1" applyAlignment="1">
      <alignment horizontal="right" vertical="center" wrapText="1"/>
    </xf>
    <xf numFmtId="164" fontId="0" fillId="0" borderId="1" xfId="0" applyNumberFormat="1" applyBorder="1"/>
    <xf numFmtId="0" fontId="4" fillId="4" borderId="1" xfId="0" applyFont="1" applyFill="1" applyBorder="1" applyAlignment="1">
      <alignment vertical="center" wrapText="1"/>
    </xf>
    <xf numFmtId="164" fontId="4" fillId="4" borderId="1" xfId="0" applyNumberFormat="1" applyFont="1" applyFill="1" applyBorder="1" applyAlignment="1">
      <alignment horizontal="right" vertical="center" wrapText="1"/>
    </xf>
    <xf numFmtId="0" fontId="4" fillId="5" borderId="1" xfId="0" applyFont="1" applyFill="1" applyBorder="1" applyAlignment="1">
      <alignment vertical="center" wrapText="1"/>
    </xf>
    <xf numFmtId="164" fontId="4" fillId="5" borderId="1" xfId="0" applyNumberFormat="1" applyFont="1" applyFill="1" applyBorder="1" applyAlignment="1">
      <alignment horizontal="right" vertical="center" wrapText="1"/>
    </xf>
    <xf numFmtId="164" fontId="0" fillId="5" borderId="1" xfId="0" applyNumberFormat="1" applyFill="1" applyBorder="1"/>
    <xf numFmtId="0" fontId="0" fillId="7" borderId="1" xfId="0" applyFill="1" applyBorder="1" applyAlignment="1">
      <alignment vertical="center" wrapText="1"/>
    </xf>
    <xf numFmtId="0" fontId="4" fillId="8" borderId="1" xfId="0" applyFont="1" applyFill="1" applyBorder="1" applyAlignment="1">
      <alignment vertical="center" wrapText="1"/>
    </xf>
    <xf numFmtId="164" fontId="4" fillId="8" borderId="1" xfId="0" applyNumberFormat="1" applyFont="1" applyFill="1" applyBorder="1" applyAlignment="1">
      <alignment horizontal="right" vertical="center" wrapText="1"/>
    </xf>
    <xf numFmtId="164" fontId="0" fillId="8" borderId="1" xfId="0" applyNumberFormat="1" applyFill="1" applyBorder="1"/>
    <xf numFmtId="0" fontId="0" fillId="5" borderId="1" xfId="0" applyFill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164" fontId="3" fillId="7" borderId="1" xfId="0" applyNumberFormat="1" applyFont="1" applyFill="1" applyBorder="1" applyAlignment="1">
      <alignment horizontal="right" vertical="center" wrapText="1"/>
    </xf>
    <xf numFmtId="164" fontId="0" fillId="7" borderId="1" xfId="0" applyNumberFormat="1" applyFill="1" applyBorder="1"/>
    <xf numFmtId="0" fontId="4" fillId="2" borderId="1" xfId="0" applyFont="1" applyFill="1" applyBorder="1" applyAlignment="1">
      <alignment vertical="center" wrapText="1"/>
    </xf>
    <xf numFmtId="164" fontId="4" fillId="2" borderId="1" xfId="0" applyNumberFormat="1" applyFont="1" applyFill="1" applyBorder="1" applyAlignment="1">
      <alignment horizontal="right" vertical="center" wrapText="1"/>
    </xf>
    <xf numFmtId="164" fontId="0" fillId="2" borderId="1" xfId="0" applyNumberFormat="1" applyFill="1" applyBorder="1"/>
    <xf numFmtId="0" fontId="4" fillId="5" borderId="0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vertical="center" wrapText="1"/>
    </xf>
    <xf numFmtId="0" fontId="4" fillId="9" borderId="0" xfId="0" applyFont="1" applyFill="1" applyBorder="1" applyAlignment="1">
      <alignment vertical="center" wrapText="1"/>
    </xf>
    <xf numFmtId="0" fontId="0" fillId="5" borderId="0" xfId="0" applyFill="1"/>
    <xf numFmtId="0" fontId="4" fillId="6" borderId="0" xfId="0" applyFont="1" applyFill="1" applyBorder="1" applyAlignment="1">
      <alignment vertical="center" wrapText="1"/>
    </xf>
    <xf numFmtId="0" fontId="0" fillId="6" borderId="0" xfId="0" applyFill="1"/>
    <xf numFmtId="164" fontId="0" fillId="6" borderId="0" xfId="0" applyNumberFormat="1" applyFill="1"/>
    <xf numFmtId="0" fontId="0" fillId="2" borderId="0" xfId="0" applyFill="1"/>
    <xf numFmtId="0" fontId="0" fillId="9" borderId="0" xfId="0" applyFill="1"/>
    <xf numFmtId="164" fontId="0" fillId="2" borderId="0" xfId="0" applyNumberFormat="1" applyFill="1"/>
    <xf numFmtId="164" fontId="0" fillId="9" borderId="0" xfId="0" applyNumberFormat="1" applyFill="1"/>
    <xf numFmtId="0" fontId="0" fillId="9" borderId="1" xfId="0" applyFill="1" applyBorder="1" applyAlignment="1">
      <alignment vertical="center" wrapText="1"/>
    </xf>
    <xf numFmtId="0" fontId="3" fillId="9" borderId="1" xfId="0" applyFont="1" applyFill="1" applyBorder="1" applyAlignment="1">
      <alignment vertical="center" wrapText="1"/>
    </xf>
    <xf numFmtId="164" fontId="0" fillId="9" borderId="1" xfId="0" applyNumberFormat="1" applyFill="1" applyBorder="1"/>
    <xf numFmtId="164" fontId="0" fillId="9" borderId="0" xfId="1" applyNumberFormat="1" applyFont="1" applyFill="1"/>
    <xf numFmtId="164" fontId="4" fillId="9" borderId="1" xfId="0" applyNumberFormat="1" applyFont="1" applyFill="1" applyBorder="1" applyAlignment="1">
      <alignment horizontal="right" vertical="center" wrapText="1"/>
    </xf>
    <xf numFmtId="0" fontId="4" fillId="4" borderId="3" xfId="0" applyFont="1" applyFill="1" applyBorder="1" applyAlignment="1">
      <alignment vertical="center" wrapText="1"/>
    </xf>
    <xf numFmtId="164" fontId="0" fillId="5" borderId="0" xfId="0" applyNumberFormat="1" applyFill="1" applyBorder="1"/>
    <xf numFmtId="9" fontId="0" fillId="0" borderId="0" xfId="2" applyFont="1"/>
    <xf numFmtId="10" fontId="0" fillId="0" borderId="0" xfId="2" applyNumberFormat="1" applyFont="1"/>
    <xf numFmtId="0" fontId="6" fillId="0" borderId="4" xfId="3" applyFont="1" applyBorder="1"/>
    <xf numFmtId="0" fontId="7" fillId="0" borderId="0" xfId="3" applyFont="1"/>
    <xf numFmtId="0" fontId="8" fillId="0" borderId="5" xfId="3" applyFont="1" applyBorder="1"/>
    <xf numFmtId="0" fontId="6" fillId="0" borderId="6" xfId="3" applyFont="1" applyBorder="1"/>
    <xf numFmtId="0" fontId="7" fillId="0" borderId="0" xfId="3" applyFont="1" applyAlignment="1">
      <alignment horizontal="left" indent="1"/>
    </xf>
    <xf numFmtId="0" fontId="6" fillId="0" borderId="7" xfId="3" applyFont="1" applyBorder="1"/>
    <xf numFmtId="0" fontId="6" fillId="0" borderId="0" xfId="3" applyFont="1"/>
    <xf numFmtId="164" fontId="6" fillId="0" borderId="6" xfId="4" applyNumberFormat="1" applyFont="1" applyFill="1" applyBorder="1"/>
    <xf numFmtId="164" fontId="7" fillId="0" borderId="0" xfId="4" applyNumberFormat="1" applyFont="1" applyProtection="1">
      <protection locked="0"/>
    </xf>
    <xf numFmtId="164" fontId="6" fillId="0" borderId="7" xfId="4" applyNumberFormat="1" applyFont="1" applyBorder="1" applyProtection="1">
      <protection locked="0"/>
    </xf>
    <xf numFmtId="164" fontId="6" fillId="0" borderId="4" xfId="4" applyNumberFormat="1" applyFont="1" applyBorder="1" applyProtection="1">
      <protection locked="0"/>
    </xf>
    <xf numFmtId="164" fontId="6" fillId="0" borderId="0" xfId="4" applyNumberFormat="1" applyFont="1" applyProtection="1">
      <protection locked="0"/>
    </xf>
    <xf numFmtId="164" fontId="7" fillId="0" borderId="0" xfId="4" applyNumberFormat="1" applyFont="1"/>
    <xf numFmtId="164" fontId="8" fillId="0" borderId="5" xfId="4" applyNumberFormat="1" applyFont="1" applyFill="1" applyBorder="1"/>
    <xf numFmtId="164" fontId="6" fillId="7" borderId="4" xfId="4" applyNumberFormat="1" applyFont="1" applyFill="1" applyBorder="1"/>
    <xf numFmtId="164" fontId="0" fillId="8" borderId="1" xfId="0" applyNumberFormat="1" applyFill="1" applyBorder="1" applyAlignment="1">
      <alignment vertical="center"/>
    </xf>
    <xf numFmtId="164" fontId="0" fillId="8" borderId="1" xfId="0" applyNumberFormat="1" applyFill="1" applyBorder="1" applyAlignment="1">
      <alignment horizontal="center" vertical="center"/>
    </xf>
    <xf numFmtId="44" fontId="0" fillId="0" borderId="0" xfId="1" applyFont="1"/>
    <xf numFmtId="0" fontId="0" fillId="14" borderId="1" xfId="0" applyFill="1" applyBorder="1" applyAlignment="1">
      <alignment vertical="center" wrapText="1"/>
    </xf>
    <xf numFmtId="0" fontId="3" fillId="14" borderId="1" xfId="0" applyFont="1" applyFill="1" applyBorder="1" applyAlignment="1">
      <alignment vertical="center" wrapText="1"/>
    </xf>
    <xf numFmtId="164" fontId="4" fillId="14" borderId="1" xfId="0" applyNumberFormat="1" applyFont="1" applyFill="1" applyBorder="1" applyAlignment="1">
      <alignment horizontal="right" vertical="center" wrapText="1"/>
    </xf>
    <xf numFmtId="164" fontId="0" fillId="14" borderId="1" xfId="0" applyNumberFormat="1" applyFill="1" applyBorder="1"/>
    <xf numFmtId="0" fontId="3" fillId="5" borderId="1" xfId="0" applyFont="1" applyFill="1" applyBorder="1" applyAlignment="1">
      <alignment vertical="center" wrapText="1"/>
    </xf>
    <xf numFmtId="0" fontId="0" fillId="14" borderId="0" xfId="0" applyFill="1"/>
    <xf numFmtId="0" fontId="4" fillId="14" borderId="1" xfId="0" applyFont="1" applyFill="1" applyBorder="1" applyAlignment="1">
      <alignment vertical="center" wrapText="1"/>
    </xf>
    <xf numFmtId="0" fontId="0" fillId="14" borderId="1" xfId="0" applyFill="1" applyBorder="1"/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14" borderId="0" xfId="0" applyFont="1" applyFill="1" applyBorder="1" applyAlignment="1">
      <alignment vertical="center" wrapText="1"/>
    </xf>
    <xf numFmtId="164" fontId="0" fillId="14" borderId="0" xfId="0" applyNumberFormat="1" applyFill="1"/>
    <xf numFmtId="165" fontId="0" fillId="0" borderId="0" xfId="2" applyNumberFormat="1" applyFont="1"/>
    <xf numFmtId="14" fontId="4" fillId="4" borderId="1" xfId="0" applyNumberFormat="1" applyFont="1" applyFill="1" applyBorder="1" applyAlignment="1">
      <alignment vertical="center" wrapText="1"/>
    </xf>
    <xf numFmtId="44" fontId="0" fillId="0" borderId="0" xfId="0" applyNumberFormat="1"/>
    <xf numFmtId="0" fontId="4" fillId="9" borderId="19" xfId="0" applyFont="1" applyFill="1" applyBorder="1" applyAlignment="1">
      <alignment horizontal="center" vertical="center" wrapText="1"/>
    </xf>
    <xf numFmtId="0" fontId="4" fillId="16" borderId="2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14" borderId="20" xfId="0" applyFont="1" applyFill="1" applyBorder="1" applyAlignment="1">
      <alignment horizontal="center" vertical="center" wrapText="1"/>
    </xf>
    <xf numFmtId="164" fontId="0" fillId="17" borderId="1" xfId="0" applyNumberFormat="1" applyFill="1" applyBorder="1"/>
    <xf numFmtId="164" fontId="0" fillId="18" borderId="1" xfId="0" applyNumberFormat="1" applyFill="1" applyBorder="1"/>
    <xf numFmtId="164" fontId="0" fillId="15" borderId="9" xfId="0" applyNumberFormat="1" applyFill="1" applyBorder="1"/>
    <xf numFmtId="164" fontId="0" fillId="5" borderId="10" xfId="0" applyNumberFormat="1" applyFill="1" applyBorder="1"/>
    <xf numFmtId="164" fontId="0" fillId="17" borderId="10" xfId="0" applyNumberFormat="1" applyFill="1" applyBorder="1"/>
    <xf numFmtId="164" fontId="0" fillId="18" borderId="10" xfId="0" applyNumberFormat="1" applyFill="1" applyBorder="1"/>
    <xf numFmtId="164" fontId="0" fillId="15" borderId="21" xfId="0" applyNumberFormat="1" applyFill="1" applyBorder="1"/>
    <xf numFmtId="164" fontId="0" fillId="15" borderId="15" xfId="0" applyNumberFormat="1" applyFill="1" applyBorder="1"/>
    <xf numFmtId="164" fontId="0" fillId="5" borderId="16" xfId="0" applyNumberFormat="1" applyFill="1" applyBorder="1"/>
    <xf numFmtId="164" fontId="0" fillId="17" borderId="16" xfId="0" applyNumberFormat="1" applyFill="1" applyBorder="1"/>
    <xf numFmtId="164" fontId="0" fillId="18" borderId="16" xfId="0" applyNumberFormat="1" applyFill="1" applyBorder="1"/>
    <xf numFmtId="164" fontId="0" fillId="19" borderId="1" xfId="0" applyNumberFormat="1" applyFill="1" applyBorder="1"/>
    <xf numFmtId="164" fontId="0" fillId="19" borderId="10" xfId="0" applyNumberFormat="1" applyFill="1" applyBorder="1"/>
    <xf numFmtId="164" fontId="0" fillId="19" borderId="16" xfId="0" applyNumberFormat="1" applyFill="1" applyBorder="1"/>
    <xf numFmtId="164" fontId="0" fillId="20" borderId="23" xfId="0" applyNumberFormat="1" applyFill="1" applyBorder="1"/>
    <xf numFmtId="164" fontId="0" fillId="20" borderId="24" xfId="0" applyNumberFormat="1" applyFill="1" applyBorder="1"/>
    <xf numFmtId="164" fontId="0" fillId="20" borderId="25" xfId="0" applyNumberFormat="1" applyFill="1" applyBorder="1"/>
    <xf numFmtId="164" fontId="0" fillId="16" borderId="14" xfId="0" applyNumberFormat="1" applyFill="1" applyBorder="1"/>
    <xf numFmtId="164" fontId="0" fillId="16" borderId="27" xfId="0" applyNumberFormat="1" applyFill="1" applyBorder="1"/>
    <xf numFmtId="164" fontId="0" fillId="16" borderId="18" xfId="0" applyNumberFormat="1" applyFill="1" applyBorder="1"/>
    <xf numFmtId="164" fontId="0" fillId="16" borderId="9" xfId="0" applyNumberFormat="1" applyFill="1" applyBorder="1"/>
    <xf numFmtId="164" fontId="0" fillId="16" borderId="11" xfId="0" applyNumberFormat="1" applyFill="1" applyBorder="1"/>
    <xf numFmtId="164" fontId="0" fillId="16" borderId="21" xfId="0" applyNumberFormat="1" applyFill="1" applyBorder="1"/>
    <xf numFmtId="164" fontId="0" fillId="16" borderId="22" xfId="0" applyNumberFormat="1" applyFill="1" applyBorder="1"/>
    <xf numFmtId="164" fontId="0" fillId="16" borderId="15" xfId="0" applyNumberFormat="1" applyFill="1" applyBorder="1"/>
    <xf numFmtId="164" fontId="0" fillId="16" borderId="17" xfId="0" applyNumberFormat="1" applyFill="1" applyBorder="1"/>
    <xf numFmtId="0" fontId="0" fillId="21" borderId="28" xfId="0" applyFill="1" applyBorder="1"/>
    <xf numFmtId="164" fontId="0" fillId="21" borderId="29" xfId="0" applyNumberFormat="1" applyFill="1" applyBorder="1"/>
    <xf numFmtId="164" fontId="0" fillId="22" borderId="1" xfId="0" applyNumberFormat="1" applyFill="1" applyBorder="1"/>
    <xf numFmtId="164" fontId="0" fillId="19" borderId="9" xfId="0" applyNumberFormat="1" applyFill="1" applyBorder="1"/>
    <xf numFmtId="164" fontId="0" fillId="19" borderId="11" xfId="0" applyNumberFormat="1" applyFill="1" applyBorder="1"/>
    <xf numFmtId="164" fontId="0" fillId="19" borderId="21" xfId="0" applyNumberFormat="1" applyFill="1" applyBorder="1"/>
    <xf numFmtId="164" fontId="0" fillId="19" borderId="22" xfId="0" applyNumberFormat="1" applyFill="1" applyBorder="1"/>
    <xf numFmtId="164" fontId="0" fillId="19" borderId="15" xfId="0" applyNumberFormat="1" applyFill="1" applyBorder="1"/>
    <xf numFmtId="164" fontId="0" fillId="19" borderId="17" xfId="0" applyNumberFormat="1" applyFill="1" applyBorder="1"/>
    <xf numFmtId="17" fontId="0" fillId="0" borderId="32" xfId="0" applyNumberFormat="1" applyBorder="1"/>
    <xf numFmtId="17" fontId="0" fillId="0" borderId="12" xfId="0" applyNumberFormat="1" applyBorder="1"/>
    <xf numFmtId="17" fontId="0" fillId="0" borderId="13" xfId="0" applyNumberFormat="1" applyBorder="1"/>
    <xf numFmtId="164" fontId="0" fillId="16" borderId="30" xfId="0" applyNumberFormat="1" applyFill="1" applyBorder="1"/>
    <xf numFmtId="164" fontId="0" fillId="16" borderId="33" xfId="0" applyNumberFormat="1" applyFill="1" applyBorder="1"/>
    <xf numFmtId="164" fontId="0" fillId="16" borderId="31" xfId="0" applyNumberFormat="1" applyFill="1" applyBorder="1"/>
    <xf numFmtId="164" fontId="0" fillId="20" borderId="1" xfId="0" applyNumberFormat="1" applyFill="1" applyBorder="1"/>
    <xf numFmtId="164" fontId="0" fillId="22" borderId="22" xfId="0" applyNumberFormat="1" applyFill="1" applyBorder="1"/>
    <xf numFmtId="164" fontId="0" fillId="20" borderId="16" xfId="0" applyNumberFormat="1" applyFill="1" applyBorder="1"/>
    <xf numFmtId="164" fontId="0" fillId="22" borderId="16" xfId="0" applyNumberFormat="1" applyFill="1" applyBorder="1"/>
    <xf numFmtId="164" fontId="0" fillId="22" borderId="17" xfId="0" applyNumberFormat="1" applyFill="1" applyBorder="1"/>
    <xf numFmtId="164" fontId="0" fillId="15" borderId="34" xfId="0" applyNumberFormat="1" applyFill="1" applyBorder="1"/>
    <xf numFmtId="164" fontId="0" fillId="5" borderId="3" xfId="0" applyNumberFormat="1" applyFill="1" applyBorder="1"/>
    <xf numFmtId="164" fontId="0" fillId="17" borderId="3" xfId="0" applyNumberFormat="1" applyFill="1" applyBorder="1"/>
    <xf numFmtId="164" fontId="0" fillId="18" borderId="3" xfId="0" applyNumberFormat="1" applyFill="1" applyBorder="1"/>
    <xf numFmtId="164" fontId="0" fillId="20" borderId="3" xfId="0" applyNumberFormat="1" applyFill="1" applyBorder="1"/>
    <xf numFmtId="164" fontId="0" fillId="22" borderId="3" xfId="0" applyNumberFormat="1" applyFill="1" applyBorder="1"/>
    <xf numFmtId="164" fontId="0" fillId="22" borderId="35" xfId="0" applyNumberFormat="1" applyFill="1" applyBorder="1"/>
    <xf numFmtId="0" fontId="4" fillId="9" borderId="15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 vertical="center" wrapText="1"/>
    </xf>
    <xf numFmtId="0" fontId="4" fillId="6" borderId="16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14" borderId="16" xfId="0" applyFont="1" applyFill="1" applyBorder="1" applyAlignment="1">
      <alignment horizontal="center" vertical="center" wrapText="1"/>
    </xf>
    <xf numFmtId="0" fontId="4" fillId="11" borderId="16" xfId="0" applyFont="1" applyFill="1" applyBorder="1" applyAlignment="1">
      <alignment horizontal="center" vertical="center" wrapText="1"/>
    </xf>
    <xf numFmtId="0" fontId="4" fillId="11" borderId="17" xfId="0" applyFont="1" applyFill="1" applyBorder="1" applyAlignment="1">
      <alignment horizontal="center" vertical="center" wrapText="1"/>
    </xf>
    <xf numFmtId="10" fontId="0" fillId="19" borderId="11" xfId="2" applyNumberFormat="1" applyFont="1" applyFill="1" applyBorder="1"/>
    <xf numFmtId="10" fontId="0" fillId="19" borderId="22" xfId="2" applyNumberFormat="1" applyFont="1" applyFill="1" applyBorder="1"/>
    <xf numFmtId="10" fontId="0" fillId="19" borderId="17" xfId="2" applyNumberFormat="1" applyFont="1" applyFill="1" applyBorder="1"/>
    <xf numFmtId="164" fontId="0" fillId="16" borderId="36" xfId="0" applyNumberFormat="1" applyFill="1" applyBorder="1"/>
    <xf numFmtId="164" fontId="0" fillId="19" borderId="34" xfId="0" applyNumberFormat="1" applyFill="1" applyBorder="1"/>
    <xf numFmtId="164" fontId="0" fillId="19" borderId="3" xfId="0" applyNumberFormat="1" applyFill="1" applyBorder="1"/>
    <xf numFmtId="164" fontId="0" fillId="19" borderId="35" xfId="0" applyNumberFormat="1" applyFill="1" applyBorder="1"/>
    <xf numFmtId="164" fontId="0" fillId="16" borderId="34" xfId="0" applyNumberFormat="1" applyFill="1" applyBorder="1"/>
    <xf numFmtId="164" fontId="0" fillId="16" borderId="35" xfId="0" applyNumberFormat="1" applyFill="1" applyBorder="1"/>
    <xf numFmtId="164" fontId="0" fillId="20" borderId="37" xfId="0" applyNumberFormat="1" applyFill="1" applyBorder="1"/>
    <xf numFmtId="164" fontId="0" fillId="16" borderId="38" xfId="0" applyNumberFormat="1" applyFill="1" applyBorder="1"/>
    <xf numFmtId="10" fontId="0" fillId="19" borderId="35" xfId="2" applyNumberFormat="1" applyFont="1" applyFill="1" applyBorder="1"/>
    <xf numFmtId="0" fontId="0" fillId="10" borderId="9" xfId="0" applyFill="1" applyBorder="1" applyAlignment="1">
      <alignment horizontal="center" vertical="center" wrapText="1"/>
    </xf>
    <xf numFmtId="0" fontId="0" fillId="10" borderId="19" xfId="0" applyFill="1" applyBorder="1" applyAlignment="1">
      <alignment horizontal="center" vertical="center" wrapText="1"/>
    </xf>
    <xf numFmtId="0" fontId="0" fillId="10" borderId="11" xfId="0" applyFill="1" applyBorder="1" applyAlignment="1">
      <alignment horizontal="center" vertical="center" wrapText="1"/>
    </xf>
    <xf numFmtId="0" fontId="0" fillId="10" borderId="20" xfId="0" applyFill="1" applyBorder="1" applyAlignment="1">
      <alignment horizontal="center" vertical="center" wrapText="1"/>
    </xf>
    <xf numFmtId="0" fontId="0" fillId="12" borderId="9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11" borderId="9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1" borderId="11" xfId="0" applyFill="1" applyBorder="1" applyAlignment="1">
      <alignment horizontal="center"/>
    </xf>
    <xf numFmtId="0" fontId="0" fillId="10" borderId="14" xfId="0" applyFill="1" applyBorder="1" applyAlignment="1">
      <alignment horizontal="center" vertical="center" wrapText="1"/>
    </xf>
    <xf numFmtId="0" fontId="0" fillId="10" borderId="26" xfId="0" applyFill="1" applyBorder="1" applyAlignment="1">
      <alignment horizontal="center" vertical="center" wrapText="1"/>
    </xf>
    <xf numFmtId="0" fontId="0" fillId="13" borderId="9" xfId="0" applyFill="1" applyBorder="1" applyAlignment="1">
      <alignment horizontal="center" vertical="center"/>
    </xf>
    <xf numFmtId="0" fontId="0" fillId="13" borderId="19" xfId="0" applyFill="1" applyBorder="1" applyAlignment="1">
      <alignment horizontal="center" vertical="center"/>
    </xf>
    <xf numFmtId="0" fontId="0" fillId="13" borderId="11" xfId="0" applyFill="1" applyBorder="1" applyAlignment="1">
      <alignment horizontal="center" vertical="center" wrapText="1"/>
    </xf>
    <xf numFmtId="0" fontId="0" fillId="13" borderId="20" xfId="0" applyFill="1" applyBorder="1" applyAlignment="1">
      <alignment horizontal="center" vertical="center" wrapText="1"/>
    </xf>
    <xf numFmtId="0" fontId="0" fillId="13" borderId="10" xfId="0" applyFill="1" applyBorder="1" applyAlignment="1">
      <alignment horizontal="center" vertical="center" wrapText="1"/>
    </xf>
    <xf numFmtId="0" fontId="0" fillId="13" borderId="2" xfId="0" applyFill="1" applyBorder="1" applyAlignment="1">
      <alignment horizontal="center" vertical="center" wrapText="1"/>
    </xf>
    <xf numFmtId="0" fontId="0" fillId="11" borderId="9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 wrapText="1"/>
    </xf>
    <xf numFmtId="0" fontId="0" fillId="13" borderId="15" xfId="0" applyFill="1" applyBorder="1" applyAlignment="1">
      <alignment horizontal="center" vertical="center" wrapText="1"/>
    </xf>
    <xf numFmtId="0" fontId="0" fillId="13" borderId="16" xfId="0" applyFill="1" applyBorder="1" applyAlignment="1">
      <alignment horizontal="center" vertical="center" wrapText="1"/>
    </xf>
    <xf numFmtId="0" fontId="0" fillId="13" borderId="17" xfId="0" applyFill="1" applyBorder="1" applyAlignment="1">
      <alignment horizontal="center" vertical="center" wrapText="1"/>
    </xf>
    <xf numFmtId="0" fontId="0" fillId="10" borderId="30" xfId="0" applyFill="1" applyBorder="1" applyAlignment="1">
      <alignment horizontal="center" vertical="center" wrapText="1"/>
    </xf>
    <xf numFmtId="0" fontId="0" fillId="10" borderId="31" xfId="0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vertical="center" wrapText="1"/>
    </xf>
    <xf numFmtId="164" fontId="0" fillId="0" borderId="0" xfId="0" applyNumberFormat="1" applyAlignment="1">
      <alignment horizontal="center"/>
    </xf>
    <xf numFmtId="0" fontId="3" fillId="4" borderId="2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</cellXfs>
  <cellStyles count="5">
    <cellStyle name="Normale" xfId="0" builtinId="0"/>
    <cellStyle name="Normale 2" xfId="3" xr:uid="{E98F03F2-EB4B-4E9C-AC21-18DA67EFDB7F}"/>
    <cellStyle name="Percentuale" xfId="2" builtinId="5"/>
    <cellStyle name="Valuta" xfId="1" builtinId="4"/>
    <cellStyle name="Valuta 2" xfId="4" xr:uid="{08F0FD74-5611-411C-B9AB-60EDC2AB28F2}"/>
  </cellStyles>
  <dxfs count="0"/>
  <tableStyles count="0" defaultTableStyle="TableStyleMedium2" defaultPivotStyle="PivotStyleLight16"/>
  <colors>
    <mruColors>
      <color rgb="FFFF9933"/>
      <color rgb="FFFF6600"/>
      <color rgb="FFFF9900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CASH FLOW</a:t>
            </a:r>
            <a:r>
              <a:rPr lang="en-US" baseline="0"/>
              <a:t> OUT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Cumulated Cash Flow Out</c:v>
          </c:tx>
          <c:marker>
            <c:symbol val="none"/>
          </c:marker>
          <c:cat>
            <c:numRef>
              <c:f>'Cash flow graph'!$A$3:$A$29</c:f>
              <c:numCache>
                <c:formatCode>mmm\-yy</c:formatCode>
                <c:ptCount val="25"/>
                <c:pt idx="0">
                  <c:v>44317</c:v>
                </c:pt>
                <c:pt idx="1">
                  <c:v>44348</c:v>
                </c:pt>
                <c:pt idx="2">
                  <c:v>44379</c:v>
                </c:pt>
                <c:pt idx="3">
                  <c:v>44410</c:v>
                </c:pt>
                <c:pt idx="4">
                  <c:v>44441</c:v>
                </c:pt>
                <c:pt idx="5">
                  <c:v>44472</c:v>
                </c:pt>
                <c:pt idx="6">
                  <c:v>44503</c:v>
                </c:pt>
                <c:pt idx="7">
                  <c:v>44534</c:v>
                </c:pt>
                <c:pt idx="8">
                  <c:v>44565</c:v>
                </c:pt>
                <c:pt idx="9">
                  <c:v>44596</c:v>
                </c:pt>
                <c:pt idx="10">
                  <c:v>44627</c:v>
                </c:pt>
                <c:pt idx="11">
                  <c:v>44658</c:v>
                </c:pt>
                <c:pt idx="12">
                  <c:v>44689</c:v>
                </c:pt>
                <c:pt idx="13">
                  <c:v>44720</c:v>
                </c:pt>
                <c:pt idx="14">
                  <c:v>44751</c:v>
                </c:pt>
                <c:pt idx="15">
                  <c:v>44782</c:v>
                </c:pt>
                <c:pt idx="16">
                  <c:v>44813</c:v>
                </c:pt>
                <c:pt idx="17">
                  <c:v>44844</c:v>
                </c:pt>
                <c:pt idx="18">
                  <c:v>44875</c:v>
                </c:pt>
                <c:pt idx="19">
                  <c:v>44906</c:v>
                </c:pt>
                <c:pt idx="20">
                  <c:v>44937</c:v>
                </c:pt>
                <c:pt idx="21">
                  <c:v>44968</c:v>
                </c:pt>
                <c:pt idx="22">
                  <c:v>44999</c:v>
                </c:pt>
                <c:pt idx="23">
                  <c:v>45030</c:v>
                </c:pt>
                <c:pt idx="24">
                  <c:v>45061</c:v>
                </c:pt>
              </c:numCache>
            </c:numRef>
          </c:cat>
          <c:val>
            <c:numRef>
              <c:f>'Cash flow graph'!$H$3:$H$29</c:f>
              <c:numCache>
                <c:formatCode>_-* #,##0.00\ [$VND]_-;\-* #,##0.00\ [$VND]_-;_-* "-"??\ [$VND]_-;_-@_-</c:formatCode>
                <c:ptCount val="25"/>
                <c:pt idx="0">
                  <c:v>246358080</c:v>
                </c:pt>
                <c:pt idx="1">
                  <c:v>6633823550.3999996</c:v>
                </c:pt>
                <c:pt idx="2">
                  <c:v>13248974030.4</c:v>
                </c:pt>
                <c:pt idx="3">
                  <c:v>20358203270.400002</c:v>
                </c:pt>
                <c:pt idx="4">
                  <c:v>26229374150.400002</c:v>
                </c:pt>
                <c:pt idx="5">
                  <c:v>33842836902.400002</c:v>
                </c:pt>
                <c:pt idx="6">
                  <c:v>46064215843.400002</c:v>
                </c:pt>
                <c:pt idx="7">
                  <c:v>93499184647.399994</c:v>
                </c:pt>
                <c:pt idx="8">
                  <c:v>133584800197.39999</c:v>
                </c:pt>
                <c:pt idx="9">
                  <c:v>249573324055.39999</c:v>
                </c:pt>
                <c:pt idx="10">
                  <c:v>408328337868.40002</c:v>
                </c:pt>
                <c:pt idx="11">
                  <c:v>535404960174.17261</c:v>
                </c:pt>
                <c:pt idx="12">
                  <c:v>684144883234.78857</c:v>
                </c:pt>
                <c:pt idx="13">
                  <c:v>783671702866.26404</c:v>
                </c:pt>
                <c:pt idx="14">
                  <c:v>806739672058.729</c:v>
                </c:pt>
                <c:pt idx="15">
                  <c:v>839174931587.47437</c:v>
                </c:pt>
                <c:pt idx="16">
                  <c:v>868503988793.14233</c:v>
                </c:pt>
                <c:pt idx="17">
                  <c:v>899947570327.15039</c:v>
                </c:pt>
                <c:pt idx="18">
                  <c:v>922368064600.07458</c:v>
                </c:pt>
                <c:pt idx="19">
                  <c:v>931856583052.22766</c:v>
                </c:pt>
                <c:pt idx="20">
                  <c:v>935959792049.22766</c:v>
                </c:pt>
                <c:pt idx="21">
                  <c:v>936104395249.22766</c:v>
                </c:pt>
                <c:pt idx="22">
                  <c:v>936104395249.22766</c:v>
                </c:pt>
                <c:pt idx="23">
                  <c:v>936104395249.22766</c:v>
                </c:pt>
                <c:pt idx="24">
                  <c:v>936104395249.22766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3A1-4E3F-AFEB-619C6584EF97}"/>
            </c:ext>
          </c:extLst>
        </c:ser>
        <c:ser>
          <c:idx val="1"/>
          <c:order val="1"/>
          <c:tx>
            <c:v>Cash Flow Out per month</c:v>
          </c:tx>
          <c:marker>
            <c:symbol val="none"/>
          </c:marker>
          <c:cat>
            <c:numRef>
              <c:f>'Cash flow graph'!$A$3:$A$29</c:f>
              <c:numCache>
                <c:formatCode>mmm\-yy</c:formatCode>
                <c:ptCount val="25"/>
                <c:pt idx="0">
                  <c:v>44317</c:v>
                </c:pt>
                <c:pt idx="1">
                  <c:v>44348</c:v>
                </c:pt>
                <c:pt idx="2">
                  <c:v>44379</c:v>
                </c:pt>
                <c:pt idx="3">
                  <c:v>44410</c:v>
                </c:pt>
                <c:pt idx="4">
                  <c:v>44441</c:v>
                </c:pt>
                <c:pt idx="5">
                  <c:v>44472</c:v>
                </c:pt>
                <c:pt idx="6">
                  <c:v>44503</c:v>
                </c:pt>
                <c:pt idx="7">
                  <c:v>44534</c:v>
                </c:pt>
                <c:pt idx="8">
                  <c:v>44565</c:v>
                </c:pt>
                <c:pt idx="9">
                  <c:v>44596</c:v>
                </c:pt>
                <c:pt idx="10">
                  <c:v>44627</c:v>
                </c:pt>
                <c:pt idx="11">
                  <c:v>44658</c:v>
                </c:pt>
                <c:pt idx="12">
                  <c:v>44689</c:v>
                </c:pt>
                <c:pt idx="13">
                  <c:v>44720</c:v>
                </c:pt>
                <c:pt idx="14">
                  <c:v>44751</c:v>
                </c:pt>
                <c:pt idx="15">
                  <c:v>44782</c:v>
                </c:pt>
                <c:pt idx="16">
                  <c:v>44813</c:v>
                </c:pt>
                <c:pt idx="17">
                  <c:v>44844</c:v>
                </c:pt>
                <c:pt idx="18">
                  <c:v>44875</c:v>
                </c:pt>
                <c:pt idx="19">
                  <c:v>44906</c:v>
                </c:pt>
                <c:pt idx="20">
                  <c:v>44937</c:v>
                </c:pt>
                <c:pt idx="21">
                  <c:v>44968</c:v>
                </c:pt>
                <c:pt idx="22">
                  <c:v>44999</c:v>
                </c:pt>
                <c:pt idx="23">
                  <c:v>45030</c:v>
                </c:pt>
                <c:pt idx="24">
                  <c:v>45061</c:v>
                </c:pt>
              </c:numCache>
            </c:numRef>
          </c:cat>
          <c:val>
            <c:numRef>
              <c:f>'Cash flow graph'!$G$3:$G$29</c:f>
              <c:numCache>
                <c:formatCode>_-* #,##0.00\ [$VND]_-;\-* #,##0.00\ [$VND]_-;_-* "-"??\ [$VND]_-;_-@_-</c:formatCode>
                <c:ptCount val="25"/>
                <c:pt idx="0">
                  <c:v>246358080</c:v>
                </c:pt>
                <c:pt idx="1">
                  <c:v>6387465470.3999996</c:v>
                </c:pt>
                <c:pt idx="2">
                  <c:v>6615150480</c:v>
                </c:pt>
                <c:pt idx="3">
                  <c:v>7109229240</c:v>
                </c:pt>
                <c:pt idx="4">
                  <c:v>5871170880</c:v>
                </c:pt>
                <c:pt idx="5">
                  <c:v>7613462752</c:v>
                </c:pt>
                <c:pt idx="6">
                  <c:v>12221378941</c:v>
                </c:pt>
                <c:pt idx="7">
                  <c:v>47434968804</c:v>
                </c:pt>
                <c:pt idx="8">
                  <c:v>40085615550</c:v>
                </c:pt>
                <c:pt idx="9">
                  <c:v>115988523858</c:v>
                </c:pt>
                <c:pt idx="10">
                  <c:v>158755013813</c:v>
                </c:pt>
                <c:pt idx="11">
                  <c:v>127076622305.77261</c:v>
                </c:pt>
                <c:pt idx="12">
                  <c:v>148739923060.61591</c:v>
                </c:pt>
                <c:pt idx="13">
                  <c:v>99526819631.475464</c:v>
                </c:pt>
                <c:pt idx="14">
                  <c:v>23067969192.46492</c:v>
                </c:pt>
                <c:pt idx="15">
                  <c:v>32435259528.745403</c:v>
                </c:pt>
                <c:pt idx="16">
                  <c:v>29329057205.668022</c:v>
                </c:pt>
                <c:pt idx="17">
                  <c:v>31443581534.008026</c:v>
                </c:pt>
                <c:pt idx="18">
                  <c:v>22420494272.924179</c:v>
                </c:pt>
                <c:pt idx="19">
                  <c:v>9488518452.1530285</c:v>
                </c:pt>
                <c:pt idx="20">
                  <c:v>4103208997</c:v>
                </c:pt>
                <c:pt idx="21">
                  <c:v>144603200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3A1-4E3F-AFEB-619C6584EF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438518792"/>
        <c:axId val="438517152"/>
      </c:lineChart>
      <c:dateAx>
        <c:axId val="438518792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38517152"/>
        <c:crosses val="autoZero"/>
        <c:auto val="1"/>
        <c:lblOffset val="100"/>
        <c:baseTimeUnit val="months"/>
      </c:dateAx>
      <c:valAx>
        <c:axId val="438517152"/>
        <c:scaling>
          <c:orientation val="minMax"/>
        </c:scaling>
        <c:delete val="0"/>
        <c:axPos val="l"/>
        <c:numFmt formatCode="_-* #,##0\ [$VND]_-;\-* #,##0\ [$VND]_-;_-* &quot;-&quot;\ [$VND]_-;_-@_-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38518792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</c:dispUnitsLbl>
        </c:dispUnits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CASH FLOW</a:t>
            </a:r>
            <a:r>
              <a:rPr lang="en-US" baseline="0"/>
              <a:t> IN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Cumulated Cash Flow In</c:v>
          </c:tx>
          <c:marker>
            <c:symbol val="none"/>
          </c:marker>
          <c:cat>
            <c:numRef>
              <c:f>'Cash flow graph'!$A$3:$A$29</c:f>
              <c:numCache>
                <c:formatCode>mmm\-yy</c:formatCode>
                <c:ptCount val="25"/>
                <c:pt idx="0">
                  <c:v>44317</c:v>
                </c:pt>
                <c:pt idx="1">
                  <c:v>44348</c:v>
                </c:pt>
                <c:pt idx="2">
                  <c:v>44379</c:v>
                </c:pt>
                <c:pt idx="3">
                  <c:v>44410</c:v>
                </c:pt>
                <c:pt idx="4">
                  <c:v>44441</c:v>
                </c:pt>
                <c:pt idx="5">
                  <c:v>44472</c:v>
                </c:pt>
                <c:pt idx="6">
                  <c:v>44503</c:v>
                </c:pt>
                <c:pt idx="7">
                  <c:v>44534</c:v>
                </c:pt>
                <c:pt idx="8">
                  <c:v>44565</c:v>
                </c:pt>
                <c:pt idx="9">
                  <c:v>44596</c:v>
                </c:pt>
                <c:pt idx="10">
                  <c:v>44627</c:v>
                </c:pt>
                <c:pt idx="11">
                  <c:v>44658</c:v>
                </c:pt>
                <c:pt idx="12">
                  <c:v>44689</c:v>
                </c:pt>
                <c:pt idx="13">
                  <c:v>44720</c:v>
                </c:pt>
                <c:pt idx="14">
                  <c:v>44751</c:v>
                </c:pt>
                <c:pt idx="15">
                  <c:v>44782</c:v>
                </c:pt>
                <c:pt idx="16">
                  <c:v>44813</c:v>
                </c:pt>
                <c:pt idx="17">
                  <c:v>44844</c:v>
                </c:pt>
                <c:pt idx="18">
                  <c:v>44875</c:v>
                </c:pt>
                <c:pt idx="19">
                  <c:v>44906</c:v>
                </c:pt>
                <c:pt idx="20">
                  <c:v>44937</c:v>
                </c:pt>
                <c:pt idx="21">
                  <c:v>44968</c:v>
                </c:pt>
                <c:pt idx="22">
                  <c:v>44999</c:v>
                </c:pt>
                <c:pt idx="23">
                  <c:v>45030</c:v>
                </c:pt>
                <c:pt idx="24">
                  <c:v>45061</c:v>
                </c:pt>
              </c:numCache>
            </c:numRef>
          </c:cat>
          <c:val>
            <c:numRef>
              <c:f>'Cash flow graph'!$L$3:$L$29</c:f>
              <c:numCache>
                <c:formatCode>_-* #,##0.00\ [$VND]_-;\-* #,##0.00\ [$VND]_-;_-* "-"??\ [$VND]_-;_-@_-</c:formatCode>
                <c:ptCount val="25"/>
                <c:pt idx="0">
                  <c:v>0</c:v>
                </c:pt>
                <c:pt idx="1">
                  <c:v>109777120386.49402</c:v>
                </c:pt>
                <c:pt idx="2">
                  <c:v>109949369692.2103</c:v>
                </c:pt>
                <c:pt idx="3">
                  <c:v>110110859352.96552</c:v>
                </c:pt>
                <c:pt idx="4">
                  <c:v>110260746288.6234</c:v>
                </c:pt>
                <c:pt idx="5">
                  <c:v>110401078680.09424</c:v>
                </c:pt>
                <c:pt idx="6">
                  <c:v>110528930943.86299</c:v>
                </c:pt>
                <c:pt idx="7">
                  <c:v>155449921021.29196</c:v>
                </c:pt>
                <c:pt idx="8">
                  <c:v>182428604472.7168</c:v>
                </c:pt>
                <c:pt idx="9">
                  <c:v>250216581602.52954</c:v>
                </c:pt>
                <c:pt idx="10">
                  <c:v>348208203513.87762</c:v>
                </c:pt>
                <c:pt idx="11">
                  <c:v>450807362650.98932</c:v>
                </c:pt>
                <c:pt idx="12">
                  <c:v>510248870139.69672</c:v>
                </c:pt>
                <c:pt idx="13">
                  <c:v>525563244573.27997</c:v>
                </c:pt>
                <c:pt idx="14">
                  <c:v>542173120709.64813</c:v>
                </c:pt>
                <c:pt idx="15">
                  <c:v>568597923653.87024</c:v>
                </c:pt>
                <c:pt idx="16">
                  <c:v>593821599191.53674</c:v>
                </c:pt>
                <c:pt idx="17">
                  <c:v>621447529542.31433</c:v>
                </c:pt>
                <c:pt idx="18">
                  <c:v>802807569969.46887</c:v>
                </c:pt>
                <c:pt idx="19">
                  <c:v>987594149173.86584</c:v>
                </c:pt>
                <c:pt idx="20">
                  <c:v>988537121342.86121</c:v>
                </c:pt>
                <c:pt idx="21">
                  <c:v>989220537108.36414</c:v>
                </c:pt>
                <c:pt idx="22">
                  <c:v>989309241065.26892</c:v>
                </c:pt>
                <c:pt idx="23">
                  <c:v>989398093157.78174</c:v>
                </c:pt>
                <c:pt idx="24">
                  <c:v>1099264214019.7831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C8-4471-B9ED-535D9FCC0E79}"/>
            </c:ext>
          </c:extLst>
        </c:ser>
        <c:ser>
          <c:idx val="1"/>
          <c:order val="1"/>
          <c:tx>
            <c:v>Cash Flow In per month</c:v>
          </c:tx>
          <c:marker>
            <c:symbol val="none"/>
          </c:marker>
          <c:cat>
            <c:numRef>
              <c:f>'Cash flow graph'!$A$3:$A$29</c:f>
              <c:numCache>
                <c:formatCode>mmm\-yy</c:formatCode>
                <c:ptCount val="25"/>
                <c:pt idx="0">
                  <c:v>44317</c:v>
                </c:pt>
                <c:pt idx="1">
                  <c:v>44348</c:v>
                </c:pt>
                <c:pt idx="2">
                  <c:v>44379</c:v>
                </c:pt>
                <c:pt idx="3">
                  <c:v>44410</c:v>
                </c:pt>
                <c:pt idx="4">
                  <c:v>44441</c:v>
                </c:pt>
                <c:pt idx="5">
                  <c:v>44472</c:v>
                </c:pt>
                <c:pt idx="6">
                  <c:v>44503</c:v>
                </c:pt>
                <c:pt idx="7">
                  <c:v>44534</c:v>
                </c:pt>
                <c:pt idx="8">
                  <c:v>44565</c:v>
                </c:pt>
                <c:pt idx="9">
                  <c:v>44596</c:v>
                </c:pt>
                <c:pt idx="10">
                  <c:v>44627</c:v>
                </c:pt>
                <c:pt idx="11">
                  <c:v>44658</c:v>
                </c:pt>
                <c:pt idx="12">
                  <c:v>44689</c:v>
                </c:pt>
                <c:pt idx="13">
                  <c:v>44720</c:v>
                </c:pt>
                <c:pt idx="14">
                  <c:v>44751</c:v>
                </c:pt>
                <c:pt idx="15">
                  <c:v>44782</c:v>
                </c:pt>
                <c:pt idx="16">
                  <c:v>44813</c:v>
                </c:pt>
                <c:pt idx="17">
                  <c:v>44844</c:v>
                </c:pt>
                <c:pt idx="18">
                  <c:v>44875</c:v>
                </c:pt>
                <c:pt idx="19">
                  <c:v>44906</c:v>
                </c:pt>
                <c:pt idx="20">
                  <c:v>44937</c:v>
                </c:pt>
                <c:pt idx="21">
                  <c:v>44968</c:v>
                </c:pt>
                <c:pt idx="22">
                  <c:v>44999</c:v>
                </c:pt>
                <c:pt idx="23">
                  <c:v>45030</c:v>
                </c:pt>
                <c:pt idx="24">
                  <c:v>45061</c:v>
                </c:pt>
              </c:numCache>
              <c:extLst xmlns:c15="http://schemas.microsoft.com/office/drawing/2012/chart"/>
            </c:numRef>
          </c:cat>
          <c:val>
            <c:numRef>
              <c:f>'Cash flow graph'!$K$3:$K$29</c:f>
              <c:numCache>
                <c:formatCode>_-* #,##0.00\ [$VND]_-;\-* #,##0.00\ [$VND]_-;_-* "-"??\ [$VND]_-;_-@_-</c:formatCode>
                <c:ptCount val="25"/>
                <c:pt idx="0">
                  <c:v>0</c:v>
                </c:pt>
                <c:pt idx="1">
                  <c:v>109777120386.49402</c:v>
                </c:pt>
                <c:pt idx="2">
                  <c:v>172249305.71627703</c:v>
                </c:pt>
                <c:pt idx="3">
                  <c:v>161489660.75522321</c:v>
                </c:pt>
                <c:pt idx="4">
                  <c:v>149886935.65788442</c:v>
                </c:pt>
                <c:pt idx="5">
                  <c:v>140332391.47083309</c:v>
                </c:pt>
                <c:pt idx="6">
                  <c:v>127852263.76874939</c:v>
                </c:pt>
                <c:pt idx="7">
                  <c:v>44920990077.428963</c:v>
                </c:pt>
                <c:pt idx="8">
                  <c:v>26978683451.424831</c:v>
                </c:pt>
                <c:pt idx="9">
                  <c:v>67787977129.812744</c:v>
                </c:pt>
                <c:pt idx="10">
                  <c:v>97991621911.348068</c:v>
                </c:pt>
                <c:pt idx="11">
                  <c:v>102599159137.11168</c:v>
                </c:pt>
                <c:pt idx="12">
                  <c:v>59441507488.70739</c:v>
                </c:pt>
                <c:pt idx="13">
                  <c:v>15314374433.583261</c:v>
                </c:pt>
                <c:pt idx="14">
                  <c:v>16609876136.368176</c:v>
                </c:pt>
                <c:pt idx="15">
                  <c:v>26424802944.222095</c:v>
                </c:pt>
                <c:pt idx="16">
                  <c:v>25223675537.666546</c:v>
                </c:pt>
                <c:pt idx="17">
                  <c:v>27625930350.777645</c:v>
                </c:pt>
                <c:pt idx="18">
                  <c:v>181360040427.15457</c:v>
                </c:pt>
                <c:pt idx="19">
                  <c:v>184786579204.39694</c:v>
                </c:pt>
                <c:pt idx="20">
                  <c:v>942972168.99542201</c:v>
                </c:pt>
                <c:pt idx="21">
                  <c:v>683415765.50292635</c:v>
                </c:pt>
                <c:pt idx="22">
                  <c:v>88703956.904758215</c:v>
                </c:pt>
                <c:pt idx="23">
                  <c:v>88852092.51278916</c:v>
                </c:pt>
                <c:pt idx="24">
                  <c:v>109866120862.0013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2DC8-4471-B9ED-535D9FCC0E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438518792"/>
        <c:axId val="438517152"/>
        <c:extLst/>
      </c:lineChart>
      <c:dateAx>
        <c:axId val="438518792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38517152"/>
        <c:crosses val="autoZero"/>
        <c:auto val="1"/>
        <c:lblOffset val="100"/>
        <c:baseTimeUnit val="months"/>
      </c:dateAx>
      <c:valAx>
        <c:axId val="438517152"/>
        <c:scaling>
          <c:orientation val="minMax"/>
        </c:scaling>
        <c:delete val="0"/>
        <c:axPos val="l"/>
        <c:numFmt formatCode="_-* #,##0\ [$VND]_-;\-* #,##0\ [$VND]_-;_-* &quot;-&quot;\ [$VND]_-;_-@_-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38518792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</c:dispUnitsLbl>
        </c:dispUnits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CUMULATED</a:t>
            </a:r>
            <a:r>
              <a:rPr lang="en-US" baseline="0"/>
              <a:t> </a:t>
            </a:r>
            <a:r>
              <a:rPr lang="en-US"/>
              <a:t>CASH FLOW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1"/>
          <c:tx>
            <c:v>Cumulated Cash Flow</c:v>
          </c:tx>
          <c:marker>
            <c:symbol val="none"/>
          </c:marker>
          <c:cat>
            <c:numRef>
              <c:f>'Cash flow graph'!$A$3:$A$29</c:f>
              <c:numCache>
                <c:formatCode>mmm\-yy</c:formatCode>
                <c:ptCount val="25"/>
                <c:pt idx="0">
                  <c:v>44317</c:v>
                </c:pt>
                <c:pt idx="1">
                  <c:v>44348</c:v>
                </c:pt>
                <c:pt idx="2">
                  <c:v>44379</c:v>
                </c:pt>
                <c:pt idx="3">
                  <c:v>44410</c:v>
                </c:pt>
                <c:pt idx="4">
                  <c:v>44441</c:v>
                </c:pt>
                <c:pt idx="5">
                  <c:v>44472</c:v>
                </c:pt>
                <c:pt idx="6">
                  <c:v>44503</c:v>
                </c:pt>
                <c:pt idx="7">
                  <c:v>44534</c:v>
                </c:pt>
                <c:pt idx="8">
                  <c:v>44565</c:v>
                </c:pt>
                <c:pt idx="9">
                  <c:v>44596</c:v>
                </c:pt>
                <c:pt idx="10">
                  <c:v>44627</c:v>
                </c:pt>
                <c:pt idx="11">
                  <c:v>44658</c:v>
                </c:pt>
                <c:pt idx="12">
                  <c:v>44689</c:v>
                </c:pt>
                <c:pt idx="13">
                  <c:v>44720</c:v>
                </c:pt>
                <c:pt idx="14">
                  <c:v>44751</c:v>
                </c:pt>
                <c:pt idx="15">
                  <c:v>44782</c:v>
                </c:pt>
                <c:pt idx="16">
                  <c:v>44813</c:v>
                </c:pt>
                <c:pt idx="17">
                  <c:v>44844</c:v>
                </c:pt>
                <c:pt idx="18">
                  <c:v>44875</c:v>
                </c:pt>
                <c:pt idx="19">
                  <c:v>44906</c:v>
                </c:pt>
                <c:pt idx="20">
                  <c:v>44937</c:v>
                </c:pt>
                <c:pt idx="21">
                  <c:v>44968</c:v>
                </c:pt>
                <c:pt idx="22">
                  <c:v>44999</c:v>
                </c:pt>
                <c:pt idx="23">
                  <c:v>45030</c:v>
                </c:pt>
                <c:pt idx="24">
                  <c:v>45061</c:v>
                </c:pt>
              </c:numCache>
            </c:numRef>
          </c:cat>
          <c:val>
            <c:numRef>
              <c:f>'Cash flow graph'!$N$3:$N$29</c:f>
              <c:numCache>
                <c:formatCode>_-* #,##0.00\ [$VND]_-;\-* #,##0.00\ [$VND]_-;_-* "-"??\ [$VND]_-;_-@_-</c:formatCode>
                <c:ptCount val="25"/>
                <c:pt idx="0">
                  <c:v>-246358080</c:v>
                </c:pt>
                <c:pt idx="1">
                  <c:v>103143296836.09402</c:v>
                </c:pt>
                <c:pt idx="2">
                  <c:v>96700395661.810303</c:v>
                </c:pt>
                <c:pt idx="3">
                  <c:v>89752656082.565521</c:v>
                </c:pt>
                <c:pt idx="4">
                  <c:v>84031372138.223404</c:v>
                </c:pt>
                <c:pt idx="5">
                  <c:v>76558241777.694244</c:v>
                </c:pt>
                <c:pt idx="6">
                  <c:v>64464715100.462997</c:v>
                </c:pt>
                <c:pt idx="7">
                  <c:v>61950736373.89196</c:v>
                </c:pt>
                <c:pt idx="8">
                  <c:v>48843804275.316788</c:v>
                </c:pt>
                <c:pt idx="9">
                  <c:v>643257547.12953186</c:v>
                </c:pt>
                <c:pt idx="10">
                  <c:v>-60120134354.5224</c:v>
                </c:pt>
                <c:pt idx="11">
                  <c:v>-84597597523.183334</c:v>
                </c:pt>
                <c:pt idx="12">
                  <c:v>-173896013095.09186</c:v>
                </c:pt>
                <c:pt idx="13">
                  <c:v>-258108458292.98407</c:v>
                </c:pt>
                <c:pt idx="14">
                  <c:v>-264566551349.08081</c:v>
                </c:pt>
                <c:pt idx="15">
                  <c:v>-270577007933.60413</c:v>
                </c:pt>
                <c:pt idx="16">
                  <c:v>-274682389601.60559</c:v>
                </c:pt>
                <c:pt idx="17">
                  <c:v>-278500040784.836</c:v>
                </c:pt>
                <c:pt idx="18">
                  <c:v>-119560494630.60562</c:v>
                </c:pt>
                <c:pt idx="19">
                  <c:v>55737566121.638306</c:v>
                </c:pt>
                <c:pt idx="20">
                  <c:v>52577329293.633728</c:v>
                </c:pt>
                <c:pt idx="21">
                  <c:v>53116141859.136658</c:v>
                </c:pt>
                <c:pt idx="22">
                  <c:v>53204845816.041412</c:v>
                </c:pt>
                <c:pt idx="23">
                  <c:v>53293697908.554199</c:v>
                </c:pt>
                <c:pt idx="24">
                  <c:v>163159818770.55548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AA-4DE6-AFDF-E2EC034C3C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438518792"/>
        <c:axId val="438517152"/>
        <c:extLst>
          <c:ext xmlns:c15="http://schemas.microsoft.com/office/drawing/2012/chart" uri="{02D57815-91ED-43cb-92C2-25804820EDAC}">
            <c15:filteredLineSeries>
              <c15:ser>
                <c:idx val="1"/>
                <c:order val="0"/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'Cash flow graph'!$A$3:$A$29</c15:sqref>
                        </c15:formulaRef>
                      </c:ext>
                    </c:extLst>
                    <c:numCache>
                      <c:formatCode>mmm\-yy</c:formatCode>
                      <c:ptCount val="25"/>
                      <c:pt idx="0">
                        <c:v>44317</c:v>
                      </c:pt>
                      <c:pt idx="1">
                        <c:v>44348</c:v>
                      </c:pt>
                      <c:pt idx="2">
                        <c:v>44379</c:v>
                      </c:pt>
                      <c:pt idx="3">
                        <c:v>44410</c:v>
                      </c:pt>
                      <c:pt idx="4">
                        <c:v>44441</c:v>
                      </c:pt>
                      <c:pt idx="5">
                        <c:v>44472</c:v>
                      </c:pt>
                      <c:pt idx="6">
                        <c:v>44503</c:v>
                      </c:pt>
                      <c:pt idx="7">
                        <c:v>44534</c:v>
                      </c:pt>
                      <c:pt idx="8">
                        <c:v>44565</c:v>
                      </c:pt>
                      <c:pt idx="9">
                        <c:v>44596</c:v>
                      </c:pt>
                      <c:pt idx="10">
                        <c:v>44627</c:v>
                      </c:pt>
                      <c:pt idx="11">
                        <c:v>44658</c:v>
                      </c:pt>
                      <c:pt idx="12">
                        <c:v>44689</c:v>
                      </c:pt>
                      <c:pt idx="13">
                        <c:v>44720</c:v>
                      </c:pt>
                      <c:pt idx="14">
                        <c:v>44751</c:v>
                      </c:pt>
                      <c:pt idx="15">
                        <c:v>44782</c:v>
                      </c:pt>
                      <c:pt idx="16">
                        <c:v>44813</c:v>
                      </c:pt>
                      <c:pt idx="17">
                        <c:v>44844</c:v>
                      </c:pt>
                      <c:pt idx="18">
                        <c:v>44875</c:v>
                      </c:pt>
                      <c:pt idx="19">
                        <c:v>44906</c:v>
                      </c:pt>
                      <c:pt idx="20">
                        <c:v>44937</c:v>
                      </c:pt>
                      <c:pt idx="21">
                        <c:v>44968</c:v>
                      </c:pt>
                      <c:pt idx="22">
                        <c:v>44999</c:v>
                      </c:pt>
                      <c:pt idx="23">
                        <c:v>45030</c:v>
                      </c:pt>
                      <c:pt idx="24">
                        <c:v>45061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'Cash flow graph'!$H$3:$H$29</c15:sqref>
                        </c15:formulaRef>
                      </c:ext>
                    </c:extLst>
                    <c:numCache>
                      <c:formatCode>_-* #,##0.00\ [$VND]_-;\-* #,##0.00\ [$VND]_-;_-* "-"??\ [$VND]_-;_-@_-</c:formatCode>
                      <c:ptCount val="25"/>
                      <c:pt idx="0">
                        <c:v>246358080</c:v>
                      </c:pt>
                      <c:pt idx="1">
                        <c:v>6633823550.3999996</c:v>
                      </c:pt>
                      <c:pt idx="2">
                        <c:v>13248974030.4</c:v>
                      </c:pt>
                      <c:pt idx="3">
                        <c:v>20358203270.400002</c:v>
                      </c:pt>
                      <c:pt idx="4">
                        <c:v>26229374150.400002</c:v>
                      </c:pt>
                      <c:pt idx="5">
                        <c:v>33842836902.400002</c:v>
                      </c:pt>
                      <c:pt idx="6">
                        <c:v>46064215843.400002</c:v>
                      </c:pt>
                      <c:pt idx="7">
                        <c:v>93499184647.399994</c:v>
                      </c:pt>
                      <c:pt idx="8">
                        <c:v>133584800197.39999</c:v>
                      </c:pt>
                      <c:pt idx="9">
                        <c:v>249573324055.39999</c:v>
                      </c:pt>
                      <c:pt idx="10">
                        <c:v>408328337868.40002</c:v>
                      </c:pt>
                      <c:pt idx="11">
                        <c:v>535404960174.17261</c:v>
                      </c:pt>
                      <c:pt idx="12">
                        <c:v>684144883234.78857</c:v>
                      </c:pt>
                      <c:pt idx="13">
                        <c:v>783671702866.26404</c:v>
                      </c:pt>
                      <c:pt idx="14">
                        <c:v>806739672058.729</c:v>
                      </c:pt>
                      <c:pt idx="15">
                        <c:v>839174931587.47437</c:v>
                      </c:pt>
                      <c:pt idx="16">
                        <c:v>868503988793.14233</c:v>
                      </c:pt>
                      <c:pt idx="17">
                        <c:v>899947570327.15039</c:v>
                      </c:pt>
                      <c:pt idx="18">
                        <c:v>922368064600.07458</c:v>
                      </c:pt>
                      <c:pt idx="19">
                        <c:v>931856583052.22766</c:v>
                      </c:pt>
                      <c:pt idx="20">
                        <c:v>935959792049.22766</c:v>
                      </c:pt>
                      <c:pt idx="21">
                        <c:v>936104395249.22766</c:v>
                      </c:pt>
                      <c:pt idx="22">
                        <c:v>936104395249.22766</c:v>
                      </c:pt>
                      <c:pt idx="23">
                        <c:v>936104395249.22766</c:v>
                      </c:pt>
                      <c:pt idx="24">
                        <c:v>936104395249.22766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19AA-4DE6-AFDF-E2EC034C3C79}"/>
                  </c:ext>
                </c:extLst>
              </c15:ser>
            </c15:filteredLineSeries>
          </c:ext>
        </c:extLst>
      </c:lineChart>
      <c:dateAx>
        <c:axId val="438518792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38517152"/>
        <c:crosses val="autoZero"/>
        <c:auto val="1"/>
        <c:lblOffset val="100"/>
        <c:baseTimeUnit val="months"/>
      </c:dateAx>
      <c:valAx>
        <c:axId val="438517152"/>
        <c:scaling>
          <c:orientation val="minMax"/>
        </c:scaling>
        <c:delete val="0"/>
        <c:axPos val="l"/>
        <c:numFmt formatCode="_-* #,##0\ [$VND]_-;\-* #,##0\ [$VND]_-;_-* &quot;-&quot;\ [$VND]_-;_-@_-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38518792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</c:dispUnitsLbl>
        </c:dispUnits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358140</xdr:colOff>
      <xdr:row>3</xdr:row>
      <xdr:rowOff>7620</xdr:rowOff>
    </xdr:from>
    <xdr:to>
      <xdr:col>29</xdr:col>
      <xdr:colOff>601980</xdr:colOff>
      <xdr:row>17</xdr:row>
      <xdr:rowOff>176852</xdr:rowOff>
    </xdr:to>
    <xdr:graphicFrame macro="">
      <xdr:nvGraphicFramePr>
        <xdr:cNvPr id="3" name="Grafico 1">
          <a:extLst>
            <a:ext uri="{FF2B5EF4-FFF2-40B4-BE49-F238E27FC236}">
              <a16:creationId xmlns:a16="http://schemas.microsoft.com/office/drawing/2014/main" id="{42A940EA-63A6-4608-9B29-66564E2CB8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350520</xdr:colOff>
      <xdr:row>19</xdr:row>
      <xdr:rowOff>38100</xdr:rowOff>
    </xdr:from>
    <xdr:to>
      <xdr:col>30</xdr:col>
      <xdr:colOff>0</xdr:colOff>
      <xdr:row>34</xdr:row>
      <xdr:rowOff>24452</xdr:rowOff>
    </xdr:to>
    <xdr:graphicFrame macro="">
      <xdr:nvGraphicFramePr>
        <xdr:cNvPr id="4" name="Grafico 1">
          <a:extLst>
            <a:ext uri="{FF2B5EF4-FFF2-40B4-BE49-F238E27FC236}">
              <a16:creationId xmlns:a16="http://schemas.microsoft.com/office/drawing/2014/main" id="{7C16D3C2-89AA-4066-AFEF-70D26B3B12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365760</xdr:colOff>
      <xdr:row>35</xdr:row>
      <xdr:rowOff>83820</xdr:rowOff>
    </xdr:from>
    <xdr:to>
      <xdr:col>29</xdr:col>
      <xdr:colOff>601980</xdr:colOff>
      <xdr:row>50</xdr:row>
      <xdr:rowOff>70172</xdr:rowOff>
    </xdr:to>
    <xdr:graphicFrame macro="">
      <xdr:nvGraphicFramePr>
        <xdr:cNvPr id="5" name="Grafico 1">
          <a:extLst>
            <a:ext uri="{FF2B5EF4-FFF2-40B4-BE49-F238E27FC236}">
              <a16:creationId xmlns:a16="http://schemas.microsoft.com/office/drawing/2014/main" id="{5D4E38B3-0E10-4953-B064-4D4ABEDD01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0D7DE-8C59-4A5D-9D04-BBF3F90791F6}">
  <dimension ref="A1:Q35"/>
  <sheetViews>
    <sheetView tabSelected="1" workbookViewId="0">
      <pane xSplit="1" ySplit="2" topLeftCell="B19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17" customWidth="1"/>
    <col min="2" max="2" width="34.42578125" customWidth="1"/>
    <col min="3" max="11" width="24.140625" customWidth="1"/>
    <col min="12" max="17" width="23.5703125" customWidth="1"/>
  </cols>
  <sheetData>
    <row r="1" spans="1:17" ht="43.15" customHeight="1" x14ac:dyDescent="0.25">
      <c r="B1" s="161" t="s">
        <v>0</v>
      </c>
      <c r="C1" s="162"/>
      <c r="D1" s="162"/>
      <c r="E1" s="162"/>
      <c r="F1" s="163"/>
      <c r="G1" s="164" t="s">
        <v>304</v>
      </c>
      <c r="H1" s="165"/>
      <c r="I1" s="165"/>
      <c r="J1" s="165"/>
      <c r="K1" s="166"/>
      <c r="L1" s="167" t="s">
        <v>308</v>
      </c>
      <c r="M1" s="169" t="s">
        <v>309</v>
      </c>
      <c r="N1" s="173" t="s">
        <v>325</v>
      </c>
      <c r="O1" s="171" t="s">
        <v>310</v>
      </c>
      <c r="P1" s="157" t="s">
        <v>311</v>
      </c>
      <c r="Q1" s="159" t="s">
        <v>312</v>
      </c>
    </row>
    <row r="2" spans="1:17" ht="15.75" thickBot="1" x14ac:dyDescent="0.3">
      <c r="B2" s="80" t="s">
        <v>1</v>
      </c>
      <c r="C2" s="81" t="s">
        <v>2</v>
      </c>
      <c r="D2" s="82" t="s">
        <v>3</v>
      </c>
      <c r="E2" s="83" t="s">
        <v>4</v>
      </c>
      <c r="F2" s="84" t="s">
        <v>5</v>
      </c>
      <c r="G2" s="80" t="s">
        <v>1</v>
      </c>
      <c r="H2" s="81" t="s">
        <v>2</v>
      </c>
      <c r="I2" s="82" t="s">
        <v>3</v>
      </c>
      <c r="J2" s="83" t="s">
        <v>4</v>
      </c>
      <c r="K2" s="84" t="s">
        <v>5</v>
      </c>
      <c r="L2" s="168"/>
      <c r="M2" s="170"/>
      <c r="N2" s="174"/>
      <c r="O2" s="172"/>
      <c r="P2" s="158"/>
      <c r="Q2" s="160"/>
    </row>
    <row r="3" spans="1:17" x14ac:dyDescent="0.25">
      <c r="A3" s="1">
        <v>44317</v>
      </c>
      <c r="B3" s="87">
        <v>218016000</v>
      </c>
      <c r="C3" s="88">
        <v>28342080</v>
      </c>
      <c r="D3" s="89">
        <v>0</v>
      </c>
      <c r="E3" s="90">
        <v>0</v>
      </c>
      <c r="F3" s="99">
        <v>0</v>
      </c>
      <c r="G3" s="87">
        <f>B3</f>
        <v>218016000</v>
      </c>
      <c r="H3" s="88">
        <f>C3</f>
        <v>28342080</v>
      </c>
      <c r="I3" s="89">
        <v>0</v>
      </c>
      <c r="J3" s="90">
        <v>0</v>
      </c>
      <c r="K3" s="99">
        <f>F3</f>
        <v>0</v>
      </c>
      <c r="L3" s="102">
        <v>0</v>
      </c>
      <c r="M3" s="114">
        <f ca="1">$B$35*0.1</f>
        <v>109777120386.49402</v>
      </c>
      <c r="N3" s="97">
        <v>0</v>
      </c>
      <c r="O3" s="145">
        <v>0</v>
      </c>
      <c r="P3" s="105">
        <f>N3+L3-SUM(G3:K3)</f>
        <v>-246358080</v>
      </c>
      <c r="Q3" s="106">
        <f>SUM($P$3:P3)</f>
        <v>-246358080</v>
      </c>
    </row>
    <row r="4" spans="1:17" x14ac:dyDescent="0.25">
      <c r="A4" s="1">
        <f>A3+31</f>
        <v>44348</v>
      </c>
      <c r="B4" s="91">
        <v>4796352000</v>
      </c>
      <c r="C4" s="15">
        <v>1589881680</v>
      </c>
      <c r="D4" s="85">
        <v>0</v>
      </c>
      <c r="E4" s="86">
        <v>0</v>
      </c>
      <c r="F4" s="100">
        <v>0</v>
      </c>
      <c r="G4" s="91">
        <f t="shared" ref="G4:G32" si="0">B4</f>
        <v>4796352000</v>
      </c>
      <c r="H4" s="15">
        <f t="shared" ref="H4:H32" si="1">C4</f>
        <v>1589881680</v>
      </c>
      <c r="I4" s="85">
        <v>0</v>
      </c>
      <c r="J4" s="86">
        <v>0</v>
      </c>
      <c r="K4" s="100">
        <f t="shared" ref="K4:K32" si="2">F4</f>
        <v>0</v>
      </c>
      <c r="L4" s="103">
        <f>IF(Q3&gt;0,Q3*0.00167,Q3*0.005)</f>
        <v>-1231790.4000000001</v>
      </c>
      <c r="M4" s="116">
        <v>0</v>
      </c>
      <c r="N4" s="96">
        <f ca="1">M3</f>
        <v>109777120386.49402</v>
      </c>
      <c r="O4" s="146">
        <v>0</v>
      </c>
      <c r="P4" s="107">
        <f t="shared" ref="P4:P29" ca="1" si="3">N4+L4-SUM(G4:K4)</f>
        <v>103389654916.09402</v>
      </c>
      <c r="Q4" s="108">
        <f ca="1">SUM($P$3:P4)</f>
        <v>103143296836.09402</v>
      </c>
    </row>
    <row r="5" spans="1:17" x14ac:dyDescent="0.25">
      <c r="A5" s="1">
        <f t="shared" ref="A5:A29" si="4">A4+31</f>
        <v>44379</v>
      </c>
      <c r="B5" s="91">
        <v>4796352000</v>
      </c>
      <c r="C5" s="15">
        <v>1818798480</v>
      </c>
      <c r="D5" s="85">
        <v>0</v>
      </c>
      <c r="E5" s="86">
        <v>0</v>
      </c>
      <c r="F5" s="100">
        <v>0</v>
      </c>
      <c r="G5" s="91">
        <f t="shared" si="0"/>
        <v>4796352000</v>
      </c>
      <c r="H5" s="15">
        <f t="shared" si="1"/>
        <v>1818798480</v>
      </c>
      <c r="I5" s="85">
        <f>D3</f>
        <v>0</v>
      </c>
      <c r="J5" s="86">
        <f>E3</f>
        <v>0</v>
      </c>
      <c r="K5" s="100">
        <f t="shared" si="2"/>
        <v>0</v>
      </c>
      <c r="L5" s="103">
        <f t="shared" ref="L5:L27" ca="1" si="5">IF(Q4&gt;0,Q4*0.00167,Q4*0.005)</f>
        <v>172249305.71627703</v>
      </c>
      <c r="M5" s="116">
        <f ca="1">0.8*$B$35*O5</f>
        <v>0</v>
      </c>
      <c r="N5" s="96">
        <v>0</v>
      </c>
      <c r="O5" s="146">
        <v>0</v>
      </c>
      <c r="P5" s="107">
        <f t="shared" ca="1" si="3"/>
        <v>-6442901174.2837229</v>
      </c>
      <c r="Q5" s="108">
        <f ca="1">SUM($P$3:P5)</f>
        <v>96700395661.810303</v>
      </c>
    </row>
    <row r="6" spans="1:17" x14ac:dyDescent="0.25">
      <c r="A6" s="1">
        <f t="shared" si="4"/>
        <v>44410</v>
      </c>
      <c r="B6" s="91">
        <v>4796352000</v>
      </c>
      <c r="C6" s="15">
        <v>2312877240</v>
      </c>
      <c r="D6" s="85">
        <v>2823390412</v>
      </c>
      <c r="E6" s="86">
        <v>0</v>
      </c>
      <c r="F6" s="100">
        <v>0</v>
      </c>
      <c r="G6" s="91">
        <f t="shared" si="0"/>
        <v>4796352000</v>
      </c>
      <c r="H6" s="15">
        <f t="shared" si="1"/>
        <v>2312877240</v>
      </c>
      <c r="I6" s="85">
        <f t="shared" ref="I6:J29" si="6">D4</f>
        <v>0</v>
      </c>
      <c r="J6" s="86">
        <f t="shared" si="6"/>
        <v>0</v>
      </c>
      <c r="K6" s="100">
        <f t="shared" si="2"/>
        <v>0</v>
      </c>
      <c r="L6" s="103">
        <f t="shared" ca="1" si="5"/>
        <v>161489660.75522321</v>
      </c>
      <c r="M6" s="116">
        <f t="shared" ref="M6:M26" ca="1" si="7">0.8*$B$35*O6</f>
        <v>0</v>
      </c>
      <c r="N6" s="96">
        <f t="shared" ref="N6:N29" si="8">M4</f>
        <v>0</v>
      </c>
      <c r="O6" s="146">
        <v>0</v>
      </c>
      <c r="P6" s="107">
        <f t="shared" ca="1" si="3"/>
        <v>-6947739579.2447767</v>
      </c>
      <c r="Q6" s="108">
        <f ca="1">SUM($P$3:P6)</f>
        <v>89752656082.565521</v>
      </c>
    </row>
    <row r="7" spans="1:17" x14ac:dyDescent="0.25">
      <c r="A7" s="1">
        <f t="shared" si="4"/>
        <v>44441</v>
      </c>
      <c r="B7" s="91">
        <v>4796352000</v>
      </c>
      <c r="C7" s="15">
        <v>802298880</v>
      </c>
      <c r="D7" s="85">
        <v>1427921588</v>
      </c>
      <c r="E7" s="86">
        <v>0</v>
      </c>
      <c r="F7" s="100">
        <v>272520000</v>
      </c>
      <c r="G7" s="91">
        <f t="shared" si="0"/>
        <v>4796352000</v>
      </c>
      <c r="H7" s="15">
        <f t="shared" si="1"/>
        <v>802298880</v>
      </c>
      <c r="I7" s="85">
        <f t="shared" si="6"/>
        <v>0</v>
      </c>
      <c r="J7" s="86">
        <f t="shared" si="6"/>
        <v>0</v>
      </c>
      <c r="K7" s="100">
        <f t="shared" si="2"/>
        <v>272520000</v>
      </c>
      <c r="L7" s="103">
        <f t="shared" ca="1" si="5"/>
        <v>149886935.65788442</v>
      </c>
      <c r="M7" s="116">
        <f t="shared" ca="1" si="7"/>
        <v>0</v>
      </c>
      <c r="N7" s="96">
        <f t="shared" ca="1" si="8"/>
        <v>0</v>
      </c>
      <c r="O7" s="146">
        <v>0</v>
      </c>
      <c r="P7" s="107">
        <f t="shared" ca="1" si="3"/>
        <v>-5721283944.3421154</v>
      </c>
      <c r="Q7" s="108">
        <f ca="1">SUM($P$3:P7)</f>
        <v>84031372138.223404</v>
      </c>
    </row>
    <row r="8" spans="1:17" x14ac:dyDescent="0.25">
      <c r="A8" s="1">
        <f t="shared" si="4"/>
        <v>44472</v>
      </c>
      <c r="B8" s="91">
        <v>4578336000</v>
      </c>
      <c r="C8" s="15">
        <v>211736340</v>
      </c>
      <c r="D8" s="85">
        <v>0</v>
      </c>
      <c r="E8" s="86">
        <v>39930153600</v>
      </c>
      <c r="F8" s="100">
        <v>0</v>
      </c>
      <c r="G8" s="91">
        <f t="shared" si="0"/>
        <v>4578336000</v>
      </c>
      <c r="H8" s="15">
        <f t="shared" si="1"/>
        <v>211736340</v>
      </c>
      <c r="I8" s="85">
        <f t="shared" si="6"/>
        <v>2823390412</v>
      </c>
      <c r="J8" s="86">
        <f t="shared" si="6"/>
        <v>0</v>
      </c>
      <c r="K8" s="100">
        <f t="shared" si="2"/>
        <v>0</v>
      </c>
      <c r="L8" s="103">
        <f t="shared" ca="1" si="5"/>
        <v>140332391.47083309</v>
      </c>
      <c r="M8" s="116">
        <f t="shared" ca="1" si="7"/>
        <v>44813334003.211189</v>
      </c>
      <c r="N8" s="96">
        <f t="shared" ca="1" si="8"/>
        <v>0</v>
      </c>
      <c r="O8" s="146">
        <v>5.1027634270962137E-2</v>
      </c>
      <c r="P8" s="107">
        <f t="shared" ca="1" si="3"/>
        <v>-7473130360.5291672</v>
      </c>
      <c r="Q8" s="108">
        <f ca="1">SUM($P$3:P8)</f>
        <v>76558241777.694244</v>
      </c>
    </row>
    <row r="9" spans="1:17" x14ac:dyDescent="0.25">
      <c r="A9" s="1">
        <f t="shared" si="4"/>
        <v>44503</v>
      </c>
      <c r="B9" s="91">
        <v>4796352000</v>
      </c>
      <c r="C9" s="15">
        <v>546705353</v>
      </c>
      <c r="D9" s="85">
        <v>8819837280</v>
      </c>
      <c r="E9" s="86">
        <v>23946709500</v>
      </c>
      <c r="F9" s="100">
        <v>5450400000</v>
      </c>
      <c r="G9" s="91">
        <f t="shared" si="0"/>
        <v>4796352000</v>
      </c>
      <c r="H9" s="15">
        <f t="shared" si="1"/>
        <v>546705353</v>
      </c>
      <c r="I9" s="85">
        <f t="shared" si="6"/>
        <v>1427921588</v>
      </c>
      <c r="J9" s="86">
        <f t="shared" si="6"/>
        <v>0</v>
      </c>
      <c r="K9" s="100">
        <f t="shared" si="2"/>
        <v>5450400000</v>
      </c>
      <c r="L9" s="103">
        <f t="shared" ca="1" si="5"/>
        <v>127852263.76874939</v>
      </c>
      <c r="M9" s="116">
        <f t="shared" ca="1" si="7"/>
        <v>26875225721.680431</v>
      </c>
      <c r="N9" s="96">
        <f t="shared" ca="1" si="8"/>
        <v>0</v>
      </c>
      <c r="O9" s="146">
        <v>3.0602034407375148E-2</v>
      </c>
      <c r="P9" s="107">
        <f t="shared" ca="1" si="3"/>
        <v>-12093526677.231251</v>
      </c>
      <c r="Q9" s="108">
        <f ca="1">SUM($P$3:P9)</f>
        <v>64464715100.462997</v>
      </c>
    </row>
    <row r="10" spans="1:17" x14ac:dyDescent="0.25">
      <c r="A10" s="1">
        <f t="shared" si="4"/>
        <v>44534</v>
      </c>
      <c r="B10" s="91">
        <v>5014368000</v>
      </c>
      <c r="C10" s="15">
        <v>2490447204</v>
      </c>
      <c r="D10" s="85">
        <v>48236040000</v>
      </c>
      <c r="E10" s="86">
        <v>60328635000</v>
      </c>
      <c r="F10" s="100">
        <v>0</v>
      </c>
      <c r="G10" s="91">
        <f t="shared" si="0"/>
        <v>5014368000</v>
      </c>
      <c r="H10" s="15">
        <f t="shared" si="1"/>
        <v>2490447204</v>
      </c>
      <c r="I10" s="85">
        <f t="shared" si="6"/>
        <v>0</v>
      </c>
      <c r="J10" s="86">
        <f t="shared" si="6"/>
        <v>39930153600</v>
      </c>
      <c r="K10" s="100">
        <f t="shared" si="2"/>
        <v>0</v>
      </c>
      <c r="L10" s="103">
        <f t="shared" ca="1" si="5"/>
        <v>107656074.21777321</v>
      </c>
      <c r="M10" s="116">
        <f t="shared" ca="1" si="7"/>
        <v>67706407976.672966</v>
      </c>
      <c r="N10" s="96">
        <f t="shared" ca="1" si="8"/>
        <v>44813334003.211189</v>
      </c>
      <c r="O10" s="146">
        <v>7.7095308815600602E-2</v>
      </c>
      <c r="P10" s="107">
        <f t="shared" ca="1" si="3"/>
        <v>-2513978726.5710373</v>
      </c>
      <c r="Q10" s="108">
        <f ca="1">SUM($P$3:P10)</f>
        <v>61950736373.89196</v>
      </c>
    </row>
    <row r="11" spans="1:17" x14ac:dyDescent="0.25">
      <c r="A11" s="1">
        <f t="shared" si="4"/>
        <v>44565</v>
      </c>
      <c r="B11" s="91">
        <v>4578336000</v>
      </c>
      <c r="C11" s="15">
        <v>2740732770</v>
      </c>
      <c r="D11" s="85">
        <v>62570592000</v>
      </c>
      <c r="E11" s="86">
        <v>87312798900</v>
      </c>
      <c r="F11" s="100">
        <v>0</v>
      </c>
      <c r="G11" s="91">
        <f t="shared" si="0"/>
        <v>4578336000</v>
      </c>
      <c r="H11" s="15">
        <f t="shared" si="1"/>
        <v>2740732770</v>
      </c>
      <c r="I11" s="85">
        <f t="shared" si="6"/>
        <v>8819837280</v>
      </c>
      <c r="J11" s="86">
        <f t="shared" si="6"/>
        <v>23946709500</v>
      </c>
      <c r="K11" s="100">
        <f t="shared" si="2"/>
        <v>0</v>
      </c>
      <c r="L11" s="103">
        <f t="shared" ca="1" si="5"/>
        <v>103457729.74439958</v>
      </c>
      <c r="M11" s="116">
        <f t="shared" ca="1" si="7"/>
        <v>97990547671.24437</v>
      </c>
      <c r="N11" s="96">
        <f t="shared" ca="1" si="8"/>
        <v>26875225721.680431</v>
      </c>
      <c r="O11" s="146">
        <v>0.1115789739772818</v>
      </c>
      <c r="P11" s="107">
        <f t="shared" ca="1" si="3"/>
        <v>-13106932098.575169</v>
      </c>
      <c r="Q11" s="108">
        <f ca="1">SUM($P$3:P11)</f>
        <v>48843804275.316788</v>
      </c>
    </row>
    <row r="12" spans="1:17" x14ac:dyDescent="0.25">
      <c r="A12" s="1">
        <f t="shared" si="4"/>
        <v>44596</v>
      </c>
      <c r="B12" s="91">
        <v>4360320000</v>
      </c>
      <c r="C12" s="15">
        <v>3063528858</v>
      </c>
      <c r="D12" s="85">
        <v>27252000000</v>
      </c>
      <c r="E12" s="86">
        <v>91419223200</v>
      </c>
      <c r="F12" s="100">
        <v>0</v>
      </c>
      <c r="G12" s="91">
        <f t="shared" si="0"/>
        <v>4360320000</v>
      </c>
      <c r="H12" s="15">
        <f t="shared" si="1"/>
        <v>3063528858</v>
      </c>
      <c r="I12" s="85">
        <f t="shared" si="6"/>
        <v>48236040000</v>
      </c>
      <c r="J12" s="86">
        <f t="shared" si="6"/>
        <v>60328635000</v>
      </c>
      <c r="K12" s="100">
        <f t="shared" si="2"/>
        <v>0</v>
      </c>
      <c r="L12" s="103">
        <f t="shared" ca="1" si="5"/>
        <v>81569153.139779031</v>
      </c>
      <c r="M12" s="116">
        <f t="shared" ca="1" si="7"/>
        <v>102599159137.11168</v>
      </c>
      <c r="N12" s="96">
        <f t="shared" ca="1" si="8"/>
        <v>67706407976.672966</v>
      </c>
      <c r="O12" s="146">
        <v>0.11682666521936587</v>
      </c>
      <c r="P12" s="107">
        <f t="shared" ca="1" si="3"/>
        <v>-48200546728.187256</v>
      </c>
      <c r="Q12" s="108">
        <f ca="1">SUM($P$3:P12)</f>
        <v>643257547.12953186</v>
      </c>
    </row>
    <row r="13" spans="1:17" x14ac:dyDescent="0.25">
      <c r="A13" s="1">
        <f t="shared" si="4"/>
        <v>44627</v>
      </c>
      <c r="B13" s="91">
        <v>5014368000</v>
      </c>
      <c r="C13" s="15">
        <v>3857254913</v>
      </c>
      <c r="D13" s="85">
        <v>86871200400</v>
      </c>
      <c r="E13" s="86">
        <v>52964337000</v>
      </c>
      <c r="F13" s="100">
        <v>0</v>
      </c>
      <c r="G13" s="91">
        <f t="shared" si="0"/>
        <v>5014368000</v>
      </c>
      <c r="H13" s="15">
        <f t="shared" si="1"/>
        <v>3857254913</v>
      </c>
      <c r="I13" s="85">
        <f t="shared" si="6"/>
        <v>62570592000</v>
      </c>
      <c r="J13" s="86">
        <f t="shared" si="6"/>
        <v>87312798900</v>
      </c>
      <c r="K13" s="100">
        <f t="shared" si="2"/>
        <v>0</v>
      </c>
      <c r="L13" s="103">
        <f t="shared" ca="1" si="5"/>
        <v>1074240.1037063182</v>
      </c>
      <c r="M13" s="116">
        <f t="shared" ca="1" si="7"/>
        <v>59441507488.70739</v>
      </c>
      <c r="N13" s="96">
        <f t="shared" ca="1" si="8"/>
        <v>97990547671.24437</v>
      </c>
      <c r="O13" s="146">
        <v>6.7684308077392119E-2</v>
      </c>
      <c r="P13" s="107">
        <f t="shared" ca="1" si="3"/>
        <v>-60763391901.651932</v>
      </c>
      <c r="Q13" s="108">
        <f ca="1">SUM($P$3:P13)</f>
        <v>-60120134354.5224</v>
      </c>
    </row>
    <row r="14" spans="1:17" x14ac:dyDescent="0.25">
      <c r="A14" s="1">
        <f t="shared" si="4"/>
        <v>44658</v>
      </c>
      <c r="B14" s="91">
        <v>4578336000</v>
      </c>
      <c r="C14" s="15">
        <v>3526462434</v>
      </c>
      <c r="D14" s="85">
        <v>77395680000</v>
      </c>
      <c r="E14" s="86">
        <v>13645611000</v>
      </c>
      <c r="F14" s="100">
        <v>0</v>
      </c>
      <c r="G14" s="91">
        <f t="shared" si="0"/>
        <v>4578336000</v>
      </c>
      <c r="H14" s="15">
        <f t="shared" si="1"/>
        <v>3526462434</v>
      </c>
      <c r="I14" s="85">
        <f t="shared" si="6"/>
        <v>27252000000</v>
      </c>
      <c r="J14" s="86">
        <f t="shared" si="6"/>
        <v>91419223200</v>
      </c>
      <c r="K14" s="100">
        <f t="shared" si="2"/>
        <v>0</v>
      </c>
      <c r="L14" s="103">
        <f t="shared" ca="1" si="5"/>
        <v>-300600671.77261204</v>
      </c>
      <c r="M14" s="116">
        <f t="shared" ca="1" si="7"/>
        <v>15314374433.583261</v>
      </c>
      <c r="N14" s="96">
        <f t="shared" ca="1" si="8"/>
        <v>102599159137.11168</v>
      </c>
      <c r="O14" s="146">
        <v>1.7438030779621593E-2</v>
      </c>
      <c r="P14" s="107">
        <f t="shared" ca="1" si="3"/>
        <v>-24477463168.660934</v>
      </c>
      <c r="Q14" s="108">
        <f ca="1">SUM($P$3:P14)</f>
        <v>-84597597523.183334</v>
      </c>
    </row>
    <row r="15" spans="1:17" x14ac:dyDescent="0.25">
      <c r="A15" s="1">
        <f t="shared" si="4"/>
        <v>44689</v>
      </c>
      <c r="B15" s="91">
        <v>4796352000</v>
      </c>
      <c r="C15" s="15">
        <v>3685045673</v>
      </c>
      <c r="D15" s="85">
        <v>0</v>
      </c>
      <c r="E15" s="86">
        <v>14799945600</v>
      </c>
      <c r="F15" s="100">
        <v>0</v>
      </c>
      <c r="G15" s="91">
        <f t="shared" si="0"/>
        <v>4796352000</v>
      </c>
      <c r="H15" s="15">
        <f t="shared" si="1"/>
        <v>3685045673</v>
      </c>
      <c r="I15" s="85">
        <f t="shared" si="6"/>
        <v>86871200400</v>
      </c>
      <c r="J15" s="86">
        <f t="shared" si="6"/>
        <v>52964337000</v>
      </c>
      <c r="K15" s="100">
        <f t="shared" si="2"/>
        <v>0</v>
      </c>
      <c r="L15" s="103">
        <f t="shared" ca="1" si="5"/>
        <v>-422987987.61591667</v>
      </c>
      <c r="M15" s="116">
        <f t="shared" ca="1" si="7"/>
        <v>16609876136.368176</v>
      </c>
      <c r="N15" s="96">
        <f t="shared" ca="1" si="8"/>
        <v>59441507488.70739</v>
      </c>
      <c r="O15" s="146">
        <v>1.8913180722323474E-2</v>
      </c>
      <c r="P15" s="107">
        <f t="shared" ca="1" si="3"/>
        <v>-89298415571.908524</v>
      </c>
      <c r="Q15" s="108">
        <f ca="1">SUM($P$3:P15)</f>
        <v>-173896013095.09186</v>
      </c>
    </row>
    <row r="16" spans="1:17" x14ac:dyDescent="0.25">
      <c r="A16" s="1">
        <f t="shared" si="4"/>
        <v>44720</v>
      </c>
      <c r="B16" s="91">
        <v>4796352000</v>
      </c>
      <c r="C16" s="15">
        <v>2819696566</v>
      </c>
      <c r="D16" s="85">
        <v>0</v>
      </c>
      <c r="E16" s="86">
        <v>23545368000</v>
      </c>
      <c r="F16" s="100">
        <v>0</v>
      </c>
      <c r="G16" s="91">
        <f t="shared" si="0"/>
        <v>4796352000</v>
      </c>
      <c r="H16" s="15">
        <f t="shared" si="1"/>
        <v>2819696566</v>
      </c>
      <c r="I16" s="85">
        <f t="shared" si="6"/>
        <v>77395680000</v>
      </c>
      <c r="J16" s="86">
        <f t="shared" si="6"/>
        <v>13645611000</v>
      </c>
      <c r="K16" s="100">
        <f t="shared" si="2"/>
        <v>0</v>
      </c>
      <c r="L16" s="103">
        <f t="shared" ca="1" si="5"/>
        <v>-869480065.47545934</v>
      </c>
      <c r="M16" s="116">
        <f t="shared" ca="1" si="7"/>
        <v>26424802944.222095</v>
      </c>
      <c r="N16" s="96">
        <f t="shared" ca="1" si="8"/>
        <v>15314374433.583261</v>
      </c>
      <c r="O16" s="146">
        <v>3.0089151149150981E-2</v>
      </c>
      <c r="P16" s="107">
        <f t="shared" ca="1" si="3"/>
        <v>-84212445197.892197</v>
      </c>
      <c r="Q16" s="108">
        <f ca="1">SUM($P$3:P16)</f>
        <v>-258108458292.98407</v>
      </c>
    </row>
    <row r="17" spans="1:17" x14ac:dyDescent="0.25">
      <c r="A17" s="1">
        <f t="shared" si="4"/>
        <v>44751</v>
      </c>
      <c r="B17" s="91">
        <v>4578336000</v>
      </c>
      <c r="C17" s="15">
        <v>2399145301</v>
      </c>
      <c r="D17" s="85">
        <v>0</v>
      </c>
      <c r="E17" s="86">
        <v>22475124000</v>
      </c>
      <c r="F17" s="100">
        <v>0</v>
      </c>
      <c r="G17" s="91">
        <f t="shared" si="0"/>
        <v>4578336000</v>
      </c>
      <c r="H17" s="15">
        <f t="shared" si="1"/>
        <v>2399145301</v>
      </c>
      <c r="I17" s="85">
        <f t="shared" si="6"/>
        <v>0</v>
      </c>
      <c r="J17" s="86">
        <f t="shared" si="6"/>
        <v>14799945600</v>
      </c>
      <c r="K17" s="100">
        <f t="shared" si="2"/>
        <v>0</v>
      </c>
      <c r="L17" s="103">
        <f t="shared" ca="1" si="5"/>
        <v>-1290542291.4649203</v>
      </c>
      <c r="M17" s="116">
        <f t="shared" ca="1" si="7"/>
        <v>25223675537.666546</v>
      </c>
      <c r="N17" s="96">
        <f t="shared" ca="1" si="8"/>
        <v>16609876136.368176</v>
      </c>
      <c r="O17" s="146">
        <v>2.872146246055321E-2</v>
      </c>
      <c r="P17" s="107">
        <f t="shared" ca="1" si="3"/>
        <v>-6458093056.0967445</v>
      </c>
      <c r="Q17" s="108">
        <f ca="1">SUM($P$3:P17)</f>
        <v>-264566551349.08081</v>
      </c>
    </row>
    <row r="18" spans="1:17" x14ac:dyDescent="0.25">
      <c r="A18" s="1">
        <f t="shared" si="4"/>
        <v>44782</v>
      </c>
      <c r="B18" s="91">
        <v>5014368000</v>
      </c>
      <c r="C18" s="15">
        <v>2552690772</v>
      </c>
      <c r="D18" s="85">
        <v>0</v>
      </c>
      <c r="E18" s="86">
        <v>24615612000</v>
      </c>
      <c r="F18" s="100">
        <v>0</v>
      </c>
      <c r="G18" s="91">
        <f t="shared" si="0"/>
        <v>5014368000</v>
      </c>
      <c r="H18" s="15">
        <f t="shared" si="1"/>
        <v>2552690772</v>
      </c>
      <c r="I18" s="85">
        <f t="shared" si="6"/>
        <v>0</v>
      </c>
      <c r="J18" s="86">
        <f t="shared" si="6"/>
        <v>23545368000</v>
      </c>
      <c r="K18" s="100">
        <f t="shared" si="2"/>
        <v>0</v>
      </c>
      <c r="L18" s="103">
        <f t="shared" ca="1" si="5"/>
        <v>-1322832756.745404</v>
      </c>
      <c r="M18" s="116">
        <f t="shared" ca="1" si="7"/>
        <v>27625930350.777645</v>
      </c>
      <c r="N18" s="96">
        <f t="shared" ca="1" si="8"/>
        <v>26424802944.222095</v>
      </c>
      <c r="O18" s="146">
        <v>3.1456839837748753E-2</v>
      </c>
      <c r="P18" s="107">
        <f t="shared" ca="1" si="3"/>
        <v>-6010456584.5233078</v>
      </c>
      <c r="Q18" s="108">
        <f ca="1">SUM($P$3:P18)</f>
        <v>-270577007933.60413</v>
      </c>
    </row>
    <row r="19" spans="1:17" x14ac:dyDescent="0.25">
      <c r="A19" s="1">
        <f t="shared" si="4"/>
        <v>44813</v>
      </c>
      <c r="B19" s="91">
        <v>4796352000</v>
      </c>
      <c r="C19" s="15">
        <v>704696166</v>
      </c>
      <c r="D19" s="85">
        <v>0</v>
      </c>
      <c r="E19" s="86">
        <v>15009521800</v>
      </c>
      <c r="F19" s="100">
        <v>0</v>
      </c>
      <c r="G19" s="91">
        <f t="shared" si="0"/>
        <v>4796352000</v>
      </c>
      <c r="H19" s="15">
        <f t="shared" si="1"/>
        <v>704696166</v>
      </c>
      <c r="I19" s="85">
        <f t="shared" si="6"/>
        <v>0</v>
      </c>
      <c r="J19" s="86">
        <f t="shared" si="6"/>
        <v>22475124000</v>
      </c>
      <c r="K19" s="100">
        <f t="shared" si="2"/>
        <v>0</v>
      </c>
      <c r="L19" s="103">
        <f t="shared" ca="1" si="5"/>
        <v>-1352885039.6680207</v>
      </c>
      <c r="M19" s="116">
        <f t="shared" ca="1" si="7"/>
        <v>181360040427.15457</v>
      </c>
      <c r="N19" s="96">
        <f t="shared" ca="1" si="8"/>
        <v>25223675537.666546</v>
      </c>
      <c r="O19" s="146">
        <v>0.20650937985601811</v>
      </c>
      <c r="P19" s="107">
        <f t="shared" ca="1" si="3"/>
        <v>-4105381668.0014763</v>
      </c>
      <c r="Q19" s="108">
        <f ca="1">SUM($P$3:P19)</f>
        <v>-274682389601.60559</v>
      </c>
    </row>
    <row r="20" spans="1:17" x14ac:dyDescent="0.25">
      <c r="A20" s="1">
        <f t="shared" si="4"/>
        <v>44844</v>
      </c>
      <c r="B20" s="91">
        <v>4578336000</v>
      </c>
      <c r="C20" s="15">
        <v>876221586</v>
      </c>
      <c r="D20" s="85">
        <v>0</v>
      </c>
      <c r="E20" s="86">
        <v>2066846560</v>
      </c>
      <c r="F20" s="100">
        <v>0</v>
      </c>
      <c r="G20" s="91">
        <f t="shared" si="0"/>
        <v>4578336000</v>
      </c>
      <c r="H20" s="15">
        <f t="shared" si="1"/>
        <v>876221586</v>
      </c>
      <c r="I20" s="85">
        <f t="shared" si="6"/>
        <v>0</v>
      </c>
      <c r="J20" s="86">
        <f t="shared" si="6"/>
        <v>24615612000</v>
      </c>
      <c r="K20" s="100">
        <f t="shared" si="2"/>
        <v>0</v>
      </c>
      <c r="L20" s="103">
        <f t="shared" ca="1" si="5"/>
        <v>-1373411948.008028</v>
      </c>
      <c r="M20" s="116">
        <f t="shared" ca="1" si="7"/>
        <v>184786579204.39694</v>
      </c>
      <c r="N20" s="96">
        <f t="shared" ca="1" si="8"/>
        <v>27625930350.777645</v>
      </c>
      <c r="O20" s="146">
        <v>0.21041107946015522</v>
      </c>
      <c r="P20" s="107">
        <f t="shared" ca="1" si="3"/>
        <v>-3817651183.2303848</v>
      </c>
      <c r="Q20" s="108">
        <f ca="1">SUM($P$3:P20)</f>
        <v>-278500040784.836</v>
      </c>
    </row>
    <row r="21" spans="1:17" x14ac:dyDescent="0.25">
      <c r="A21" s="1">
        <f t="shared" si="4"/>
        <v>44875</v>
      </c>
      <c r="B21" s="91">
        <v>4796352000</v>
      </c>
      <c r="C21" s="15">
        <v>1222120269</v>
      </c>
      <c r="D21" s="85">
        <v>0</v>
      </c>
      <c r="E21" s="86">
        <v>456636248</v>
      </c>
      <c r="F21" s="100">
        <v>0</v>
      </c>
      <c r="G21" s="91">
        <f t="shared" si="0"/>
        <v>4796352000</v>
      </c>
      <c r="H21" s="15">
        <f t="shared" si="1"/>
        <v>1222120269</v>
      </c>
      <c r="I21" s="85">
        <f t="shared" si="6"/>
        <v>0</v>
      </c>
      <c r="J21" s="86">
        <f t="shared" si="6"/>
        <v>15009521800</v>
      </c>
      <c r="K21" s="100">
        <f t="shared" si="2"/>
        <v>0</v>
      </c>
      <c r="L21" s="103">
        <f t="shared" ca="1" si="5"/>
        <v>-1392500203.92418</v>
      </c>
      <c r="M21" s="116">
        <f t="shared" ca="1" si="7"/>
        <v>849890433.57228601</v>
      </c>
      <c r="N21" s="96">
        <f t="shared" ca="1" si="8"/>
        <v>181360040427.15457</v>
      </c>
      <c r="O21" s="146">
        <v>9.677454083556568E-4</v>
      </c>
      <c r="P21" s="107">
        <f t="shared" ca="1" si="3"/>
        <v>158939546154.23038</v>
      </c>
      <c r="Q21" s="108">
        <f ca="1">SUM($P$3:P21)</f>
        <v>-119560494630.60562</v>
      </c>
    </row>
    <row r="22" spans="1:17" x14ac:dyDescent="0.25">
      <c r="A22" s="1">
        <f t="shared" si="4"/>
        <v>44906</v>
      </c>
      <c r="B22" s="91">
        <v>4796352000</v>
      </c>
      <c r="C22" s="15">
        <v>2027517419</v>
      </c>
      <c r="D22" s="85">
        <v>0</v>
      </c>
      <c r="E22" s="86">
        <v>144603200</v>
      </c>
      <c r="F22" s="100">
        <v>0</v>
      </c>
      <c r="G22" s="91">
        <f t="shared" si="0"/>
        <v>4796352000</v>
      </c>
      <c r="H22" s="15">
        <f t="shared" si="1"/>
        <v>2027517419</v>
      </c>
      <c r="I22" s="85">
        <f t="shared" si="6"/>
        <v>0</v>
      </c>
      <c r="J22" s="86">
        <f t="shared" si="6"/>
        <v>2066846560</v>
      </c>
      <c r="K22" s="100">
        <f t="shared" si="2"/>
        <v>0</v>
      </c>
      <c r="L22" s="103">
        <f t="shared" ca="1" si="5"/>
        <v>-597802473.15302813</v>
      </c>
      <c r="M22" s="116">
        <f t="shared" ca="1" si="7"/>
        <v>595611625.58255804</v>
      </c>
      <c r="N22" s="96">
        <f t="shared" ca="1" si="8"/>
        <v>184786579204.39694</v>
      </c>
      <c r="O22" s="146">
        <v>6.7820555809532405E-4</v>
      </c>
      <c r="P22" s="107">
        <f t="shared" ca="1" si="3"/>
        <v>175298060752.24393</v>
      </c>
      <c r="Q22" s="108">
        <f ca="1">SUM($P$3:P22)</f>
        <v>55737566121.638306</v>
      </c>
    </row>
    <row r="23" spans="1:17" x14ac:dyDescent="0.25">
      <c r="A23" s="1">
        <f t="shared" si="4"/>
        <v>44937</v>
      </c>
      <c r="B23" s="91">
        <v>2834208000</v>
      </c>
      <c r="C23" s="15">
        <v>812364749</v>
      </c>
      <c r="D23" s="85">
        <v>0</v>
      </c>
      <c r="E23" s="86">
        <v>0</v>
      </c>
      <c r="F23" s="100">
        <v>0</v>
      </c>
      <c r="G23" s="91">
        <f t="shared" si="0"/>
        <v>2834208000</v>
      </c>
      <c r="H23" s="15">
        <f t="shared" si="1"/>
        <v>812364749</v>
      </c>
      <c r="I23" s="85">
        <f t="shared" si="6"/>
        <v>0</v>
      </c>
      <c r="J23" s="86">
        <f t="shared" si="6"/>
        <v>456636248</v>
      </c>
      <c r="K23" s="100">
        <f t="shared" si="2"/>
        <v>0</v>
      </c>
      <c r="L23" s="103">
        <f t="shared" ca="1" si="5"/>
        <v>93081735.423135966</v>
      </c>
      <c r="M23" s="116">
        <f ca="1">$B$35*0.1</f>
        <v>109777120386.49402</v>
      </c>
      <c r="N23" s="96">
        <f t="shared" ca="1" si="8"/>
        <v>849890433.57228601</v>
      </c>
      <c r="O23" s="146">
        <v>0</v>
      </c>
      <c r="P23" s="107">
        <f t="shared" ca="1" si="3"/>
        <v>-3160236828.0045781</v>
      </c>
      <c r="Q23" s="108">
        <f ca="1">SUM($P$3:P23)</f>
        <v>52577329293.633728</v>
      </c>
    </row>
    <row r="24" spans="1:17" x14ac:dyDescent="0.25">
      <c r="A24" s="1">
        <f t="shared" si="4"/>
        <v>44968</v>
      </c>
      <c r="B24" s="91">
        <v>0</v>
      </c>
      <c r="C24" s="15">
        <v>0</v>
      </c>
      <c r="D24" s="85">
        <v>0</v>
      </c>
      <c r="E24" s="86">
        <v>0</v>
      </c>
      <c r="F24" s="100">
        <v>0</v>
      </c>
      <c r="G24" s="91">
        <f t="shared" si="0"/>
        <v>0</v>
      </c>
      <c r="H24" s="15">
        <f t="shared" si="1"/>
        <v>0</v>
      </c>
      <c r="I24" s="85">
        <f t="shared" si="6"/>
        <v>0</v>
      </c>
      <c r="J24" s="86">
        <f t="shared" si="6"/>
        <v>144603200</v>
      </c>
      <c r="K24" s="100">
        <f t="shared" si="2"/>
        <v>0</v>
      </c>
      <c r="L24" s="103">
        <f t="shared" ca="1" si="5"/>
        <v>87804139.920368329</v>
      </c>
      <c r="M24" s="116">
        <f t="shared" ca="1" si="7"/>
        <v>0</v>
      </c>
      <c r="N24" s="96">
        <f t="shared" ca="1" si="8"/>
        <v>595611625.58255804</v>
      </c>
      <c r="O24" s="146">
        <v>0</v>
      </c>
      <c r="P24" s="107">
        <f t="shared" ca="1" si="3"/>
        <v>538812565.50292635</v>
      </c>
      <c r="Q24" s="108">
        <f ca="1">SUM($P$3:P24)</f>
        <v>53116141859.136658</v>
      </c>
    </row>
    <row r="25" spans="1:17" x14ac:dyDescent="0.25">
      <c r="A25" s="1">
        <f t="shared" si="4"/>
        <v>44999</v>
      </c>
      <c r="B25" s="91">
        <v>0</v>
      </c>
      <c r="C25" s="15">
        <v>0</v>
      </c>
      <c r="D25" s="85">
        <v>0</v>
      </c>
      <c r="E25" s="86">
        <v>0</v>
      </c>
      <c r="F25" s="100">
        <v>0</v>
      </c>
      <c r="G25" s="91">
        <f t="shared" si="0"/>
        <v>0</v>
      </c>
      <c r="H25" s="15">
        <f t="shared" si="1"/>
        <v>0</v>
      </c>
      <c r="I25" s="85">
        <f t="shared" si="6"/>
        <v>0</v>
      </c>
      <c r="J25" s="86">
        <f t="shared" si="6"/>
        <v>0</v>
      </c>
      <c r="K25" s="100">
        <f t="shared" si="2"/>
        <v>0</v>
      </c>
      <c r="L25" s="103">
        <f t="shared" ca="1" si="5"/>
        <v>88703956.904758215</v>
      </c>
      <c r="M25" s="116">
        <f t="shared" ca="1" si="7"/>
        <v>0</v>
      </c>
      <c r="N25" s="96">
        <v>0</v>
      </c>
      <c r="O25" s="146">
        <v>0</v>
      </c>
      <c r="P25" s="107">
        <f t="shared" ca="1" si="3"/>
        <v>88703956.904758215</v>
      </c>
      <c r="Q25" s="108">
        <f ca="1">SUM($P$3:P25)</f>
        <v>53204845816.041412</v>
      </c>
    </row>
    <row r="26" spans="1:17" x14ac:dyDescent="0.25">
      <c r="A26" s="1">
        <f t="shared" si="4"/>
        <v>45030</v>
      </c>
      <c r="B26" s="91">
        <v>0</v>
      </c>
      <c r="C26" s="15">
        <v>0</v>
      </c>
      <c r="D26" s="85">
        <v>0</v>
      </c>
      <c r="E26" s="86">
        <v>0</v>
      </c>
      <c r="F26" s="100">
        <v>0</v>
      </c>
      <c r="G26" s="91">
        <f t="shared" si="0"/>
        <v>0</v>
      </c>
      <c r="H26" s="15">
        <f t="shared" si="1"/>
        <v>0</v>
      </c>
      <c r="I26" s="85">
        <f t="shared" si="6"/>
        <v>0</v>
      </c>
      <c r="J26" s="86">
        <f t="shared" si="6"/>
        <v>0</v>
      </c>
      <c r="K26" s="100">
        <f t="shared" si="2"/>
        <v>0</v>
      </c>
      <c r="L26" s="103">
        <f t="shared" ca="1" si="5"/>
        <v>88852092.51278916</v>
      </c>
      <c r="M26" s="116">
        <f t="shared" ca="1" si="7"/>
        <v>0</v>
      </c>
      <c r="N26" s="96">
        <f t="shared" ca="1" si="8"/>
        <v>0</v>
      </c>
      <c r="O26" s="146">
        <v>0</v>
      </c>
      <c r="P26" s="107">
        <f t="shared" ca="1" si="3"/>
        <v>88852092.51278916</v>
      </c>
      <c r="Q26" s="108">
        <f ca="1">SUM($P$3:P26)</f>
        <v>53293697908.554199</v>
      </c>
    </row>
    <row r="27" spans="1:17" ht="15.75" thickBot="1" x14ac:dyDescent="0.3">
      <c r="A27" s="1">
        <f t="shared" si="4"/>
        <v>45061</v>
      </c>
      <c r="B27" s="92">
        <v>0</v>
      </c>
      <c r="C27" s="93">
        <v>0</v>
      </c>
      <c r="D27" s="94">
        <v>0</v>
      </c>
      <c r="E27" s="95">
        <v>0</v>
      </c>
      <c r="F27" s="101">
        <v>0</v>
      </c>
      <c r="G27" s="92">
        <f t="shared" si="0"/>
        <v>0</v>
      </c>
      <c r="H27" s="93">
        <f t="shared" si="1"/>
        <v>0</v>
      </c>
      <c r="I27" s="94">
        <f t="shared" si="6"/>
        <v>0</v>
      </c>
      <c r="J27" s="95">
        <f t="shared" si="6"/>
        <v>0</v>
      </c>
      <c r="K27" s="101">
        <f t="shared" si="2"/>
        <v>0</v>
      </c>
      <c r="L27" s="104">
        <f t="shared" ca="1" si="5"/>
        <v>89000475.50728552</v>
      </c>
      <c r="M27" s="118">
        <v>0</v>
      </c>
      <c r="N27" s="98">
        <f ca="1">M23</f>
        <v>109777120386.49402</v>
      </c>
      <c r="O27" s="147">
        <v>0</v>
      </c>
      <c r="P27" s="109">
        <f t="shared" ca="1" si="3"/>
        <v>109866120862.0013</v>
      </c>
      <c r="Q27" s="110">
        <f ca="1">SUM($P$3:P27)</f>
        <v>163159818770.55548</v>
      </c>
    </row>
    <row r="28" spans="1:17" hidden="1" x14ac:dyDescent="0.25">
      <c r="A28" s="1">
        <f t="shared" si="4"/>
        <v>45092</v>
      </c>
      <c r="B28" s="131">
        <v>0</v>
      </c>
      <c r="C28" s="132">
        <v>0</v>
      </c>
      <c r="D28" s="133">
        <v>0</v>
      </c>
      <c r="E28" s="134">
        <v>0</v>
      </c>
      <c r="F28" s="154">
        <v>0</v>
      </c>
      <c r="G28" s="131">
        <f t="shared" si="0"/>
        <v>0</v>
      </c>
      <c r="H28" s="132">
        <f t="shared" si="1"/>
        <v>0</v>
      </c>
      <c r="I28" s="133">
        <f t="shared" si="6"/>
        <v>0</v>
      </c>
      <c r="J28" s="134">
        <f t="shared" si="6"/>
        <v>0</v>
      </c>
      <c r="K28" s="154">
        <f t="shared" si="2"/>
        <v>0</v>
      </c>
      <c r="L28" s="155"/>
      <c r="M28" s="149">
        <v>0</v>
      </c>
      <c r="N28" s="150">
        <f t="shared" ca="1" si="8"/>
        <v>0</v>
      </c>
      <c r="O28" s="156">
        <v>0</v>
      </c>
      <c r="P28" s="152">
        <f t="shared" ca="1" si="3"/>
        <v>0</v>
      </c>
      <c r="Q28" s="153">
        <f ca="1">SUM($P$3:P28)</f>
        <v>163159818770.55548</v>
      </c>
    </row>
    <row r="29" spans="1:17" ht="15.75" hidden="1" thickBot="1" x14ac:dyDescent="0.3">
      <c r="A29" s="1">
        <f t="shared" si="4"/>
        <v>45123</v>
      </c>
      <c r="B29" s="92">
        <v>0</v>
      </c>
      <c r="C29" s="93">
        <v>0</v>
      </c>
      <c r="D29" s="94">
        <v>0</v>
      </c>
      <c r="E29" s="95">
        <v>0</v>
      </c>
      <c r="F29" s="101">
        <v>0</v>
      </c>
      <c r="G29" s="92">
        <f t="shared" si="0"/>
        <v>0</v>
      </c>
      <c r="H29" s="93">
        <f t="shared" si="1"/>
        <v>0</v>
      </c>
      <c r="I29" s="94">
        <f t="shared" si="6"/>
        <v>0</v>
      </c>
      <c r="J29" s="95">
        <f t="shared" si="6"/>
        <v>0</v>
      </c>
      <c r="K29" s="101">
        <f t="shared" si="2"/>
        <v>0</v>
      </c>
      <c r="L29" s="104"/>
      <c r="M29" s="118">
        <v>0</v>
      </c>
      <c r="N29" s="98">
        <f t="shared" si="8"/>
        <v>0</v>
      </c>
      <c r="O29" s="147">
        <v>0</v>
      </c>
      <c r="P29" s="109">
        <f t="shared" si="3"/>
        <v>0</v>
      </c>
      <c r="Q29" s="110">
        <f ca="1">SUM($P$3:P29)</f>
        <v>163159818770.55548</v>
      </c>
    </row>
    <row r="30" spans="1:17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7" x14ac:dyDescent="0.25">
      <c r="A31" t="s">
        <v>6</v>
      </c>
      <c r="B31" s="2">
        <f>SUM(B3:B29)</f>
        <v>93310848000</v>
      </c>
      <c r="C31" s="2">
        <f t="shared" ref="C31:F31" si="9">SUM(C3:C29)</f>
        <v>40088564733</v>
      </c>
      <c r="D31" s="2">
        <f t="shared" si="9"/>
        <v>315396661680</v>
      </c>
      <c r="E31" s="2">
        <f t="shared" si="9"/>
        <v>472661125608</v>
      </c>
      <c r="F31" s="2">
        <f t="shared" si="9"/>
        <v>5722920000</v>
      </c>
      <c r="G31" s="2">
        <f>SUM(G3:G29)</f>
        <v>93310848000</v>
      </c>
      <c r="H31" s="2">
        <f t="shared" ref="H31:K31" si="10">SUM(H3:H29)</f>
        <v>40088564733</v>
      </c>
      <c r="I31" s="2">
        <f t="shared" si="10"/>
        <v>315396661680</v>
      </c>
      <c r="J31" s="2">
        <f t="shared" si="10"/>
        <v>472661125608</v>
      </c>
      <c r="K31" s="2">
        <f t="shared" si="10"/>
        <v>5722920000</v>
      </c>
      <c r="L31" s="2">
        <f ca="1">SUM(L3:L29)</f>
        <v>-7431265073.3846083</v>
      </c>
      <c r="O31" s="45">
        <f t="shared" ref="O31" si="11">SUM(O3:O29)</f>
        <v>0.99999999999999989</v>
      </c>
    </row>
    <row r="32" spans="1:17" x14ac:dyDescent="0.25">
      <c r="A32" t="s">
        <v>294</v>
      </c>
      <c r="B32" s="2">
        <v>93310848000</v>
      </c>
      <c r="C32" s="2">
        <v>40088564733</v>
      </c>
      <c r="D32" s="2">
        <v>315396661680</v>
      </c>
      <c r="E32" s="2">
        <v>472661125608</v>
      </c>
      <c r="F32" s="2">
        <v>5722920000</v>
      </c>
      <c r="G32" s="2">
        <f t="shared" si="0"/>
        <v>93310848000</v>
      </c>
      <c r="H32" s="2">
        <f t="shared" si="1"/>
        <v>40088564733</v>
      </c>
      <c r="I32" s="2">
        <f>D32</f>
        <v>315396661680</v>
      </c>
      <c r="J32" s="2">
        <f>E32</f>
        <v>472661125608</v>
      </c>
      <c r="K32" s="2">
        <f t="shared" si="2"/>
        <v>5722920000</v>
      </c>
    </row>
    <row r="34" spans="1:9" ht="15.75" thickBot="1" x14ac:dyDescent="0.3"/>
    <row r="35" spans="1:9" ht="15.75" thickBot="1" x14ac:dyDescent="0.3">
      <c r="A35" s="111" t="s">
        <v>322</v>
      </c>
      <c r="B35" s="112">
        <f ca="1">'Price calculation'!B17</f>
        <v>1097771203864.9402</v>
      </c>
      <c r="I35" s="2"/>
    </row>
  </sheetData>
  <mergeCells count="8">
    <mergeCell ref="P1:P2"/>
    <mergeCell ref="Q1:Q2"/>
    <mergeCell ref="B1:F1"/>
    <mergeCell ref="G1:K1"/>
    <mergeCell ref="L1:L2"/>
    <mergeCell ref="M1:M2"/>
    <mergeCell ref="O1:O2"/>
    <mergeCell ref="N1:N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0E5E4-1FA3-4C76-8353-B7E8A690A188}">
  <dimension ref="A1:P29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17" customWidth="1"/>
    <col min="2" max="8" width="24.140625" customWidth="1"/>
    <col min="9" max="11" width="23.5703125" customWidth="1"/>
    <col min="12" max="12" width="24.42578125" bestFit="1" customWidth="1"/>
    <col min="13" max="14" width="23.5703125" customWidth="1"/>
    <col min="16" max="16" width="9.140625" bestFit="1" customWidth="1"/>
  </cols>
  <sheetData>
    <row r="1" spans="1:16" ht="28.9" customHeight="1" x14ac:dyDescent="0.25">
      <c r="B1" s="175" t="s">
        <v>304</v>
      </c>
      <c r="C1" s="176"/>
      <c r="D1" s="176"/>
      <c r="E1" s="176"/>
      <c r="F1" s="176"/>
      <c r="G1" s="176"/>
      <c r="H1" s="177"/>
      <c r="I1" s="182" t="s">
        <v>308</v>
      </c>
      <c r="J1" s="178" t="s">
        <v>325</v>
      </c>
      <c r="K1" s="173" t="s">
        <v>6</v>
      </c>
      <c r="L1" s="171" t="s">
        <v>324</v>
      </c>
      <c r="M1" s="157" t="s">
        <v>311</v>
      </c>
      <c r="N1" s="159" t="s">
        <v>312</v>
      </c>
    </row>
    <row r="2" spans="1:16" ht="30.75" thickBot="1" x14ac:dyDescent="0.3">
      <c r="B2" s="138" t="s">
        <v>1</v>
      </c>
      <c r="C2" s="139" t="s">
        <v>2</v>
      </c>
      <c r="D2" s="140" t="s">
        <v>3</v>
      </c>
      <c r="E2" s="141" t="s">
        <v>4</v>
      </c>
      <c r="F2" s="142" t="s">
        <v>5</v>
      </c>
      <c r="G2" s="143" t="s">
        <v>6</v>
      </c>
      <c r="H2" s="144" t="s">
        <v>323</v>
      </c>
      <c r="I2" s="183"/>
      <c r="J2" s="179"/>
      <c r="K2" s="180"/>
      <c r="L2" s="181"/>
      <c r="M2" s="158"/>
      <c r="N2" s="160"/>
    </row>
    <row r="3" spans="1:16" x14ac:dyDescent="0.25">
      <c r="A3" s="120">
        <v>44317</v>
      </c>
      <c r="B3" s="131">
        <f>'Cash Flow calculation'!G3</f>
        <v>218016000</v>
      </c>
      <c r="C3" s="132">
        <f>'Cash Flow calculation'!H3</f>
        <v>28342080</v>
      </c>
      <c r="D3" s="133">
        <f>'Cash Flow calculation'!I3</f>
        <v>0</v>
      </c>
      <c r="E3" s="134">
        <f>'Cash Flow calculation'!J3</f>
        <v>0</v>
      </c>
      <c r="F3" s="135">
        <f>'Cash Flow calculation'!K3</f>
        <v>0</v>
      </c>
      <c r="G3" s="136">
        <f>IF(I3&lt;0,SUM(B3:F3)-I3,SUM(B3:F3))</f>
        <v>246358080</v>
      </c>
      <c r="H3" s="137">
        <f>SUM($G$3:G3)</f>
        <v>246358080</v>
      </c>
      <c r="I3" s="123">
        <f>'Cash Flow calculation'!L3</f>
        <v>0</v>
      </c>
      <c r="J3" s="114">
        <f>'Cash Flow calculation'!N3</f>
        <v>0</v>
      </c>
      <c r="K3" s="97">
        <f>IF(I3&gt;0,J3+I3,J3)</f>
        <v>0</v>
      </c>
      <c r="L3" s="115">
        <f>SUM($K$3:K3)</f>
        <v>0</v>
      </c>
      <c r="M3" s="105">
        <f>'Cash Flow calculation'!P3</f>
        <v>-246358080</v>
      </c>
      <c r="N3" s="106">
        <f>'Cash Flow calculation'!Q3</f>
        <v>-246358080</v>
      </c>
      <c r="P3" s="2"/>
    </row>
    <row r="4" spans="1:16" x14ac:dyDescent="0.25">
      <c r="A4" s="121">
        <f>A3+31</f>
        <v>44348</v>
      </c>
      <c r="B4" s="91">
        <f>'Cash Flow calculation'!G4</f>
        <v>4796352000</v>
      </c>
      <c r="C4" s="15">
        <f>'Cash Flow calculation'!H4</f>
        <v>1589881680</v>
      </c>
      <c r="D4" s="85">
        <f>'Cash Flow calculation'!I4</f>
        <v>0</v>
      </c>
      <c r="E4" s="86">
        <f>'Cash Flow calculation'!J4</f>
        <v>0</v>
      </c>
      <c r="F4" s="126">
        <f>'Cash Flow calculation'!K4</f>
        <v>0</v>
      </c>
      <c r="G4" s="113">
        <f t="shared" ref="G4:G29" si="0">IF(I4&lt;0,SUM(B4:F4)-I4,SUM(B4:F4))</f>
        <v>6387465470.3999996</v>
      </c>
      <c r="H4" s="127">
        <f>SUM($G$3:G4)</f>
        <v>6633823550.3999996</v>
      </c>
      <c r="I4" s="124">
        <f>'Cash Flow calculation'!L4</f>
        <v>-1231790.4000000001</v>
      </c>
      <c r="J4" s="116">
        <f ca="1">'Cash Flow calculation'!N4</f>
        <v>109777120386.49402</v>
      </c>
      <c r="K4" s="96">
        <f ca="1">IF(I4&gt;0,J4+I4,J4)</f>
        <v>109777120386.49402</v>
      </c>
      <c r="L4" s="117">
        <f ca="1">SUM($K$3:K4)</f>
        <v>109777120386.49402</v>
      </c>
      <c r="M4" s="107">
        <f ca="1">'Cash Flow calculation'!P4</f>
        <v>103389654916.09402</v>
      </c>
      <c r="N4" s="108">
        <f ca="1">'Cash Flow calculation'!Q4</f>
        <v>103143296836.09402</v>
      </c>
      <c r="P4" s="2"/>
    </row>
    <row r="5" spans="1:16" x14ac:dyDescent="0.25">
      <c r="A5" s="121">
        <f t="shared" ref="A5:A29" si="1">A4+31</f>
        <v>44379</v>
      </c>
      <c r="B5" s="91">
        <f>'Cash Flow calculation'!G5</f>
        <v>4796352000</v>
      </c>
      <c r="C5" s="15">
        <f>'Cash Flow calculation'!H5</f>
        <v>1818798480</v>
      </c>
      <c r="D5" s="85">
        <f>'Cash Flow calculation'!I5</f>
        <v>0</v>
      </c>
      <c r="E5" s="86">
        <f>'Cash Flow calculation'!J5</f>
        <v>0</v>
      </c>
      <c r="F5" s="126">
        <f>'Cash Flow calculation'!K5</f>
        <v>0</v>
      </c>
      <c r="G5" s="113">
        <f t="shared" ca="1" si="0"/>
        <v>6615150480</v>
      </c>
      <c r="H5" s="127">
        <f ca="1">SUM($G$3:G5)</f>
        <v>13248974030.4</v>
      </c>
      <c r="I5" s="124">
        <f ca="1">'Cash Flow calculation'!L5</f>
        <v>172249305.71627703</v>
      </c>
      <c r="J5" s="116">
        <f>'Cash Flow calculation'!N5</f>
        <v>0</v>
      </c>
      <c r="K5" s="96">
        <f t="shared" ref="K5:K29" ca="1" si="2">IF(I5&gt;0,J5+I5,J5)</f>
        <v>172249305.71627703</v>
      </c>
      <c r="L5" s="117">
        <f ca="1">SUM($K$3:K5)</f>
        <v>109949369692.2103</v>
      </c>
      <c r="M5" s="107">
        <f ca="1">'Cash Flow calculation'!P5</f>
        <v>-6442901174.2837229</v>
      </c>
      <c r="N5" s="108">
        <f ca="1">'Cash Flow calculation'!Q5</f>
        <v>96700395661.810303</v>
      </c>
      <c r="P5" s="2"/>
    </row>
    <row r="6" spans="1:16" x14ac:dyDescent="0.25">
      <c r="A6" s="121">
        <f t="shared" si="1"/>
        <v>44410</v>
      </c>
      <c r="B6" s="91">
        <f>'Cash Flow calculation'!G6</f>
        <v>4796352000</v>
      </c>
      <c r="C6" s="15">
        <f>'Cash Flow calculation'!H6</f>
        <v>2312877240</v>
      </c>
      <c r="D6" s="85">
        <f>'Cash Flow calculation'!I6</f>
        <v>0</v>
      </c>
      <c r="E6" s="86">
        <f>'Cash Flow calculation'!J6</f>
        <v>0</v>
      </c>
      <c r="F6" s="126">
        <f>'Cash Flow calculation'!K6</f>
        <v>0</v>
      </c>
      <c r="G6" s="113">
        <f t="shared" ca="1" si="0"/>
        <v>7109229240</v>
      </c>
      <c r="H6" s="127">
        <f ca="1">SUM($G$3:G6)</f>
        <v>20358203270.400002</v>
      </c>
      <c r="I6" s="124">
        <f ca="1">'Cash Flow calculation'!L6</f>
        <v>161489660.75522321</v>
      </c>
      <c r="J6" s="116">
        <f>'Cash Flow calculation'!N6</f>
        <v>0</v>
      </c>
      <c r="K6" s="96">
        <f t="shared" ca="1" si="2"/>
        <v>161489660.75522321</v>
      </c>
      <c r="L6" s="117">
        <f ca="1">SUM($K$3:K6)</f>
        <v>110110859352.96552</v>
      </c>
      <c r="M6" s="107">
        <f ca="1">'Cash Flow calculation'!P6</f>
        <v>-6947739579.2447767</v>
      </c>
      <c r="N6" s="108">
        <f ca="1">'Cash Flow calculation'!Q6</f>
        <v>89752656082.565521</v>
      </c>
      <c r="P6" s="2"/>
    </row>
    <row r="7" spans="1:16" x14ac:dyDescent="0.25">
      <c r="A7" s="121">
        <f t="shared" si="1"/>
        <v>44441</v>
      </c>
      <c r="B7" s="91">
        <f>'Cash Flow calculation'!G7</f>
        <v>4796352000</v>
      </c>
      <c r="C7" s="15">
        <f>'Cash Flow calculation'!H7</f>
        <v>802298880</v>
      </c>
      <c r="D7" s="85">
        <f>'Cash Flow calculation'!I7</f>
        <v>0</v>
      </c>
      <c r="E7" s="86">
        <f>'Cash Flow calculation'!J7</f>
        <v>0</v>
      </c>
      <c r="F7" s="126">
        <f>'Cash Flow calculation'!K7</f>
        <v>272520000</v>
      </c>
      <c r="G7" s="113">
        <f t="shared" ca="1" si="0"/>
        <v>5871170880</v>
      </c>
      <c r="H7" s="127">
        <f ca="1">SUM($G$3:G7)</f>
        <v>26229374150.400002</v>
      </c>
      <c r="I7" s="124">
        <f ca="1">'Cash Flow calculation'!L7</f>
        <v>149886935.65788442</v>
      </c>
      <c r="J7" s="116">
        <f ca="1">'Cash Flow calculation'!N7</f>
        <v>0</v>
      </c>
      <c r="K7" s="96">
        <f t="shared" ca="1" si="2"/>
        <v>149886935.65788442</v>
      </c>
      <c r="L7" s="117">
        <f ca="1">SUM($K$3:K7)</f>
        <v>110260746288.6234</v>
      </c>
      <c r="M7" s="107">
        <f ca="1">'Cash Flow calculation'!P7</f>
        <v>-5721283944.3421154</v>
      </c>
      <c r="N7" s="108">
        <f ca="1">'Cash Flow calculation'!Q7</f>
        <v>84031372138.223404</v>
      </c>
      <c r="P7" s="2"/>
    </row>
    <row r="8" spans="1:16" x14ac:dyDescent="0.25">
      <c r="A8" s="121">
        <f t="shared" si="1"/>
        <v>44472</v>
      </c>
      <c r="B8" s="91">
        <f>'Cash Flow calculation'!G8</f>
        <v>4578336000</v>
      </c>
      <c r="C8" s="15">
        <f>'Cash Flow calculation'!H8</f>
        <v>211736340</v>
      </c>
      <c r="D8" s="85">
        <f>'Cash Flow calculation'!I8</f>
        <v>2823390412</v>
      </c>
      <c r="E8" s="86">
        <f>'Cash Flow calculation'!J8</f>
        <v>0</v>
      </c>
      <c r="F8" s="126">
        <f>'Cash Flow calculation'!K8</f>
        <v>0</v>
      </c>
      <c r="G8" s="113">
        <f t="shared" ca="1" si="0"/>
        <v>7613462752</v>
      </c>
      <c r="H8" s="127">
        <f ca="1">SUM($G$3:G8)</f>
        <v>33842836902.400002</v>
      </c>
      <c r="I8" s="124">
        <f ca="1">'Cash Flow calculation'!L8</f>
        <v>140332391.47083309</v>
      </c>
      <c r="J8" s="116">
        <f ca="1">'Cash Flow calculation'!N8</f>
        <v>0</v>
      </c>
      <c r="K8" s="96">
        <f t="shared" ca="1" si="2"/>
        <v>140332391.47083309</v>
      </c>
      <c r="L8" s="117">
        <f ca="1">SUM($K$3:K8)</f>
        <v>110401078680.09424</v>
      </c>
      <c r="M8" s="107">
        <f ca="1">'Cash Flow calculation'!P8</f>
        <v>-7473130360.5291672</v>
      </c>
      <c r="N8" s="108">
        <f ca="1">'Cash Flow calculation'!Q8</f>
        <v>76558241777.694244</v>
      </c>
      <c r="P8" s="2"/>
    </row>
    <row r="9" spans="1:16" x14ac:dyDescent="0.25">
      <c r="A9" s="121">
        <f t="shared" si="1"/>
        <v>44503</v>
      </c>
      <c r="B9" s="91">
        <f>'Cash Flow calculation'!G9</f>
        <v>4796352000</v>
      </c>
      <c r="C9" s="15">
        <f>'Cash Flow calculation'!H9</f>
        <v>546705353</v>
      </c>
      <c r="D9" s="85">
        <f>'Cash Flow calculation'!I9</f>
        <v>1427921588</v>
      </c>
      <c r="E9" s="86">
        <f>'Cash Flow calculation'!J9</f>
        <v>0</v>
      </c>
      <c r="F9" s="126">
        <f>'Cash Flow calculation'!K9</f>
        <v>5450400000</v>
      </c>
      <c r="G9" s="113">
        <f t="shared" ca="1" si="0"/>
        <v>12221378941</v>
      </c>
      <c r="H9" s="127">
        <f ca="1">SUM($G$3:G9)</f>
        <v>46064215843.400002</v>
      </c>
      <c r="I9" s="124">
        <f ca="1">'Cash Flow calculation'!L9</f>
        <v>127852263.76874939</v>
      </c>
      <c r="J9" s="116">
        <f ca="1">'Cash Flow calculation'!N9</f>
        <v>0</v>
      </c>
      <c r="K9" s="96">
        <f t="shared" ca="1" si="2"/>
        <v>127852263.76874939</v>
      </c>
      <c r="L9" s="117">
        <f ca="1">SUM($K$3:K9)</f>
        <v>110528930943.86299</v>
      </c>
      <c r="M9" s="107">
        <f ca="1">'Cash Flow calculation'!P9</f>
        <v>-12093526677.231251</v>
      </c>
      <c r="N9" s="108">
        <f ca="1">'Cash Flow calculation'!Q9</f>
        <v>64464715100.462997</v>
      </c>
      <c r="P9" s="2"/>
    </row>
    <row r="10" spans="1:16" x14ac:dyDescent="0.25">
      <c r="A10" s="121">
        <f t="shared" si="1"/>
        <v>44534</v>
      </c>
      <c r="B10" s="91">
        <f>'Cash Flow calculation'!G10</f>
        <v>5014368000</v>
      </c>
      <c r="C10" s="15">
        <f>'Cash Flow calculation'!H10</f>
        <v>2490447204</v>
      </c>
      <c r="D10" s="85">
        <f>'Cash Flow calculation'!I10</f>
        <v>0</v>
      </c>
      <c r="E10" s="86">
        <f>'Cash Flow calculation'!J10</f>
        <v>39930153600</v>
      </c>
      <c r="F10" s="126">
        <f>'Cash Flow calculation'!K10</f>
        <v>0</v>
      </c>
      <c r="G10" s="113">
        <f t="shared" ca="1" si="0"/>
        <v>47434968804</v>
      </c>
      <c r="H10" s="127">
        <f ca="1">SUM($G$3:G10)</f>
        <v>93499184647.399994</v>
      </c>
      <c r="I10" s="124">
        <f ca="1">'Cash Flow calculation'!L10</f>
        <v>107656074.21777321</v>
      </c>
      <c r="J10" s="116">
        <f ca="1">'Cash Flow calculation'!N10</f>
        <v>44813334003.211189</v>
      </c>
      <c r="K10" s="96">
        <f t="shared" ca="1" si="2"/>
        <v>44920990077.428963</v>
      </c>
      <c r="L10" s="117">
        <f ca="1">SUM($K$3:K10)</f>
        <v>155449921021.29196</v>
      </c>
      <c r="M10" s="107">
        <f ca="1">'Cash Flow calculation'!P10</f>
        <v>-2513978726.5710373</v>
      </c>
      <c r="N10" s="108">
        <f ca="1">'Cash Flow calculation'!Q10</f>
        <v>61950736373.89196</v>
      </c>
      <c r="P10" s="2"/>
    </row>
    <row r="11" spans="1:16" x14ac:dyDescent="0.25">
      <c r="A11" s="121">
        <f t="shared" si="1"/>
        <v>44565</v>
      </c>
      <c r="B11" s="91">
        <f>'Cash Flow calculation'!G11</f>
        <v>4578336000</v>
      </c>
      <c r="C11" s="15">
        <f>'Cash Flow calculation'!H11</f>
        <v>2740732770</v>
      </c>
      <c r="D11" s="85">
        <f>'Cash Flow calculation'!I11</f>
        <v>8819837280</v>
      </c>
      <c r="E11" s="86">
        <f>'Cash Flow calculation'!J11</f>
        <v>23946709500</v>
      </c>
      <c r="F11" s="126">
        <f>'Cash Flow calculation'!K11</f>
        <v>0</v>
      </c>
      <c r="G11" s="113">
        <f t="shared" ca="1" si="0"/>
        <v>40085615550</v>
      </c>
      <c r="H11" s="127">
        <f ca="1">SUM($G$3:G11)</f>
        <v>133584800197.39999</v>
      </c>
      <c r="I11" s="124">
        <f ca="1">'Cash Flow calculation'!L11</f>
        <v>103457729.74439958</v>
      </c>
      <c r="J11" s="116">
        <f ca="1">'Cash Flow calculation'!N11</f>
        <v>26875225721.680431</v>
      </c>
      <c r="K11" s="96">
        <f t="shared" ca="1" si="2"/>
        <v>26978683451.424831</v>
      </c>
      <c r="L11" s="117">
        <f ca="1">SUM($K$3:K11)</f>
        <v>182428604472.7168</v>
      </c>
      <c r="M11" s="107">
        <f ca="1">'Cash Flow calculation'!P11</f>
        <v>-13106932098.575169</v>
      </c>
      <c r="N11" s="108">
        <f ca="1">'Cash Flow calculation'!Q11</f>
        <v>48843804275.316788</v>
      </c>
      <c r="P11" s="2"/>
    </row>
    <row r="12" spans="1:16" x14ac:dyDescent="0.25">
      <c r="A12" s="121">
        <f t="shared" si="1"/>
        <v>44596</v>
      </c>
      <c r="B12" s="91">
        <f>'Cash Flow calculation'!G12</f>
        <v>4360320000</v>
      </c>
      <c r="C12" s="15">
        <f>'Cash Flow calculation'!H12</f>
        <v>3063528858</v>
      </c>
      <c r="D12" s="85">
        <f>'Cash Flow calculation'!I12</f>
        <v>48236040000</v>
      </c>
      <c r="E12" s="86">
        <f>'Cash Flow calculation'!J12</f>
        <v>60328635000</v>
      </c>
      <c r="F12" s="126">
        <f>'Cash Flow calculation'!K12</f>
        <v>0</v>
      </c>
      <c r="G12" s="113">
        <f t="shared" ca="1" si="0"/>
        <v>115988523858</v>
      </c>
      <c r="H12" s="127">
        <f ca="1">SUM($G$3:G12)</f>
        <v>249573324055.39999</v>
      </c>
      <c r="I12" s="124">
        <f ca="1">'Cash Flow calculation'!L12</f>
        <v>81569153.139779031</v>
      </c>
      <c r="J12" s="116">
        <f ca="1">'Cash Flow calculation'!N12</f>
        <v>67706407976.672966</v>
      </c>
      <c r="K12" s="96">
        <f t="shared" ca="1" si="2"/>
        <v>67787977129.812744</v>
      </c>
      <c r="L12" s="117">
        <f ca="1">SUM($K$3:K12)</f>
        <v>250216581602.52954</v>
      </c>
      <c r="M12" s="107">
        <f ca="1">'Cash Flow calculation'!P12</f>
        <v>-48200546728.187256</v>
      </c>
      <c r="N12" s="108">
        <f ca="1">'Cash Flow calculation'!Q12</f>
        <v>643257547.12953186</v>
      </c>
      <c r="P12" s="2"/>
    </row>
    <row r="13" spans="1:16" x14ac:dyDescent="0.25">
      <c r="A13" s="121">
        <f t="shared" si="1"/>
        <v>44627</v>
      </c>
      <c r="B13" s="91">
        <f>'Cash Flow calculation'!G13</f>
        <v>5014368000</v>
      </c>
      <c r="C13" s="15">
        <f>'Cash Flow calculation'!H13</f>
        <v>3857254913</v>
      </c>
      <c r="D13" s="85">
        <f>'Cash Flow calculation'!I13</f>
        <v>62570592000</v>
      </c>
      <c r="E13" s="86">
        <f>'Cash Flow calculation'!J13</f>
        <v>87312798900</v>
      </c>
      <c r="F13" s="126">
        <f>'Cash Flow calculation'!K13</f>
        <v>0</v>
      </c>
      <c r="G13" s="113">
        <f t="shared" ca="1" si="0"/>
        <v>158755013813</v>
      </c>
      <c r="H13" s="127">
        <f ca="1">SUM($G$3:G13)</f>
        <v>408328337868.40002</v>
      </c>
      <c r="I13" s="124">
        <f ca="1">'Cash Flow calculation'!L13</f>
        <v>1074240.1037063182</v>
      </c>
      <c r="J13" s="116">
        <f ca="1">'Cash Flow calculation'!N13</f>
        <v>97990547671.24437</v>
      </c>
      <c r="K13" s="96">
        <f t="shared" ca="1" si="2"/>
        <v>97991621911.348068</v>
      </c>
      <c r="L13" s="117">
        <f ca="1">SUM($K$3:K13)</f>
        <v>348208203513.87762</v>
      </c>
      <c r="M13" s="107">
        <f ca="1">'Cash Flow calculation'!P13</f>
        <v>-60763391901.651932</v>
      </c>
      <c r="N13" s="108">
        <f ca="1">'Cash Flow calculation'!Q13</f>
        <v>-60120134354.5224</v>
      </c>
      <c r="P13" s="2"/>
    </row>
    <row r="14" spans="1:16" x14ac:dyDescent="0.25">
      <c r="A14" s="121">
        <f t="shared" si="1"/>
        <v>44658</v>
      </c>
      <c r="B14" s="91">
        <f>'Cash Flow calculation'!G14</f>
        <v>4578336000</v>
      </c>
      <c r="C14" s="15">
        <f>'Cash Flow calculation'!H14</f>
        <v>3526462434</v>
      </c>
      <c r="D14" s="85">
        <f>'Cash Flow calculation'!I14</f>
        <v>27252000000</v>
      </c>
      <c r="E14" s="86">
        <f>'Cash Flow calculation'!J14</f>
        <v>91419223200</v>
      </c>
      <c r="F14" s="126">
        <f>'Cash Flow calculation'!K14</f>
        <v>0</v>
      </c>
      <c r="G14" s="113">
        <f t="shared" ca="1" si="0"/>
        <v>127076622305.77261</v>
      </c>
      <c r="H14" s="127">
        <f ca="1">SUM($G$3:G14)</f>
        <v>535404960174.17261</v>
      </c>
      <c r="I14" s="124">
        <f ca="1">'Cash Flow calculation'!L14</f>
        <v>-300600671.77261204</v>
      </c>
      <c r="J14" s="116">
        <f ca="1">'Cash Flow calculation'!N14</f>
        <v>102599159137.11168</v>
      </c>
      <c r="K14" s="96">
        <f t="shared" ca="1" si="2"/>
        <v>102599159137.11168</v>
      </c>
      <c r="L14" s="117">
        <f ca="1">SUM($K$3:K14)</f>
        <v>450807362650.98932</v>
      </c>
      <c r="M14" s="107">
        <f ca="1">'Cash Flow calculation'!P14</f>
        <v>-24477463168.660934</v>
      </c>
      <c r="N14" s="108">
        <f ca="1">'Cash Flow calculation'!Q14</f>
        <v>-84597597523.183334</v>
      </c>
      <c r="P14" s="2"/>
    </row>
    <row r="15" spans="1:16" x14ac:dyDescent="0.25">
      <c r="A15" s="121">
        <f t="shared" si="1"/>
        <v>44689</v>
      </c>
      <c r="B15" s="91">
        <f>'Cash Flow calculation'!G15</f>
        <v>4796352000</v>
      </c>
      <c r="C15" s="15">
        <f>'Cash Flow calculation'!H15</f>
        <v>3685045673</v>
      </c>
      <c r="D15" s="85">
        <f>'Cash Flow calculation'!I15</f>
        <v>86871200400</v>
      </c>
      <c r="E15" s="86">
        <f>'Cash Flow calculation'!J15</f>
        <v>52964337000</v>
      </c>
      <c r="F15" s="126">
        <f>'Cash Flow calculation'!K15</f>
        <v>0</v>
      </c>
      <c r="G15" s="113">
        <f t="shared" ca="1" si="0"/>
        <v>148739923060.61591</v>
      </c>
      <c r="H15" s="127">
        <f ca="1">SUM($G$3:G15)</f>
        <v>684144883234.78857</v>
      </c>
      <c r="I15" s="124">
        <f ca="1">'Cash Flow calculation'!L15</f>
        <v>-422987987.61591667</v>
      </c>
      <c r="J15" s="116">
        <f ca="1">'Cash Flow calculation'!N15</f>
        <v>59441507488.70739</v>
      </c>
      <c r="K15" s="96">
        <f t="shared" ca="1" si="2"/>
        <v>59441507488.70739</v>
      </c>
      <c r="L15" s="117">
        <f ca="1">SUM($K$3:K15)</f>
        <v>510248870139.69672</v>
      </c>
      <c r="M15" s="107">
        <f ca="1">'Cash Flow calculation'!P15</f>
        <v>-89298415571.908524</v>
      </c>
      <c r="N15" s="108">
        <f ca="1">'Cash Flow calculation'!Q15</f>
        <v>-173896013095.09186</v>
      </c>
      <c r="P15" s="2"/>
    </row>
    <row r="16" spans="1:16" x14ac:dyDescent="0.25">
      <c r="A16" s="121">
        <f t="shared" si="1"/>
        <v>44720</v>
      </c>
      <c r="B16" s="91">
        <f>'Cash Flow calculation'!G16</f>
        <v>4796352000</v>
      </c>
      <c r="C16" s="15">
        <f>'Cash Flow calculation'!H16</f>
        <v>2819696566</v>
      </c>
      <c r="D16" s="85">
        <f>'Cash Flow calculation'!I16</f>
        <v>77395680000</v>
      </c>
      <c r="E16" s="86">
        <f>'Cash Flow calculation'!J16</f>
        <v>13645611000</v>
      </c>
      <c r="F16" s="126">
        <f>'Cash Flow calculation'!K16</f>
        <v>0</v>
      </c>
      <c r="G16" s="113">
        <f t="shared" ca="1" si="0"/>
        <v>99526819631.475464</v>
      </c>
      <c r="H16" s="127">
        <f ca="1">SUM($G$3:G16)</f>
        <v>783671702866.26404</v>
      </c>
      <c r="I16" s="124">
        <f ca="1">'Cash Flow calculation'!L16</f>
        <v>-869480065.47545934</v>
      </c>
      <c r="J16" s="116">
        <f ca="1">'Cash Flow calculation'!N16</f>
        <v>15314374433.583261</v>
      </c>
      <c r="K16" s="96">
        <f t="shared" ca="1" si="2"/>
        <v>15314374433.583261</v>
      </c>
      <c r="L16" s="117">
        <f ca="1">SUM($K$3:K16)</f>
        <v>525563244573.27997</v>
      </c>
      <c r="M16" s="107">
        <f ca="1">'Cash Flow calculation'!P16</f>
        <v>-84212445197.892197</v>
      </c>
      <c r="N16" s="108">
        <f ca="1">'Cash Flow calculation'!Q16</f>
        <v>-258108458292.98407</v>
      </c>
      <c r="P16" s="2"/>
    </row>
    <row r="17" spans="1:16" x14ac:dyDescent="0.25">
      <c r="A17" s="121">
        <f t="shared" si="1"/>
        <v>44751</v>
      </c>
      <c r="B17" s="91">
        <f>'Cash Flow calculation'!G17</f>
        <v>4578336000</v>
      </c>
      <c r="C17" s="15">
        <f>'Cash Flow calculation'!H17</f>
        <v>2399145301</v>
      </c>
      <c r="D17" s="85">
        <f>'Cash Flow calculation'!I17</f>
        <v>0</v>
      </c>
      <c r="E17" s="86">
        <f>'Cash Flow calculation'!J17</f>
        <v>14799945600</v>
      </c>
      <c r="F17" s="126">
        <f>'Cash Flow calculation'!K17</f>
        <v>0</v>
      </c>
      <c r="G17" s="113">
        <f t="shared" ca="1" si="0"/>
        <v>23067969192.46492</v>
      </c>
      <c r="H17" s="127">
        <f ca="1">SUM($G$3:G17)</f>
        <v>806739672058.729</v>
      </c>
      <c r="I17" s="124">
        <f ca="1">'Cash Flow calculation'!L17</f>
        <v>-1290542291.4649203</v>
      </c>
      <c r="J17" s="116">
        <f ca="1">'Cash Flow calculation'!N17</f>
        <v>16609876136.368176</v>
      </c>
      <c r="K17" s="96">
        <f t="shared" ca="1" si="2"/>
        <v>16609876136.368176</v>
      </c>
      <c r="L17" s="117">
        <f ca="1">SUM($K$3:K17)</f>
        <v>542173120709.64813</v>
      </c>
      <c r="M17" s="107">
        <f ca="1">'Cash Flow calculation'!P17</f>
        <v>-6458093056.0967445</v>
      </c>
      <c r="N17" s="108">
        <f ca="1">'Cash Flow calculation'!Q17</f>
        <v>-264566551349.08081</v>
      </c>
      <c r="P17" s="2"/>
    </row>
    <row r="18" spans="1:16" x14ac:dyDescent="0.25">
      <c r="A18" s="121">
        <f t="shared" si="1"/>
        <v>44782</v>
      </c>
      <c r="B18" s="91">
        <f>'Cash Flow calculation'!G18</f>
        <v>5014368000</v>
      </c>
      <c r="C18" s="15">
        <f>'Cash Flow calculation'!H18</f>
        <v>2552690772</v>
      </c>
      <c r="D18" s="85">
        <f>'Cash Flow calculation'!I18</f>
        <v>0</v>
      </c>
      <c r="E18" s="86">
        <f>'Cash Flow calculation'!J18</f>
        <v>23545368000</v>
      </c>
      <c r="F18" s="126">
        <f>'Cash Flow calculation'!K18</f>
        <v>0</v>
      </c>
      <c r="G18" s="113">
        <f t="shared" ca="1" si="0"/>
        <v>32435259528.745403</v>
      </c>
      <c r="H18" s="127">
        <f ca="1">SUM($G$3:G18)</f>
        <v>839174931587.47437</v>
      </c>
      <c r="I18" s="124">
        <f ca="1">'Cash Flow calculation'!L18</f>
        <v>-1322832756.745404</v>
      </c>
      <c r="J18" s="116">
        <f ca="1">'Cash Flow calculation'!N18</f>
        <v>26424802944.222095</v>
      </c>
      <c r="K18" s="96">
        <f t="shared" ca="1" si="2"/>
        <v>26424802944.222095</v>
      </c>
      <c r="L18" s="117">
        <f ca="1">SUM($K$3:K18)</f>
        <v>568597923653.87024</v>
      </c>
      <c r="M18" s="107">
        <f ca="1">'Cash Flow calculation'!P18</f>
        <v>-6010456584.5233078</v>
      </c>
      <c r="N18" s="108">
        <f ca="1">'Cash Flow calculation'!Q18</f>
        <v>-270577007933.60413</v>
      </c>
      <c r="P18" s="2"/>
    </row>
    <row r="19" spans="1:16" x14ac:dyDescent="0.25">
      <c r="A19" s="121">
        <f t="shared" si="1"/>
        <v>44813</v>
      </c>
      <c r="B19" s="91">
        <f>'Cash Flow calculation'!G19</f>
        <v>4796352000</v>
      </c>
      <c r="C19" s="15">
        <f>'Cash Flow calculation'!H19</f>
        <v>704696166</v>
      </c>
      <c r="D19" s="85">
        <f>'Cash Flow calculation'!I19</f>
        <v>0</v>
      </c>
      <c r="E19" s="86">
        <f>'Cash Flow calculation'!J19</f>
        <v>22475124000</v>
      </c>
      <c r="F19" s="126">
        <f>'Cash Flow calculation'!K19</f>
        <v>0</v>
      </c>
      <c r="G19" s="113">
        <f t="shared" ca="1" si="0"/>
        <v>29329057205.668022</v>
      </c>
      <c r="H19" s="127">
        <f ca="1">SUM($G$3:G19)</f>
        <v>868503988793.14233</v>
      </c>
      <c r="I19" s="124">
        <f ca="1">'Cash Flow calculation'!L19</f>
        <v>-1352885039.6680207</v>
      </c>
      <c r="J19" s="116">
        <f ca="1">'Cash Flow calculation'!N19</f>
        <v>25223675537.666546</v>
      </c>
      <c r="K19" s="96">
        <f t="shared" ca="1" si="2"/>
        <v>25223675537.666546</v>
      </c>
      <c r="L19" s="117">
        <f ca="1">SUM($K$3:K19)</f>
        <v>593821599191.53674</v>
      </c>
      <c r="M19" s="107">
        <f ca="1">'Cash Flow calculation'!P19</f>
        <v>-4105381668.0014763</v>
      </c>
      <c r="N19" s="108">
        <f ca="1">'Cash Flow calculation'!Q19</f>
        <v>-274682389601.60559</v>
      </c>
      <c r="P19" s="2"/>
    </row>
    <row r="20" spans="1:16" x14ac:dyDescent="0.25">
      <c r="A20" s="121">
        <f t="shared" si="1"/>
        <v>44844</v>
      </c>
      <c r="B20" s="91">
        <f>'Cash Flow calculation'!G20</f>
        <v>4578336000</v>
      </c>
      <c r="C20" s="15">
        <f>'Cash Flow calculation'!H20</f>
        <v>876221586</v>
      </c>
      <c r="D20" s="85">
        <f>'Cash Flow calculation'!I20</f>
        <v>0</v>
      </c>
      <c r="E20" s="86">
        <f>'Cash Flow calculation'!J20</f>
        <v>24615612000</v>
      </c>
      <c r="F20" s="126">
        <f>'Cash Flow calculation'!K20</f>
        <v>0</v>
      </c>
      <c r="G20" s="113">
        <f t="shared" ca="1" si="0"/>
        <v>31443581534.008026</v>
      </c>
      <c r="H20" s="127">
        <f ca="1">SUM($G$3:G20)</f>
        <v>899947570327.15039</v>
      </c>
      <c r="I20" s="124">
        <f ca="1">'Cash Flow calculation'!L20</f>
        <v>-1373411948.008028</v>
      </c>
      <c r="J20" s="116">
        <f ca="1">'Cash Flow calculation'!N20</f>
        <v>27625930350.777645</v>
      </c>
      <c r="K20" s="96">
        <f t="shared" ca="1" si="2"/>
        <v>27625930350.777645</v>
      </c>
      <c r="L20" s="117">
        <f ca="1">SUM($K$3:K20)</f>
        <v>621447529542.31433</v>
      </c>
      <c r="M20" s="107">
        <f ca="1">'Cash Flow calculation'!P20</f>
        <v>-3817651183.2303848</v>
      </c>
      <c r="N20" s="108">
        <f ca="1">'Cash Flow calculation'!Q20</f>
        <v>-278500040784.836</v>
      </c>
      <c r="P20" s="2"/>
    </row>
    <row r="21" spans="1:16" x14ac:dyDescent="0.25">
      <c r="A21" s="121">
        <f t="shared" si="1"/>
        <v>44875</v>
      </c>
      <c r="B21" s="91">
        <f>'Cash Flow calculation'!G21</f>
        <v>4796352000</v>
      </c>
      <c r="C21" s="15">
        <f>'Cash Flow calculation'!H21</f>
        <v>1222120269</v>
      </c>
      <c r="D21" s="85">
        <f>'Cash Flow calculation'!I21</f>
        <v>0</v>
      </c>
      <c r="E21" s="86">
        <f>'Cash Flow calculation'!J21</f>
        <v>15009521800</v>
      </c>
      <c r="F21" s="126">
        <f>'Cash Flow calculation'!K21</f>
        <v>0</v>
      </c>
      <c r="G21" s="113">
        <f t="shared" ca="1" si="0"/>
        <v>22420494272.924179</v>
      </c>
      <c r="H21" s="127">
        <f ca="1">SUM($G$3:G21)</f>
        <v>922368064600.07458</v>
      </c>
      <c r="I21" s="124">
        <f ca="1">'Cash Flow calculation'!L21</f>
        <v>-1392500203.92418</v>
      </c>
      <c r="J21" s="116">
        <f ca="1">'Cash Flow calculation'!N21</f>
        <v>181360040427.15457</v>
      </c>
      <c r="K21" s="96">
        <f t="shared" ca="1" si="2"/>
        <v>181360040427.15457</v>
      </c>
      <c r="L21" s="117">
        <f ca="1">SUM($K$3:K21)</f>
        <v>802807569969.46887</v>
      </c>
      <c r="M21" s="107">
        <f ca="1">'Cash Flow calculation'!P21</f>
        <v>158939546154.23038</v>
      </c>
      <c r="N21" s="108">
        <f ca="1">'Cash Flow calculation'!Q21</f>
        <v>-119560494630.60562</v>
      </c>
      <c r="P21" s="2"/>
    </row>
    <row r="22" spans="1:16" x14ac:dyDescent="0.25">
      <c r="A22" s="121">
        <f t="shared" si="1"/>
        <v>44906</v>
      </c>
      <c r="B22" s="91">
        <f>'Cash Flow calculation'!G22</f>
        <v>4796352000</v>
      </c>
      <c r="C22" s="15">
        <f>'Cash Flow calculation'!H22</f>
        <v>2027517419</v>
      </c>
      <c r="D22" s="85">
        <f>'Cash Flow calculation'!I22</f>
        <v>0</v>
      </c>
      <c r="E22" s="86">
        <f>'Cash Flow calculation'!J22</f>
        <v>2066846560</v>
      </c>
      <c r="F22" s="126">
        <f>'Cash Flow calculation'!K22</f>
        <v>0</v>
      </c>
      <c r="G22" s="113">
        <f t="shared" ca="1" si="0"/>
        <v>9488518452.1530285</v>
      </c>
      <c r="H22" s="127">
        <f ca="1">SUM($G$3:G22)</f>
        <v>931856583052.22766</v>
      </c>
      <c r="I22" s="124">
        <f ca="1">'Cash Flow calculation'!L22</f>
        <v>-597802473.15302813</v>
      </c>
      <c r="J22" s="116">
        <f ca="1">'Cash Flow calculation'!N22</f>
        <v>184786579204.39694</v>
      </c>
      <c r="K22" s="96">
        <f t="shared" ca="1" si="2"/>
        <v>184786579204.39694</v>
      </c>
      <c r="L22" s="117">
        <f ca="1">SUM($K$3:K22)</f>
        <v>987594149173.86584</v>
      </c>
      <c r="M22" s="107">
        <f ca="1">'Cash Flow calculation'!P22</f>
        <v>175298060752.24393</v>
      </c>
      <c r="N22" s="108">
        <f ca="1">'Cash Flow calculation'!Q22</f>
        <v>55737566121.638306</v>
      </c>
      <c r="P22" s="2"/>
    </row>
    <row r="23" spans="1:16" x14ac:dyDescent="0.25">
      <c r="A23" s="121">
        <f t="shared" si="1"/>
        <v>44937</v>
      </c>
      <c r="B23" s="91">
        <f>'Cash Flow calculation'!G23</f>
        <v>2834208000</v>
      </c>
      <c r="C23" s="15">
        <f>'Cash Flow calculation'!H23</f>
        <v>812364749</v>
      </c>
      <c r="D23" s="85">
        <f>'Cash Flow calculation'!I23</f>
        <v>0</v>
      </c>
      <c r="E23" s="86">
        <f>'Cash Flow calculation'!J23</f>
        <v>456636248</v>
      </c>
      <c r="F23" s="126">
        <f>'Cash Flow calculation'!K23</f>
        <v>0</v>
      </c>
      <c r="G23" s="113">
        <f t="shared" ca="1" si="0"/>
        <v>4103208997</v>
      </c>
      <c r="H23" s="127">
        <f ca="1">SUM($G$3:G23)</f>
        <v>935959792049.22766</v>
      </c>
      <c r="I23" s="124">
        <f ca="1">'Cash Flow calculation'!L23</f>
        <v>93081735.423135966</v>
      </c>
      <c r="J23" s="116">
        <f ca="1">'Cash Flow calculation'!N23</f>
        <v>849890433.57228601</v>
      </c>
      <c r="K23" s="96">
        <f t="shared" ca="1" si="2"/>
        <v>942972168.99542201</v>
      </c>
      <c r="L23" s="117">
        <f ca="1">SUM($K$3:K23)</f>
        <v>988537121342.86121</v>
      </c>
      <c r="M23" s="107">
        <f ca="1">'Cash Flow calculation'!P23</f>
        <v>-3160236828.0045781</v>
      </c>
      <c r="N23" s="108">
        <f ca="1">'Cash Flow calculation'!Q23</f>
        <v>52577329293.633728</v>
      </c>
      <c r="P23" s="2"/>
    </row>
    <row r="24" spans="1:16" x14ac:dyDescent="0.25">
      <c r="A24" s="121">
        <f t="shared" si="1"/>
        <v>44968</v>
      </c>
      <c r="B24" s="91">
        <f>'Cash Flow calculation'!G24</f>
        <v>0</v>
      </c>
      <c r="C24" s="15">
        <f>'Cash Flow calculation'!H24</f>
        <v>0</v>
      </c>
      <c r="D24" s="85">
        <f>'Cash Flow calculation'!I24</f>
        <v>0</v>
      </c>
      <c r="E24" s="86">
        <f>'Cash Flow calculation'!J24</f>
        <v>144603200</v>
      </c>
      <c r="F24" s="126">
        <f>'Cash Flow calculation'!K24</f>
        <v>0</v>
      </c>
      <c r="G24" s="113">
        <f t="shared" ca="1" si="0"/>
        <v>144603200</v>
      </c>
      <c r="H24" s="127">
        <f ca="1">SUM($G$3:G24)</f>
        <v>936104395249.22766</v>
      </c>
      <c r="I24" s="124">
        <f ca="1">'Cash Flow calculation'!L24</f>
        <v>87804139.920368329</v>
      </c>
      <c r="J24" s="116">
        <f ca="1">'Cash Flow calculation'!N24</f>
        <v>595611625.58255804</v>
      </c>
      <c r="K24" s="96">
        <f t="shared" ca="1" si="2"/>
        <v>683415765.50292635</v>
      </c>
      <c r="L24" s="117">
        <f ca="1">SUM($K$3:K24)</f>
        <v>989220537108.36414</v>
      </c>
      <c r="M24" s="107">
        <f ca="1">'Cash Flow calculation'!P24</f>
        <v>538812565.50292635</v>
      </c>
      <c r="N24" s="108">
        <f ca="1">'Cash Flow calculation'!Q24</f>
        <v>53116141859.136658</v>
      </c>
      <c r="P24" s="2"/>
    </row>
    <row r="25" spans="1:16" x14ac:dyDescent="0.25">
      <c r="A25" s="121">
        <f t="shared" si="1"/>
        <v>44999</v>
      </c>
      <c r="B25" s="91">
        <f>'Cash Flow calculation'!G25</f>
        <v>0</v>
      </c>
      <c r="C25" s="15">
        <f>'Cash Flow calculation'!H25</f>
        <v>0</v>
      </c>
      <c r="D25" s="85">
        <f>'Cash Flow calculation'!I25</f>
        <v>0</v>
      </c>
      <c r="E25" s="86">
        <f>'Cash Flow calculation'!J25</f>
        <v>0</v>
      </c>
      <c r="F25" s="126">
        <f>'Cash Flow calculation'!K25</f>
        <v>0</v>
      </c>
      <c r="G25" s="113">
        <f t="shared" ca="1" si="0"/>
        <v>0</v>
      </c>
      <c r="H25" s="127">
        <f ca="1">SUM($G$3:G25)</f>
        <v>936104395249.22766</v>
      </c>
      <c r="I25" s="124">
        <f ca="1">'Cash Flow calculation'!L25</f>
        <v>88703956.904758215</v>
      </c>
      <c r="J25" s="116">
        <f>'Cash Flow calculation'!N25</f>
        <v>0</v>
      </c>
      <c r="K25" s="96">
        <f t="shared" ca="1" si="2"/>
        <v>88703956.904758215</v>
      </c>
      <c r="L25" s="117">
        <f ca="1">SUM($K$3:K25)</f>
        <v>989309241065.26892</v>
      </c>
      <c r="M25" s="107">
        <f ca="1">'Cash Flow calculation'!P25</f>
        <v>88703956.904758215</v>
      </c>
      <c r="N25" s="108">
        <f ca="1">'Cash Flow calculation'!Q25</f>
        <v>53204845816.041412</v>
      </c>
      <c r="P25" s="2"/>
    </row>
    <row r="26" spans="1:16" x14ac:dyDescent="0.25">
      <c r="A26" s="121">
        <f t="shared" si="1"/>
        <v>45030</v>
      </c>
      <c r="B26" s="91">
        <f>'Cash Flow calculation'!G26</f>
        <v>0</v>
      </c>
      <c r="C26" s="15">
        <f>'Cash Flow calculation'!H26</f>
        <v>0</v>
      </c>
      <c r="D26" s="85">
        <f>'Cash Flow calculation'!I26</f>
        <v>0</v>
      </c>
      <c r="E26" s="86">
        <f>'Cash Flow calculation'!J26</f>
        <v>0</v>
      </c>
      <c r="F26" s="126">
        <f>'Cash Flow calculation'!K26</f>
        <v>0</v>
      </c>
      <c r="G26" s="113">
        <f t="shared" ca="1" si="0"/>
        <v>0</v>
      </c>
      <c r="H26" s="127">
        <f ca="1">SUM($G$3:G26)</f>
        <v>936104395249.22766</v>
      </c>
      <c r="I26" s="124">
        <f ca="1">'Cash Flow calculation'!L26</f>
        <v>88852092.51278916</v>
      </c>
      <c r="J26" s="116">
        <f ca="1">'Cash Flow calculation'!N26</f>
        <v>0</v>
      </c>
      <c r="K26" s="96">
        <f t="shared" ca="1" si="2"/>
        <v>88852092.51278916</v>
      </c>
      <c r="L26" s="117">
        <f ca="1">SUM($K$3:K26)</f>
        <v>989398093157.78174</v>
      </c>
      <c r="M26" s="107">
        <f ca="1">'Cash Flow calculation'!P26</f>
        <v>88852092.51278916</v>
      </c>
      <c r="N26" s="108">
        <f ca="1">'Cash Flow calculation'!Q26</f>
        <v>53293697908.554199</v>
      </c>
      <c r="P26" s="2"/>
    </row>
    <row r="27" spans="1:16" ht="15.75" thickBot="1" x14ac:dyDescent="0.3">
      <c r="A27" s="121">
        <f t="shared" si="1"/>
        <v>45061</v>
      </c>
      <c r="B27" s="92">
        <f>'Cash Flow calculation'!G27</f>
        <v>0</v>
      </c>
      <c r="C27" s="93">
        <f>'Cash Flow calculation'!H27</f>
        <v>0</v>
      </c>
      <c r="D27" s="94">
        <f>'Cash Flow calculation'!I27</f>
        <v>0</v>
      </c>
      <c r="E27" s="95">
        <f>'Cash Flow calculation'!J27</f>
        <v>0</v>
      </c>
      <c r="F27" s="128">
        <f>'Cash Flow calculation'!K27</f>
        <v>0</v>
      </c>
      <c r="G27" s="129">
        <f t="shared" ca="1" si="0"/>
        <v>0</v>
      </c>
      <c r="H27" s="130">
        <f ca="1">SUM($G$3:G27)</f>
        <v>936104395249.22766</v>
      </c>
      <c r="I27" s="125">
        <f ca="1">'Cash Flow calculation'!L27</f>
        <v>89000475.50728552</v>
      </c>
      <c r="J27" s="118">
        <f ca="1">'Cash Flow calculation'!N27</f>
        <v>109777120386.49402</v>
      </c>
      <c r="K27" s="98">
        <f t="shared" ca="1" si="2"/>
        <v>109866120862.0013</v>
      </c>
      <c r="L27" s="119">
        <f ca="1">SUM($K$3:K27)</f>
        <v>1099264214019.7831</v>
      </c>
      <c r="M27" s="109">
        <f ca="1">'Cash Flow calculation'!P27</f>
        <v>109866120862.0013</v>
      </c>
      <c r="N27" s="110">
        <f ca="1">'Cash Flow calculation'!Q27</f>
        <v>163159818770.55548</v>
      </c>
      <c r="P27" s="2"/>
    </row>
    <row r="28" spans="1:16" hidden="1" x14ac:dyDescent="0.25">
      <c r="A28" s="121">
        <f t="shared" si="1"/>
        <v>45092</v>
      </c>
      <c r="B28" s="131">
        <f>'Cash Flow calculation'!G28</f>
        <v>0</v>
      </c>
      <c r="C28" s="132">
        <f>'Cash Flow calculation'!H28</f>
        <v>0</v>
      </c>
      <c r="D28" s="133">
        <f>'Cash Flow calculation'!I28</f>
        <v>0</v>
      </c>
      <c r="E28" s="134">
        <f>'Cash Flow calculation'!J28</f>
        <v>0</v>
      </c>
      <c r="F28" s="135">
        <f>'Cash Flow calculation'!K28</f>
        <v>0</v>
      </c>
      <c r="G28" s="136">
        <f t="shared" si="0"/>
        <v>0</v>
      </c>
      <c r="H28" s="137">
        <f ca="1">SUM($G$3:G28)</f>
        <v>936104395249.22766</v>
      </c>
      <c r="I28" s="148">
        <f>'Cash Flow calculation'!L28</f>
        <v>0</v>
      </c>
      <c r="J28" s="149">
        <f ca="1">'Cash Flow calculation'!N28</f>
        <v>0</v>
      </c>
      <c r="K28" s="150">
        <f t="shared" ca="1" si="2"/>
        <v>0</v>
      </c>
      <c r="L28" s="151">
        <f ca="1">SUM($K$3:K28)</f>
        <v>1099264214019.7831</v>
      </c>
      <c r="M28" s="152">
        <f ca="1">'Cash Flow calculation'!P28</f>
        <v>0</v>
      </c>
      <c r="N28" s="153">
        <f ca="1">'Cash Flow calculation'!Q28</f>
        <v>163159818770.55548</v>
      </c>
      <c r="P28" s="2"/>
    </row>
    <row r="29" spans="1:16" ht="15.75" hidden="1" thickBot="1" x14ac:dyDescent="0.3">
      <c r="A29" s="122">
        <f t="shared" si="1"/>
        <v>45123</v>
      </c>
      <c r="B29" s="92">
        <f>'Cash Flow calculation'!G29</f>
        <v>0</v>
      </c>
      <c r="C29" s="93">
        <f>'Cash Flow calculation'!H29</f>
        <v>0</v>
      </c>
      <c r="D29" s="94">
        <f>'Cash Flow calculation'!I29</f>
        <v>0</v>
      </c>
      <c r="E29" s="95">
        <f>'Cash Flow calculation'!J29</f>
        <v>0</v>
      </c>
      <c r="F29" s="128">
        <f>'Cash Flow calculation'!K29</f>
        <v>0</v>
      </c>
      <c r="G29" s="129">
        <f t="shared" si="0"/>
        <v>0</v>
      </c>
      <c r="H29" s="130">
        <f ca="1">SUM($G$3:G29)</f>
        <v>936104395249.22766</v>
      </c>
      <c r="I29" s="125">
        <f>'Cash Flow calculation'!L29</f>
        <v>0</v>
      </c>
      <c r="J29" s="118">
        <f>'Cash Flow calculation'!N29</f>
        <v>0</v>
      </c>
      <c r="K29" s="98">
        <f t="shared" si="2"/>
        <v>0</v>
      </c>
      <c r="L29" s="119">
        <f ca="1">SUM($K$3:K29)</f>
        <v>1099264214019.7831</v>
      </c>
      <c r="M29" s="109">
        <f>'Cash Flow calculation'!P29</f>
        <v>0</v>
      </c>
      <c r="N29" s="110">
        <f ca="1">'Cash Flow calculation'!Q29</f>
        <v>163159818770.55548</v>
      </c>
      <c r="P29" s="2"/>
    </row>
  </sheetData>
  <mergeCells count="7">
    <mergeCell ref="N1:N2"/>
    <mergeCell ref="B1:H1"/>
    <mergeCell ref="J1:J2"/>
    <mergeCell ref="K1:K2"/>
    <mergeCell ref="L1:L2"/>
    <mergeCell ref="I1:I2"/>
    <mergeCell ref="M1:M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4FD42-30D6-4B45-B5D1-272B08A400F2}">
  <dimension ref="A1:AJ117"/>
  <sheetViews>
    <sheetView zoomScaleNormal="100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A2" sqref="A2:A3"/>
    </sheetView>
  </sheetViews>
  <sheetFormatPr defaultColWidth="46.42578125" defaultRowHeight="15" x14ac:dyDescent="0.25"/>
  <cols>
    <col min="1" max="1" width="35.5703125" customWidth="1"/>
    <col min="2" max="2" width="14.5703125" customWidth="1"/>
    <col min="3" max="3" width="14.7109375" customWidth="1"/>
    <col min="4" max="4" width="25.85546875" customWidth="1"/>
    <col min="5" max="5" width="13.28515625" hidden="1" customWidth="1"/>
    <col min="6" max="6" width="13" hidden="1" customWidth="1"/>
    <col min="7" max="7" width="23.28515625" customWidth="1"/>
    <col min="8" max="32" width="22.7109375" customWidth="1"/>
    <col min="33" max="34" width="22.7109375" hidden="1" customWidth="1"/>
    <col min="35" max="35" width="22.7109375" customWidth="1"/>
    <col min="36" max="36" width="24.7109375" customWidth="1"/>
    <col min="37" max="50" width="16.140625" customWidth="1"/>
  </cols>
  <sheetData>
    <row r="1" spans="1:36" x14ac:dyDescent="0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5">
        <v>44317</v>
      </c>
      <c r="I1" s="5">
        <f>H1+31</f>
        <v>44348</v>
      </c>
      <c r="J1" s="5">
        <f t="shared" ref="J1:AH1" si="0">I1+31</f>
        <v>44379</v>
      </c>
      <c r="K1" s="5">
        <f t="shared" si="0"/>
        <v>44410</v>
      </c>
      <c r="L1" s="5">
        <f t="shared" si="0"/>
        <v>44441</v>
      </c>
      <c r="M1" s="5">
        <f t="shared" si="0"/>
        <v>44472</v>
      </c>
      <c r="N1" s="5">
        <f t="shared" si="0"/>
        <v>44503</v>
      </c>
      <c r="O1" s="5">
        <f t="shared" si="0"/>
        <v>44534</v>
      </c>
      <c r="P1" s="5">
        <f t="shared" si="0"/>
        <v>44565</v>
      </c>
      <c r="Q1" s="5">
        <f t="shared" si="0"/>
        <v>44596</v>
      </c>
      <c r="R1" s="5">
        <f t="shared" si="0"/>
        <v>44627</v>
      </c>
      <c r="S1" s="5">
        <f t="shared" si="0"/>
        <v>44658</v>
      </c>
      <c r="T1" s="5">
        <f t="shared" si="0"/>
        <v>44689</v>
      </c>
      <c r="U1" s="5">
        <f t="shared" si="0"/>
        <v>44720</v>
      </c>
      <c r="V1" s="5">
        <f t="shared" si="0"/>
        <v>44751</v>
      </c>
      <c r="W1" s="5">
        <f t="shared" si="0"/>
        <v>44782</v>
      </c>
      <c r="X1" s="5">
        <f t="shared" si="0"/>
        <v>44813</v>
      </c>
      <c r="Y1" s="5">
        <f t="shared" si="0"/>
        <v>44844</v>
      </c>
      <c r="Z1" s="5">
        <f t="shared" si="0"/>
        <v>44875</v>
      </c>
      <c r="AA1" s="5">
        <f t="shared" si="0"/>
        <v>44906</v>
      </c>
      <c r="AB1" s="5">
        <f t="shared" si="0"/>
        <v>44937</v>
      </c>
      <c r="AC1" s="5">
        <f t="shared" si="0"/>
        <v>44968</v>
      </c>
      <c r="AD1" s="5">
        <f t="shared" si="0"/>
        <v>44999</v>
      </c>
      <c r="AE1" s="5">
        <f t="shared" si="0"/>
        <v>45030</v>
      </c>
      <c r="AF1" s="5">
        <f>AE1+31</f>
        <v>45061</v>
      </c>
      <c r="AG1" s="5">
        <f t="shared" si="0"/>
        <v>45092</v>
      </c>
      <c r="AH1" s="5">
        <f t="shared" si="0"/>
        <v>45123</v>
      </c>
      <c r="AI1" s="6" t="s">
        <v>6</v>
      </c>
      <c r="AJ1" s="6" t="s">
        <v>294</v>
      </c>
    </row>
    <row r="2" spans="1:36" x14ac:dyDescent="0.25">
      <c r="A2" s="191" t="s">
        <v>14</v>
      </c>
      <c r="B2" s="191" t="s">
        <v>15</v>
      </c>
      <c r="C2" s="191" t="s">
        <v>16</v>
      </c>
      <c r="D2" s="8"/>
      <c r="E2" s="7" t="s">
        <v>17</v>
      </c>
      <c r="F2" s="7" t="s">
        <v>18</v>
      </c>
      <c r="G2" s="9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>
        <f>SUM(H2:AH2)</f>
        <v>0</v>
      </c>
      <c r="AJ2" s="10">
        <f>AI2-G2</f>
        <v>0</v>
      </c>
    </row>
    <row r="3" spans="1:36" x14ac:dyDescent="0.25">
      <c r="A3" s="192"/>
      <c r="B3" s="192"/>
      <c r="C3" s="192"/>
      <c r="D3" s="38" t="s">
        <v>303</v>
      </c>
      <c r="E3" s="39"/>
      <c r="F3" s="39"/>
      <c r="G3" s="42">
        <v>93310848000</v>
      </c>
      <c r="H3" s="41">
        <v>218016000</v>
      </c>
      <c r="I3" s="37">
        <v>4796352000</v>
      </c>
      <c r="J3" s="37">
        <v>4796352000</v>
      </c>
      <c r="K3" s="37">
        <v>4796352000</v>
      </c>
      <c r="L3" s="37">
        <v>4796352000</v>
      </c>
      <c r="M3" s="37">
        <v>4578336000</v>
      </c>
      <c r="N3" s="37">
        <v>4796352000</v>
      </c>
      <c r="O3" s="37">
        <v>5014368000</v>
      </c>
      <c r="P3" s="37">
        <v>4578336000</v>
      </c>
      <c r="Q3" s="37">
        <v>4360320000</v>
      </c>
      <c r="R3" s="37">
        <v>5014368000</v>
      </c>
      <c r="S3" s="37">
        <v>4578336000</v>
      </c>
      <c r="T3" s="37">
        <v>4796352000</v>
      </c>
      <c r="U3" s="37">
        <v>4796352000</v>
      </c>
      <c r="V3" s="37">
        <v>4578336000</v>
      </c>
      <c r="W3" s="37">
        <v>5014368000</v>
      </c>
      <c r="X3" s="37">
        <v>4796352000</v>
      </c>
      <c r="Y3" s="37">
        <v>4578336000</v>
      </c>
      <c r="Z3" s="37">
        <v>4796352000</v>
      </c>
      <c r="AA3" s="37">
        <v>4796352000</v>
      </c>
      <c r="AB3" s="37">
        <v>2834208000</v>
      </c>
      <c r="AC3" s="40"/>
      <c r="AD3" s="40"/>
      <c r="AE3" s="40"/>
      <c r="AF3" s="40"/>
      <c r="AG3" s="40"/>
      <c r="AH3" s="40"/>
      <c r="AI3" s="40">
        <f t="shared" ref="AI3" si="1">SUM(H3:AH3)</f>
        <v>93310848000</v>
      </c>
      <c r="AJ3" s="10">
        <f t="shared" ref="AJ3" si="2">AI3-G3</f>
        <v>0</v>
      </c>
    </row>
    <row r="4" spans="1:36" x14ac:dyDescent="0.25">
      <c r="A4" s="11" t="s">
        <v>19</v>
      </c>
      <c r="B4" s="11" t="s">
        <v>15</v>
      </c>
      <c r="C4" s="11" t="s">
        <v>15</v>
      </c>
      <c r="D4" s="8"/>
      <c r="E4" s="11" t="s">
        <v>20</v>
      </c>
      <c r="F4" s="11" t="s">
        <v>21</v>
      </c>
      <c r="G4" s="12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>
        <f t="shared" ref="AI4:AI74" si="3">SUM(H4:AH4)</f>
        <v>0</v>
      </c>
      <c r="AJ4" s="10">
        <f t="shared" ref="AJ4:AJ74" si="4">AI4-G4</f>
        <v>0</v>
      </c>
    </row>
    <row r="5" spans="1:36" x14ac:dyDescent="0.25">
      <c r="A5" s="7" t="s">
        <v>22</v>
      </c>
      <c r="B5" s="7" t="s">
        <v>15</v>
      </c>
      <c r="C5" s="7" t="s">
        <v>23</v>
      </c>
      <c r="D5" s="8"/>
      <c r="E5" s="7" t="s">
        <v>24</v>
      </c>
      <c r="F5" s="7" t="s">
        <v>25</v>
      </c>
      <c r="G5" s="9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>
        <f t="shared" si="3"/>
        <v>0</v>
      </c>
      <c r="AJ5" s="10">
        <f t="shared" si="4"/>
        <v>0</v>
      </c>
    </row>
    <row r="6" spans="1:36" x14ac:dyDescent="0.25">
      <c r="A6" s="7" t="s">
        <v>26</v>
      </c>
      <c r="B6" s="7" t="s">
        <v>15</v>
      </c>
      <c r="C6" s="7" t="s">
        <v>27</v>
      </c>
      <c r="D6" s="8"/>
      <c r="E6" s="7" t="s">
        <v>28</v>
      </c>
      <c r="F6" s="7" t="s">
        <v>29</v>
      </c>
      <c r="G6" s="9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>
        <f t="shared" si="3"/>
        <v>0</v>
      </c>
      <c r="AJ6" s="10">
        <f t="shared" si="4"/>
        <v>0</v>
      </c>
    </row>
    <row r="7" spans="1:36" ht="30" x14ac:dyDescent="0.25">
      <c r="A7" s="11" t="s">
        <v>30</v>
      </c>
      <c r="B7" s="11" t="s">
        <v>15</v>
      </c>
      <c r="C7" s="11" t="s">
        <v>31</v>
      </c>
      <c r="D7" s="13" t="s">
        <v>32</v>
      </c>
      <c r="E7" s="13" t="s">
        <v>33</v>
      </c>
      <c r="F7" s="13" t="s">
        <v>34</v>
      </c>
      <c r="G7" s="14">
        <v>56684160</v>
      </c>
      <c r="H7" s="15">
        <v>28342080</v>
      </c>
      <c r="I7" s="15">
        <v>28342080</v>
      </c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>
        <f t="shared" si="3"/>
        <v>56684160</v>
      </c>
      <c r="AJ7" s="10">
        <f t="shared" si="4"/>
        <v>0</v>
      </c>
    </row>
    <row r="8" spans="1:36" x14ac:dyDescent="0.25">
      <c r="A8" s="11" t="s">
        <v>35</v>
      </c>
      <c r="B8" s="11" t="s">
        <v>36</v>
      </c>
      <c r="C8" s="11" t="s">
        <v>27</v>
      </c>
      <c r="D8" s="13" t="s">
        <v>32</v>
      </c>
      <c r="E8" s="13" t="s">
        <v>37</v>
      </c>
      <c r="F8" s="13" t="s">
        <v>38</v>
      </c>
      <c r="G8" s="14">
        <v>141710400</v>
      </c>
      <c r="H8" s="15"/>
      <c r="I8" s="15">
        <v>141710400</v>
      </c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>
        <f t="shared" si="3"/>
        <v>141710400</v>
      </c>
      <c r="AJ8" s="10">
        <f t="shared" si="4"/>
        <v>0</v>
      </c>
    </row>
    <row r="9" spans="1:36" x14ac:dyDescent="0.25">
      <c r="A9" s="7" t="s">
        <v>39</v>
      </c>
      <c r="B9" s="7" t="s">
        <v>40</v>
      </c>
      <c r="C9" s="7" t="s">
        <v>23</v>
      </c>
      <c r="D9" s="16"/>
      <c r="E9" s="7" t="s">
        <v>41</v>
      </c>
      <c r="F9" s="7" t="s">
        <v>42</v>
      </c>
      <c r="G9" s="9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>
        <f t="shared" si="3"/>
        <v>0</v>
      </c>
      <c r="AJ9" s="10">
        <f t="shared" si="4"/>
        <v>0</v>
      </c>
    </row>
    <row r="10" spans="1:36" ht="45" x14ac:dyDescent="0.25">
      <c r="A10" s="11" t="s">
        <v>43</v>
      </c>
      <c r="B10" s="11" t="s">
        <v>44</v>
      </c>
      <c r="C10" s="11" t="s">
        <v>45</v>
      </c>
      <c r="D10" s="13" t="s">
        <v>46</v>
      </c>
      <c r="E10" s="13" t="s">
        <v>47</v>
      </c>
      <c r="F10" s="13" t="s">
        <v>48</v>
      </c>
      <c r="G10" s="14">
        <v>848899800</v>
      </c>
      <c r="H10" s="15"/>
      <c r="I10" s="15"/>
      <c r="J10" s="14">
        <v>848899800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>
        <f t="shared" si="3"/>
        <v>848899800</v>
      </c>
      <c r="AJ10" s="10">
        <f t="shared" si="4"/>
        <v>0</v>
      </c>
    </row>
    <row r="11" spans="1:36" ht="45" x14ac:dyDescent="0.25">
      <c r="A11" s="11" t="s">
        <v>49</v>
      </c>
      <c r="B11" s="11" t="s">
        <v>45</v>
      </c>
      <c r="C11" s="11" t="s">
        <v>50</v>
      </c>
      <c r="D11" s="13" t="s">
        <v>46</v>
      </c>
      <c r="E11" s="13" t="s">
        <v>51</v>
      </c>
      <c r="F11" s="13" t="s">
        <v>52</v>
      </c>
      <c r="G11" s="14">
        <v>628158600</v>
      </c>
      <c r="H11" s="15"/>
      <c r="I11" s="15"/>
      <c r="J11" s="15">
        <v>463011480</v>
      </c>
      <c r="K11" s="15">
        <v>165147120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>
        <f t="shared" si="3"/>
        <v>628158600</v>
      </c>
      <c r="AJ11" s="10">
        <f t="shared" si="4"/>
        <v>0</v>
      </c>
    </row>
    <row r="12" spans="1:36" ht="45" x14ac:dyDescent="0.25">
      <c r="A12" s="11" t="s">
        <v>53</v>
      </c>
      <c r="B12" s="11" t="s">
        <v>50</v>
      </c>
      <c r="C12" s="11" t="s">
        <v>54</v>
      </c>
      <c r="D12" s="13" t="s">
        <v>46</v>
      </c>
      <c r="E12" s="13" t="s">
        <v>55</v>
      </c>
      <c r="F12" s="13" t="s">
        <v>56</v>
      </c>
      <c r="G12" s="14">
        <v>506887200</v>
      </c>
      <c r="H12" s="15"/>
      <c r="I12" s="15"/>
      <c r="J12" s="15"/>
      <c r="K12" s="14">
        <v>506887200</v>
      </c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>
        <f t="shared" si="3"/>
        <v>506887200</v>
      </c>
      <c r="AJ12" s="10">
        <f t="shared" si="4"/>
        <v>0</v>
      </c>
    </row>
    <row r="13" spans="1:36" ht="45" x14ac:dyDescent="0.25">
      <c r="A13" s="11" t="s">
        <v>57</v>
      </c>
      <c r="B13" s="11" t="s">
        <v>40</v>
      </c>
      <c r="C13" s="11" t="s">
        <v>44</v>
      </c>
      <c r="D13" s="13" t="s">
        <v>46</v>
      </c>
      <c r="E13" s="13" t="s">
        <v>58</v>
      </c>
      <c r="F13" s="13" t="s">
        <v>59</v>
      </c>
      <c r="G13" s="14">
        <v>1234515600</v>
      </c>
      <c r="H13" s="15"/>
      <c r="I13" s="15">
        <v>1120602240</v>
      </c>
      <c r="J13" s="15">
        <v>113913360</v>
      </c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>
        <f t="shared" si="3"/>
        <v>1234515600</v>
      </c>
      <c r="AJ13" s="10">
        <f t="shared" si="4"/>
        <v>0</v>
      </c>
    </row>
    <row r="14" spans="1:36" ht="45" x14ac:dyDescent="0.25">
      <c r="A14" s="193" t="s">
        <v>60</v>
      </c>
      <c r="B14" s="194" t="s">
        <v>54</v>
      </c>
      <c r="C14" s="195" t="s">
        <v>61</v>
      </c>
      <c r="D14" s="13" t="s">
        <v>296</v>
      </c>
      <c r="E14" s="13" t="s">
        <v>62</v>
      </c>
      <c r="F14" s="13" t="s">
        <v>63</v>
      </c>
      <c r="G14" s="14">
        <v>1249504200</v>
      </c>
      <c r="H14" s="15"/>
      <c r="I14" s="15"/>
      <c r="J14" s="15"/>
      <c r="K14" s="15">
        <v>829823400</v>
      </c>
      <c r="L14" s="15">
        <v>419680800</v>
      </c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>
        <f t="shared" si="3"/>
        <v>1249504200</v>
      </c>
      <c r="AJ14" s="10">
        <f t="shared" si="4"/>
        <v>0</v>
      </c>
    </row>
    <row r="15" spans="1:36" ht="30" x14ac:dyDescent="0.25">
      <c r="A15" s="193"/>
      <c r="B15" s="194"/>
      <c r="C15" s="195"/>
      <c r="D15" s="17" t="s">
        <v>295</v>
      </c>
      <c r="E15" s="17" t="s">
        <v>62</v>
      </c>
      <c r="F15" s="17" t="s">
        <v>63</v>
      </c>
      <c r="G15" s="18">
        <v>4251312000</v>
      </c>
      <c r="H15" s="19"/>
      <c r="I15" s="19"/>
      <c r="J15" s="19"/>
      <c r="K15" s="19">
        <v>2823390412</v>
      </c>
      <c r="L15" s="19">
        <v>1427921588</v>
      </c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>
        <f t="shared" si="3"/>
        <v>4251312000</v>
      </c>
      <c r="AJ15" s="10">
        <f t="shared" si="4"/>
        <v>0</v>
      </c>
    </row>
    <row r="16" spans="1:36" ht="30" x14ac:dyDescent="0.25">
      <c r="A16" s="11" t="s">
        <v>64</v>
      </c>
      <c r="B16" s="11" t="s">
        <v>65</v>
      </c>
      <c r="C16" s="11" t="s">
        <v>66</v>
      </c>
      <c r="D16" s="13" t="s">
        <v>67</v>
      </c>
      <c r="E16" s="13" t="s">
        <v>68</v>
      </c>
      <c r="F16" s="13" t="s">
        <v>69</v>
      </c>
      <c r="G16" s="14">
        <v>0</v>
      </c>
      <c r="H16" s="15"/>
      <c r="I16" s="15"/>
      <c r="J16" s="15"/>
      <c r="K16" s="15">
        <v>0</v>
      </c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>
        <f t="shared" si="3"/>
        <v>0</v>
      </c>
      <c r="AJ16" s="10">
        <f t="shared" si="4"/>
        <v>0</v>
      </c>
    </row>
    <row r="17" spans="1:36" ht="60" x14ac:dyDescent="0.25">
      <c r="A17" s="11" t="s">
        <v>70</v>
      </c>
      <c r="B17" s="11" t="s">
        <v>71</v>
      </c>
      <c r="C17" s="11" t="s">
        <v>23</v>
      </c>
      <c r="D17" s="13" t="s">
        <v>72</v>
      </c>
      <c r="E17" s="13" t="s">
        <v>73</v>
      </c>
      <c r="F17" s="13" t="s">
        <v>74</v>
      </c>
      <c r="G17" s="14">
        <v>675849600</v>
      </c>
      <c r="H17" s="15"/>
      <c r="I17" s="15">
        <v>122088960</v>
      </c>
      <c r="J17" s="15">
        <v>139530240</v>
      </c>
      <c r="K17" s="15">
        <v>383163120</v>
      </c>
      <c r="L17" s="15">
        <v>31067280</v>
      </c>
      <c r="M17" s="15">
        <v>0</v>
      </c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>
        <f t="shared" si="3"/>
        <v>675849600</v>
      </c>
      <c r="AJ17" s="10">
        <f t="shared" si="4"/>
        <v>0</v>
      </c>
    </row>
    <row r="18" spans="1:36" x14ac:dyDescent="0.25">
      <c r="A18" s="7" t="s">
        <v>75</v>
      </c>
      <c r="B18" s="7" t="s">
        <v>44</v>
      </c>
      <c r="C18" s="7" t="s">
        <v>76</v>
      </c>
      <c r="D18" s="8"/>
      <c r="E18" s="7" t="s">
        <v>77</v>
      </c>
      <c r="F18" s="7" t="s">
        <v>78</v>
      </c>
      <c r="G18" s="9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>
        <f t="shared" si="3"/>
        <v>0</v>
      </c>
      <c r="AJ18" s="10">
        <f t="shared" si="4"/>
        <v>0</v>
      </c>
    </row>
    <row r="19" spans="1:36" x14ac:dyDescent="0.25">
      <c r="A19" s="7" t="s">
        <v>79</v>
      </c>
      <c r="B19" s="7" t="s">
        <v>44</v>
      </c>
      <c r="C19" s="7" t="s">
        <v>80</v>
      </c>
      <c r="D19" s="8"/>
      <c r="E19" s="7" t="s">
        <v>81</v>
      </c>
      <c r="F19" s="7" t="s">
        <v>82</v>
      </c>
      <c r="G19" s="9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>
        <f t="shared" si="3"/>
        <v>0</v>
      </c>
      <c r="AJ19" s="10">
        <f t="shared" si="4"/>
        <v>0</v>
      </c>
    </row>
    <row r="20" spans="1:36" x14ac:dyDescent="0.25">
      <c r="A20" s="11" t="s">
        <v>83</v>
      </c>
      <c r="B20" s="11" t="s">
        <v>44</v>
      </c>
      <c r="C20" s="11" t="s">
        <v>84</v>
      </c>
      <c r="D20" s="13" t="s">
        <v>85</v>
      </c>
      <c r="E20" s="13" t="s">
        <v>37</v>
      </c>
      <c r="F20" s="13" t="s">
        <v>86</v>
      </c>
      <c r="G20" s="14">
        <v>76305600</v>
      </c>
      <c r="H20" s="15"/>
      <c r="I20" s="15"/>
      <c r="J20" s="15">
        <v>76305600</v>
      </c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>
        <f t="shared" si="3"/>
        <v>76305600</v>
      </c>
      <c r="AJ20" s="10">
        <f t="shared" si="4"/>
        <v>0</v>
      </c>
    </row>
    <row r="21" spans="1:36" x14ac:dyDescent="0.25">
      <c r="A21" s="11" t="s">
        <v>87</v>
      </c>
      <c r="B21" s="11" t="s">
        <v>84</v>
      </c>
      <c r="C21" s="11" t="s">
        <v>50</v>
      </c>
      <c r="D21" s="20"/>
      <c r="E21" s="13" t="s">
        <v>20</v>
      </c>
      <c r="F21" s="13" t="s">
        <v>69</v>
      </c>
      <c r="G21" s="14">
        <v>0</v>
      </c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>
        <f t="shared" si="3"/>
        <v>0</v>
      </c>
      <c r="AJ21" s="10">
        <f t="shared" si="4"/>
        <v>0</v>
      </c>
    </row>
    <row r="22" spans="1:36" ht="45" x14ac:dyDescent="0.25">
      <c r="A22" s="11" t="s">
        <v>88</v>
      </c>
      <c r="B22" s="11" t="s">
        <v>54</v>
      </c>
      <c r="C22" s="11" t="s">
        <v>89</v>
      </c>
      <c r="D22" s="13" t="s">
        <v>90</v>
      </c>
      <c r="E22" s="13" t="s">
        <v>91</v>
      </c>
      <c r="F22" s="13" t="s">
        <v>92</v>
      </c>
      <c r="G22" s="14">
        <v>143890560</v>
      </c>
      <c r="H22" s="15"/>
      <c r="I22" s="15"/>
      <c r="J22" s="15"/>
      <c r="K22" s="15">
        <v>143890560</v>
      </c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>
        <f t="shared" si="3"/>
        <v>143890560</v>
      </c>
      <c r="AJ22" s="10">
        <f t="shared" si="4"/>
        <v>0</v>
      </c>
    </row>
    <row r="23" spans="1:36" x14ac:dyDescent="0.25">
      <c r="A23" s="11" t="s">
        <v>93</v>
      </c>
      <c r="B23" s="11" t="s">
        <v>89</v>
      </c>
      <c r="C23" s="11" t="s">
        <v>80</v>
      </c>
      <c r="D23" s="13" t="s">
        <v>85</v>
      </c>
      <c r="E23" s="13" t="s">
        <v>33</v>
      </c>
      <c r="F23" s="13" t="s">
        <v>94</v>
      </c>
      <c r="G23" s="14">
        <v>30522240</v>
      </c>
      <c r="H23" s="15"/>
      <c r="I23" s="15"/>
      <c r="J23" s="15"/>
      <c r="K23" s="15">
        <v>30522240</v>
      </c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>
        <f t="shared" si="3"/>
        <v>30522240</v>
      </c>
      <c r="AJ23" s="10">
        <f t="shared" si="4"/>
        <v>0</v>
      </c>
    </row>
    <row r="24" spans="1:36" x14ac:dyDescent="0.25">
      <c r="A24" s="7" t="s">
        <v>95</v>
      </c>
      <c r="B24" s="7" t="s">
        <v>54</v>
      </c>
      <c r="C24" s="7" t="s">
        <v>96</v>
      </c>
      <c r="D24" s="8"/>
      <c r="E24" s="7" t="s">
        <v>81</v>
      </c>
      <c r="F24" s="7" t="s">
        <v>97</v>
      </c>
      <c r="G24" s="9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>
        <f t="shared" si="3"/>
        <v>0</v>
      </c>
      <c r="AJ24" s="10">
        <f t="shared" si="4"/>
        <v>0</v>
      </c>
    </row>
    <row r="25" spans="1:36" x14ac:dyDescent="0.25">
      <c r="A25" s="11" t="s">
        <v>83</v>
      </c>
      <c r="B25" s="11" t="s">
        <v>54</v>
      </c>
      <c r="C25" s="11" t="s">
        <v>80</v>
      </c>
      <c r="D25" s="13" t="s">
        <v>85</v>
      </c>
      <c r="E25" s="13" t="s">
        <v>37</v>
      </c>
      <c r="F25" s="13" t="s">
        <v>86</v>
      </c>
      <c r="G25" s="14">
        <v>76305600</v>
      </c>
      <c r="H25" s="15"/>
      <c r="I25" s="15"/>
      <c r="J25" s="15"/>
      <c r="K25" s="15">
        <v>76305600</v>
      </c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>
        <f t="shared" si="3"/>
        <v>76305600</v>
      </c>
      <c r="AJ25" s="10">
        <f t="shared" si="4"/>
        <v>0</v>
      </c>
    </row>
    <row r="26" spans="1:36" x14ac:dyDescent="0.25">
      <c r="A26" s="11" t="s">
        <v>87</v>
      </c>
      <c r="B26" s="11" t="s">
        <v>89</v>
      </c>
      <c r="C26" s="11" t="s">
        <v>96</v>
      </c>
      <c r="D26" s="20"/>
      <c r="E26" s="13" t="s">
        <v>20</v>
      </c>
      <c r="F26" s="13" t="s">
        <v>69</v>
      </c>
      <c r="G26" s="14">
        <v>0</v>
      </c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>
        <f t="shared" si="3"/>
        <v>0</v>
      </c>
      <c r="AJ26" s="10">
        <f t="shared" si="4"/>
        <v>0</v>
      </c>
    </row>
    <row r="27" spans="1:36" ht="45" x14ac:dyDescent="0.25">
      <c r="A27" s="11" t="s">
        <v>88</v>
      </c>
      <c r="B27" s="11" t="s">
        <v>98</v>
      </c>
      <c r="C27" s="11" t="s">
        <v>99</v>
      </c>
      <c r="D27" s="13" t="s">
        <v>90</v>
      </c>
      <c r="E27" s="13" t="s">
        <v>91</v>
      </c>
      <c r="F27" s="13" t="s">
        <v>34</v>
      </c>
      <c r="G27" s="14">
        <v>143890560</v>
      </c>
      <c r="H27" s="15"/>
      <c r="I27" s="15"/>
      <c r="J27" s="15"/>
      <c r="K27" s="15"/>
      <c r="L27" s="15">
        <v>143890560</v>
      </c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>
        <f t="shared" si="3"/>
        <v>143890560</v>
      </c>
      <c r="AJ27" s="10">
        <f t="shared" si="4"/>
        <v>0</v>
      </c>
    </row>
    <row r="28" spans="1:36" x14ac:dyDescent="0.25">
      <c r="A28" s="11" t="s">
        <v>93</v>
      </c>
      <c r="B28" s="11" t="s">
        <v>100</v>
      </c>
      <c r="C28" s="11" t="s">
        <v>99</v>
      </c>
      <c r="D28" s="13" t="s">
        <v>85</v>
      </c>
      <c r="E28" s="13" t="s">
        <v>33</v>
      </c>
      <c r="F28" s="13" t="s">
        <v>94</v>
      </c>
      <c r="G28" s="14">
        <v>30522240</v>
      </c>
      <c r="H28" s="15"/>
      <c r="I28" s="15"/>
      <c r="J28" s="15"/>
      <c r="K28" s="15"/>
      <c r="L28" s="15">
        <v>30522240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>
        <f t="shared" si="3"/>
        <v>30522240</v>
      </c>
      <c r="AJ28" s="10">
        <f t="shared" si="4"/>
        <v>0</v>
      </c>
    </row>
    <row r="29" spans="1:36" x14ac:dyDescent="0.25">
      <c r="A29" s="7" t="s">
        <v>101</v>
      </c>
      <c r="B29" s="7" t="s">
        <v>99</v>
      </c>
      <c r="C29" s="7" t="s">
        <v>102</v>
      </c>
      <c r="D29" s="16"/>
      <c r="E29" s="21" t="s">
        <v>103</v>
      </c>
      <c r="F29" s="21" t="s">
        <v>104</v>
      </c>
      <c r="G29" s="22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>
        <f t="shared" si="3"/>
        <v>0</v>
      </c>
      <c r="AJ29" s="10">
        <f t="shared" si="4"/>
        <v>0</v>
      </c>
    </row>
    <row r="30" spans="1:36" ht="45" x14ac:dyDescent="0.25">
      <c r="A30" s="11" t="s">
        <v>105</v>
      </c>
      <c r="B30" s="11" t="s">
        <v>99</v>
      </c>
      <c r="C30" s="11" t="s">
        <v>106</v>
      </c>
      <c r="D30" s="17" t="s">
        <v>107</v>
      </c>
      <c r="E30" s="17" t="s">
        <v>108</v>
      </c>
      <c r="F30" s="17" t="s">
        <v>109</v>
      </c>
      <c r="G30" s="18">
        <v>177683040000</v>
      </c>
      <c r="H30" s="19"/>
      <c r="I30" s="19"/>
      <c r="J30" s="19"/>
      <c r="K30" s="19"/>
      <c r="L30" s="19"/>
      <c r="M30" s="19"/>
      <c r="N30" s="19"/>
      <c r="O30" s="19"/>
      <c r="P30" s="19"/>
      <c r="Q30" s="18">
        <v>27252000000</v>
      </c>
      <c r="R30" s="62">
        <v>73035360000</v>
      </c>
      <c r="S30" s="63">
        <v>77395680000</v>
      </c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>
        <f t="shared" si="3"/>
        <v>177683040000</v>
      </c>
      <c r="AJ30" s="10">
        <f t="shared" si="4"/>
        <v>0</v>
      </c>
    </row>
    <row r="31" spans="1:36" ht="45" x14ac:dyDescent="0.25">
      <c r="A31" s="11" t="s">
        <v>110</v>
      </c>
      <c r="B31" s="11" t="s">
        <v>99</v>
      </c>
      <c r="C31" s="11" t="s">
        <v>111</v>
      </c>
      <c r="D31" s="17" t="s">
        <v>112</v>
      </c>
      <c r="E31" s="17" t="s">
        <v>113</v>
      </c>
      <c r="F31" s="17" t="s">
        <v>114</v>
      </c>
      <c r="G31" s="18">
        <v>40878000000</v>
      </c>
      <c r="H31" s="19"/>
      <c r="I31" s="19"/>
      <c r="J31" s="19"/>
      <c r="K31" s="19"/>
      <c r="L31" s="19"/>
      <c r="M31" s="19"/>
      <c r="N31" s="19"/>
      <c r="O31" s="18">
        <v>40878000000</v>
      </c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>
        <f t="shared" si="3"/>
        <v>40878000000</v>
      </c>
      <c r="AJ31" s="10">
        <f t="shared" si="4"/>
        <v>0</v>
      </c>
    </row>
    <row r="32" spans="1:36" ht="30" x14ac:dyDescent="0.25">
      <c r="A32" s="11" t="s">
        <v>115</v>
      </c>
      <c r="B32" s="11" t="s">
        <v>99</v>
      </c>
      <c r="C32" s="11" t="s">
        <v>116</v>
      </c>
      <c r="D32" s="17" t="s">
        <v>117</v>
      </c>
      <c r="E32" s="17" t="s">
        <v>118</v>
      </c>
      <c r="F32" s="17" t="s">
        <v>119</v>
      </c>
      <c r="G32" s="18">
        <v>7358040000</v>
      </c>
      <c r="H32" s="19"/>
      <c r="I32" s="19"/>
      <c r="J32" s="19"/>
      <c r="K32" s="19"/>
      <c r="L32" s="19"/>
      <c r="M32" s="19"/>
      <c r="N32" s="19"/>
      <c r="O32" s="18">
        <v>7358040000</v>
      </c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>
        <f t="shared" si="3"/>
        <v>7358040000</v>
      </c>
      <c r="AJ32" s="10">
        <f t="shared" si="4"/>
        <v>0</v>
      </c>
    </row>
    <row r="33" spans="1:36" ht="30" x14ac:dyDescent="0.25">
      <c r="A33" s="11" t="s">
        <v>120</v>
      </c>
      <c r="B33" s="11" t="s">
        <v>99</v>
      </c>
      <c r="C33" s="11" t="s">
        <v>121</v>
      </c>
      <c r="D33" s="17" t="s">
        <v>122</v>
      </c>
      <c r="E33" s="17" t="s">
        <v>123</v>
      </c>
      <c r="F33" s="17" t="s">
        <v>124</v>
      </c>
      <c r="G33" s="18">
        <v>59954400000</v>
      </c>
      <c r="H33" s="19"/>
      <c r="I33" s="19"/>
      <c r="J33" s="19"/>
      <c r="K33" s="19"/>
      <c r="L33" s="19"/>
      <c r="M33" s="19"/>
      <c r="N33" s="19"/>
      <c r="O33" s="19"/>
      <c r="P33" s="18">
        <v>59954400000</v>
      </c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>
        <f t="shared" si="3"/>
        <v>59954400000</v>
      </c>
      <c r="AJ33" s="10">
        <f t="shared" si="4"/>
        <v>0</v>
      </c>
    </row>
    <row r="34" spans="1:36" ht="30" x14ac:dyDescent="0.25">
      <c r="A34" s="11" t="s">
        <v>125</v>
      </c>
      <c r="B34" s="11" t="s">
        <v>99</v>
      </c>
      <c r="C34" s="11" t="s">
        <v>126</v>
      </c>
      <c r="D34" s="17" t="s">
        <v>127</v>
      </c>
      <c r="E34" s="17" t="s">
        <v>128</v>
      </c>
      <c r="F34" s="17" t="s">
        <v>129</v>
      </c>
      <c r="G34" s="18">
        <v>2616192000</v>
      </c>
      <c r="H34" s="19"/>
      <c r="I34" s="19"/>
      <c r="J34" s="19"/>
      <c r="K34" s="19"/>
      <c r="L34" s="19"/>
      <c r="M34" s="19"/>
      <c r="N34" s="19"/>
      <c r="O34" s="19"/>
      <c r="P34" s="18">
        <v>2616192000</v>
      </c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>
        <f t="shared" si="3"/>
        <v>2616192000</v>
      </c>
      <c r="AJ34" s="10">
        <f t="shared" si="4"/>
        <v>0</v>
      </c>
    </row>
    <row r="35" spans="1:36" ht="48.6" customHeight="1" x14ac:dyDescent="0.25">
      <c r="A35" s="11" t="s">
        <v>130</v>
      </c>
      <c r="B35" s="11" t="s">
        <v>99</v>
      </c>
      <c r="C35" s="11" t="s">
        <v>102</v>
      </c>
      <c r="D35" s="17" t="s">
        <v>131</v>
      </c>
      <c r="E35" s="17" t="s">
        <v>132</v>
      </c>
      <c r="F35" s="17" t="s">
        <v>104</v>
      </c>
      <c r="G35" s="18">
        <v>13835840400</v>
      </c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8">
        <v>13835840400</v>
      </c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>
        <f t="shared" si="3"/>
        <v>13835840400</v>
      </c>
      <c r="AJ35" s="10">
        <f t="shared" si="4"/>
        <v>0</v>
      </c>
    </row>
    <row r="36" spans="1:36" ht="60" x14ac:dyDescent="0.25">
      <c r="A36" s="11" t="s">
        <v>133</v>
      </c>
      <c r="B36" s="11" t="s">
        <v>99</v>
      </c>
      <c r="C36" s="11" t="s">
        <v>134</v>
      </c>
      <c r="D36" s="17" t="s">
        <v>135</v>
      </c>
      <c r="E36" s="17" t="s">
        <v>136</v>
      </c>
      <c r="F36" s="17" t="s">
        <v>137</v>
      </c>
      <c r="G36" s="18">
        <v>8819837280</v>
      </c>
      <c r="H36" s="19"/>
      <c r="I36" s="19"/>
      <c r="J36" s="19"/>
      <c r="K36" s="19"/>
      <c r="L36" s="19"/>
      <c r="M36" s="19"/>
      <c r="N36" s="18">
        <v>8819837280</v>
      </c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>
        <f t="shared" si="3"/>
        <v>8819837280</v>
      </c>
      <c r="AJ36" s="10">
        <f t="shared" si="4"/>
        <v>0</v>
      </c>
    </row>
    <row r="37" spans="1:36" ht="30" x14ac:dyDescent="0.25">
      <c r="A37" s="184" t="s">
        <v>138</v>
      </c>
      <c r="B37" s="186" t="s">
        <v>116</v>
      </c>
      <c r="C37" s="186" t="s">
        <v>76</v>
      </c>
      <c r="D37" s="20" t="s">
        <v>327</v>
      </c>
      <c r="E37" s="69" t="s">
        <v>139</v>
      </c>
      <c r="F37" s="69" t="s">
        <v>140</v>
      </c>
      <c r="G37" s="14">
        <v>13626000</v>
      </c>
      <c r="H37" s="15"/>
      <c r="I37" s="15"/>
      <c r="J37" s="15"/>
      <c r="K37" s="15"/>
      <c r="L37" s="15"/>
      <c r="M37" s="15"/>
      <c r="N37" s="15">
        <v>13626000</v>
      </c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>
        <f>SUM(H37:AH37)</f>
        <v>13626000</v>
      </c>
      <c r="AJ37" s="10"/>
    </row>
    <row r="38" spans="1:36" x14ac:dyDescent="0.25">
      <c r="A38" s="196"/>
      <c r="B38" s="197"/>
      <c r="C38" s="197"/>
      <c r="D38" s="71" t="s">
        <v>328</v>
      </c>
      <c r="E38" s="72"/>
      <c r="F38" s="72"/>
      <c r="G38" s="67">
        <v>5450400000</v>
      </c>
      <c r="H38" s="68"/>
      <c r="I38" s="68"/>
      <c r="J38" s="68"/>
      <c r="K38" s="68"/>
      <c r="L38" s="68"/>
      <c r="M38" s="68"/>
      <c r="N38" s="68">
        <v>5450400000</v>
      </c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  <c r="AB38" s="68"/>
      <c r="AC38" s="68"/>
      <c r="AD38" s="68"/>
      <c r="AE38" s="68"/>
      <c r="AF38" s="68"/>
      <c r="AG38" s="68"/>
      <c r="AH38" s="68"/>
      <c r="AI38" s="68">
        <f>SUM(H38:AH38)</f>
        <v>5450400000</v>
      </c>
      <c r="AJ38" s="10">
        <f>AI37-G37</f>
        <v>0</v>
      </c>
    </row>
    <row r="39" spans="1:36" ht="30" x14ac:dyDescent="0.25">
      <c r="A39" s="11" t="s">
        <v>141</v>
      </c>
      <c r="B39" s="11" t="s">
        <v>142</v>
      </c>
      <c r="C39" s="11" t="s">
        <v>143</v>
      </c>
      <c r="D39" s="13" t="s">
        <v>144</v>
      </c>
      <c r="E39" s="13" t="s">
        <v>145</v>
      </c>
      <c r="F39" s="13" t="s">
        <v>146</v>
      </c>
      <c r="G39" s="14">
        <v>1526112000</v>
      </c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>
        <v>611316864</v>
      </c>
      <c r="S39" s="15">
        <v>914795136</v>
      </c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>
        <f t="shared" si="3"/>
        <v>1526112000</v>
      </c>
      <c r="AJ39" s="10">
        <f t="shared" si="4"/>
        <v>0</v>
      </c>
    </row>
    <row r="40" spans="1:36" ht="30" x14ac:dyDescent="0.25">
      <c r="A40" s="11" t="s">
        <v>147</v>
      </c>
      <c r="B40" s="11" t="s">
        <v>116</v>
      </c>
      <c r="C40" s="11" t="s">
        <v>148</v>
      </c>
      <c r="D40" s="13" t="s">
        <v>144</v>
      </c>
      <c r="E40" s="13" t="s">
        <v>145</v>
      </c>
      <c r="F40" s="13" t="s">
        <v>146</v>
      </c>
      <c r="G40" s="14">
        <v>1526112000</v>
      </c>
      <c r="H40" s="15"/>
      <c r="I40" s="15"/>
      <c r="J40" s="15"/>
      <c r="K40" s="15"/>
      <c r="L40" s="15"/>
      <c r="M40" s="15"/>
      <c r="N40" s="15"/>
      <c r="O40" s="15">
        <v>698523264</v>
      </c>
      <c r="P40" s="15">
        <v>827588736</v>
      </c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>
        <f t="shared" si="3"/>
        <v>1526112000</v>
      </c>
      <c r="AJ40" s="10">
        <f t="shared" si="4"/>
        <v>0</v>
      </c>
    </row>
    <row r="41" spans="1:36" ht="30" x14ac:dyDescent="0.25">
      <c r="A41" s="11" t="s">
        <v>149</v>
      </c>
      <c r="B41" s="11" t="s">
        <v>150</v>
      </c>
      <c r="C41" s="11" t="s">
        <v>151</v>
      </c>
      <c r="D41" s="13" t="s">
        <v>144</v>
      </c>
      <c r="E41" s="13" t="s">
        <v>145</v>
      </c>
      <c r="F41" s="13" t="s">
        <v>146</v>
      </c>
      <c r="G41" s="14">
        <v>1526112000</v>
      </c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>
        <v>44475264</v>
      </c>
      <c r="S41" s="15">
        <v>915667200</v>
      </c>
      <c r="T41" s="15">
        <v>565969536</v>
      </c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>
        <f t="shared" si="3"/>
        <v>1526112000</v>
      </c>
      <c r="AJ41" s="10">
        <f t="shared" si="4"/>
        <v>0</v>
      </c>
    </row>
    <row r="42" spans="1:36" ht="30" x14ac:dyDescent="0.25">
      <c r="A42" s="11" t="s">
        <v>152</v>
      </c>
      <c r="B42" s="11" t="s">
        <v>106</v>
      </c>
      <c r="C42" s="11" t="s">
        <v>150</v>
      </c>
      <c r="D42" s="13" t="s">
        <v>144</v>
      </c>
      <c r="E42" s="13" t="s">
        <v>145</v>
      </c>
      <c r="F42" s="13" t="s">
        <v>146</v>
      </c>
      <c r="G42" s="14">
        <v>1526112000</v>
      </c>
      <c r="H42" s="15"/>
      <c r="I42" s="15"/>
      <c r="J42" s="15"/>
      <c r="K42" s="15"/>
      <c r="L42" s="15"/>
      <c r="M42" s="15"/>
      <c r="N42" s="15"/>
      <c r="O42" s="15"/>
      <c r="P42" s="15"/>
      <c r="Q42" s="15">
        <v>567713664</v>
      </c>
      <c r="R42" s="15">
        <v>958398336</v>
      </c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>
        <f t="shared" si="3"/>
        <v>1526112000</v>
      </c>
      <c r="AJ42" s="10">
        <f t="shared" si="4"/>
        <v>0</v>
      </c>
    </row>
    <row r="43" spans="1:36" ht="30" x14ac:dyDescent="0.25">
      <c r="A43" s="11" t="s">
        <v>153</v>
      </c>
      <c r="B43" s="11" t="s">
        <v>143</v>
      </c>
      <c r="C43" s="11" t="s">
        <v>154</v>
      </c>
      <c r="D43" s="13" t="s">
        <v>144</v>
      </c>
      <c r="E43" s="13" t="s">
        <v>145</v>
      </c>
      <c r="F43" s="13" t="s">
        <v>146</v>
      </c>
      <c r="G43" s="14">
        <v>1526112000</v>
      </c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>
        <v>872064</v>
      </c>
      <c r="T43" s="15">
        <v>959270400</v>
      </c>
      <c r="U43" s="15">
        <v>565969536</v>
      </c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>
        <f t="shared" si="3"/>
        <v>1526112000</v>
      </c>
      <c r="AJ43" s="10">
        <f t="shared" si="4"/>
        <v>0</v>
      </c>
    </row>
    <row r="44" spans="1:36" ht="30" x14ac:dyDescent="0.25">
      <c r="A44" s="11" t="s">
        <v>155</v>
      </c>
      <c r="B44" s="11" t="s">
        <v>111</v>
      </c>
      <c r="C44" s="11" t="s">
        <v>156</v>
      </c>
      <c r="D44" s="13" t="s">
        <v>144</v>
      </c>
      <c r="E44" s="13" t="s">
        <v>157</v>
      </c>
      <c r="F44" s="13" t="s">
        <v>158</v>
      </c>
      <c r="G44" s="14">
        <v>959270400</v>
      </c>
      <c r="H44" s="15"/>
      <c r="I44" s="15"/>
      <c r="J44" s="15"/>
      <c r="K44" s="15"/>
      <c r="L44" s="15"/>
      <c r="M44" s="15"/>
      <c r="N44" s="15"/>
      <c r="O44" s="15">
        <v>524110464</v>
      </c>
      <c r="P44" s="15">
        <v>435159936</v>
      </c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>
        <f t="shared" si="3"/>
        <v>959270400</v>
      </c>
      <c r="AJ44" s="10">
        <f t="shared" si="4"/>
        <v>0</v>
      </c>
    </row>
    <row r="45" spans="1:36" ht="30" x14ac:dyDescent="0.25">
      <c r="A45" s="11" t="s">
        <v>159</v>
      </c>
      <c r="B45" s="11" t="s">
        <v>121</v>
      </c>
      <c r="C45" s="11" t="s">
        <v>142</v>
      </c>
      <c r="D45" s="13" t="s">
        <v>144</v>
      </c>
      <c r="E45" s="13" t="s">
        <v>160</v>
      </c>
      <c r="F45" s="13" t="s">
        <v>161</v>
      </c>
      <c r="G45" s="14">
        <v>1395302400</v>
      </c>
      <c r="H45" s="15"/>
      <c r="I45" s="15"/>
      <c r="J45" s="15"/>
      <c r="K45" s="15"/>
      <c r="L45" s="15"/>
      <c r="M45" s="15"/>
      <c r="N45" s="15"/>
      <c r="O45" s="15"/>
      <c r="P45" s="15">
        <v>131681664</v>
      </c>
      <c r="Q45" s="15">
        <v>872064000</v>
      </c>
      <c r="R45" s="15">
        <v>391556736</v>
      </c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>
        <f t="shared" si="3"/>
        <v>1395302400</v>
      </c>
      <c r="AJ45" s="10">
        <f t="shared" si="4"/>
        <v>0</v>
      </c>
    </row>
    <row r="46" spans="1:36" ht="30" x14ac:dyDescent="0.25">
      <c r="A46" s="11" t="s">
        <v>162</v>
      </c>
      <c r="B46" s="11" t="s">
        <v>142</v>
      </c>
      <c r="C46" s="11" t="s">
        <v>143</v>
      </c>
      <c r="D46" s="13" t="s">
        <v>144</v>
      </c>
      <c r="E46" s="13" t="s">
        <v>145</v>
      </c>
      <c r="F46" s="13" t="s">
        <v>146</v>
      </c>
      <c r="G46" s="14">
        <v>1526112000</v>
      </c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>
        <v>611316864</v>
      </c>
      <c r="S46" s="15">
        <v>914795136</v>
      </c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>
        <f t="shared" si="3"/>
        <v>1526112000</v>
      </c>
      <c r="AJ46" s="10">
        <f t="shared" si="4"/>
        <v>0</v>
      </c>
    </row>
    <row r="47" spans="1:36" ht="30" x14ac:dyDescent="0.25">
      <c r="A47" s="11" t="s">
        <v>163</v>
      </c>
      <c r="B47" s="11" t="s">
        <v>143</v>
      </c>
      <c r="C47" s="11" t="s">
        <v>154</v>
      </c>
      <c r="D47" s="13" t="s">
        <v>144</v>
      </c>
      <c r="E47" s="13" t="s">
        <v>145</v>
      </c>
      <c r="F47" s="13" t="s">
        <v>146</v>
      </c>
      <c r="G47" s="14">
        <v>1526112000</v>
      </c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>
        <v>872064</v>
      </c>
      <c r="T47" s="15">
        <v>959270400</v>
      </c>
      <c r="U47" s="15">
        <v>565969536</v>
      </c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>
        <f t="shared" si="3"/>
        <v>1526112000</v>
      </c>
      <c r="AJ47" s="10">
        <f t="shared" si="4"/>
        <v>0</v>
      </c>
    </row>
    <row r="48" spans="1:36" ht="30" x14ac:dyDescent="0.25">
      <c r="A48" s="11" t="s">
        <v>164</v>
      </c>
      <c r="B48" s="11" t="s">
        <v>111</v>
      </c>
      <c r="C48" s="11" t="s">
        <v>156</v>
      </c>
      <c r="D48" s="13" t="s">
        <v>144</v>
      </c>
      <c r="E48" s="13" t="s">
        <v>157</v>
      </c>
      <c r="F48" s="13" t="s">
        <v>158</v>
      </c>
      <c r="G48" s="14">
        <v>959270400</v>
      </c>
      <c r="H48" s="15"/>
      <c r="I48" s="15"/>
      <c r="J48" s="15"/>
      <c r="K48" s="15"/>
      <c r="L48" s="15"/>
      <c r="M48" s="15"/>
      <c r="N48" s="15"/>
      <c r="O48" s="15">
        <v>524110464</v>
      </c>
      <c r="P48" s="15">
        <v>435159936</v>
      </c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>
        <f t="shared" si="3"/>
        <v>959270400</v>
      </c>
      <c r="AJ48" s="10">
        <f t="shared" si="4"/>
        <v>0</v>
      </c>
    </row>
    <row r="49" spans="1:36" ht="30" x14ac:dyDescent="0.25">
      <c r="A49" s="11" t="s">
        <v>165</v>
      </c>
      <c r="B49" s="11" t="s">
        <v>121</v>
      </c>
      <c r="C49" s="11" t="s">
        <v>142</v>
      </c>
      <c r="D49" s="13" t="s">
        <v>144</v>
      </c>
      <c r="E49" s="13" t="s">
        <v>160</v>
      </c>
      <c r="F49" s="13" t="s">
        <v>161</v>
      </c>
      <c r="G49" s="14">
        <v>1395302400</v>
      </c>
      <c r="H49" s="15"/>
      <c r="I49" s="15"/>
      <c r="J49" s="15"/>
      <c r="K49" s="15"/>
      <c r="L49" s="15"/>
      <c r="M49" s="15"/>
      <c r="N49" s="15"/>
      <c r="O49" s="15"/>
      <c r="P49" s="15">
        <v>131681664</v>
      </c>
      <c r="Q49" s="15">
        <v>872064000</v>
      </c>
      <c r="R49" s="15">
        <v>391556736</v>
      </c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>
        <f t="shared" si="3"/>
        <v>1395302400</v>
      </c>
      <c r="AJ49" s="10">
        <f t="shared" si="4"/>
        <v>0</v>
      </c>
    </row>
    <row r="50" spans="1:36" ht="75" x14ac:dyDescent="0.25">
      <c r="A50" s="11" t="s">
        <v>130</v>
      </c>
      <c r="B50" s="11" t="s">
        <v>151</v>
      </c>
      <c r="C50" s="11" t="s">
        <v>166</v>
      </c>
      <c r="D50" s="13" t="s">
        <v>144</v>
      </c>
      <c r="E50" s="13" t="s">
        <v>167</v>
      </c>
      <c r="F50" s="13" t="s">
        <v>63</v>
      </c>
      <c r="G50" s="14">
        <v>1090080000</v>
      </c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>
        <v>393300864</v>
      </c>
      <c r="U50" s="15">
        <v>696779136</v>
      </c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>
        <f t="shared" si="3"/>
        <v>1090080000</v>
      </c>
      <c r="AJ50" s="10">
        <f t="shared" si="4"/>
        <v>0</v>
      </c>
    </row>
    <row r="51" spans="1:36" ht="30" x14ac:dyDescent="0.25">
      <c r="A51" s="11" t="s">
        <v>168</v>
      </c>
      <c r="B51" s="11" t="s">
        <v>166</v>
      </c>
      <c r="C51" s="11" t="s">
        <v>169</v>
      </c>
      <c r="D51" s="13" t="s">
        <v>170</v>
      </c>
      <c r="E51" s="13" t="s">
        <v>171</v>
      </c>
      <c r="F51" s="13" t="s">
        <v>172</v>
      </c>
      <c r="G51" s="14">
        <v>457833600</v>
      </c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>
        <v>183743885</v>
      </c>
      <c r="V51" s="15">
        <v>274089715</v>
      </c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>
        <f t="shared" si="3"/>
        <v>457833600</v>
      </c>
      <c r="AJ51" s="10">
        <f t="shared" si="4"/>
        <v>0</v>
      </c>
    </row>
    <row r="52" spans="1:36" ht="60" x14ac:dyDescent="0.25">
      <c r="A52" s="11" t="s">
        <v>173</v>
      </c>
      <c r="B52" s="11" t="s">
        <v>169</v>
      </c>
      <c r="C52" s="11" t="s">
        <v>174</v>
      </c>
      <c r="D52" s="13" t="s">
        <v>175</v>
      </c>
      <c r="E52" s="13" t="s">
        <v>176</v>
      </c>
      <c r="F52" s="13" t="s">
        <v>177</v>
      </c>
      <c r="G52" s="14">
        <v>819740160</v>
      </c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>
        <v>819740160</v>
      </c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>
        <f t="shared" si="3"/>
        <v>819740160</v>
      </c>
      <c r="AJ52" s="10">
        <f t="shared" si="4"/>
        <v>0</v>
      </c>
    </row>
    <row r="53" spans="1:36" ht="30" x14ac:dyDescent="0.25">
      <c r="A53" s="11" t="s">
        <v>178</v>
      </c>
      <c r="B53" s="11" t="s">
        <v>174</v>
      </c>
      <c r="C53" s="11" t="s">
        <v>76</v>
      </c>
      <c r="D53" s="13" t="s">
        <v>179</v>
      </c>
      <c r="E53" s="13" t="s">
        <v>180</v>
      </c>
      <c r="F53" s="13" t="s">
        <v>181</v>
      </c>
      <c r="G53" s="14">
        <v>2354572800</v>
      </c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>
        <v>525854592</v>
      </c>
      <c r="W53" s="15">
        <v>1828718208</v>
      </c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>
        <f t="shared" si="3"/>
        <v>2354572800</v>
      </c>
      <c r="AJ53" s="10">
        <f t="shared" si="4"/>
        <v>0</v>
      </c>
    </row>
    <row r="54" spans="1:36" ht="30" x14ac:dyDescent="0.25">
      <c r="A54" s="7" t="s">
        <v>182</v>
      </c>
      <c r="B54" s="7" t="s">
        <v>23</v>
      </c>
      <c r="C54" s="7" t="s">
        <v>183</v>
      </c>
      <c r="D54" s="20" t="s">
        <v>330</v>
      </c>
      <c r="E54" s="69" t="s">
        <v>184</v>
      </c>
      <c r="F54" s="69" t="s">
        <v>185</v>
      </c>
      <c r="G54" s="14">
        <v>267069600</v>
      </c>
      <c r="H54" s="15"/>
      <c r="I54" s="15"/>
      <c r="J54" s="15"/>
      <c r="K54" s="15"/>
      <c r="L54" s="15"/>
      <c r="M54" s="15"/>
      <c r="N54" s="15">
        <v>19076400</v>
      </c>
      <c r="O54" s="15">
        <f t="shared" ref="O54:AA54" si="5">N54</f>
        <v>19076400</v>
      </c>
      <c r="P54" s="15">
        <f t="shared" si="5"/>
        <v>19076400</v>
      </c>
      <c r="Q54" s="15">
        <f t="shared" si="5"/>
        <v>19076400</v>
      </c>
      <c r="R54" s="15">
        <f t="shared" si="5"/>
        <v>19076400</v>
      </c>
      <c r="S54" s="15">
        <f t="shared" si="5"/>
        <v>19076400</v>
      </c>
      <c r="T54" s="15">
        <f t="shared" si="5"/>
        <v>19076400</v>
      </c>
      <c r="U54" s="15">
        <f t="shared" si="5"/>
        <v>19076400</v>
      </c>
      <c r="V54" s="15">
        <f t="shared" si="5"/>
        <v>19076400</v>
      </c>
      <c r="W54" s="15">
        <f t="shared" si="5"/>
        <v>19076400</v>
      </c>
      <c r="X54" s="15">
        <f t="shared" si="5"/>
        <v>19076400</v>
      </c>
      <c r="Y54" s="15">
        <f t="shared" si="5"/>
        <v>19076400</v>
      </c>
      <c r="Z54" s="15">
        <f t="shared" si="5"/>
        <v>19076400</v>
      </c>
      <c r="AA54" s="15">
        <f t="shared" si="5"/>
        <v>19076400</v>
      </c>
      <c r="AB54" s="15"/>
      <c r="AC54" s="15"/>
      <c r="AD54" s="15"/>
      <c r="AE54" s="15"/>
      <c r="AF54" s="15"/>
      <c r="AG54" s="15"/>
      <c r="AH54" s="15"/>
      <c r="AI54" s="15">
        <f t="shared" si="3"/>
        <v>267069600</v>
      </c>
      <c r="AJ54" s="10">
        <f t="shared" si="4"/>
        <v>0</v>
      </c>
    </row>
    <row r="55" spans="1:36" x14ac:dyDescent="0.25">
      <c r="A55" s="184" t="s">
        <v>186</v>
      </c>
      <c r="B55" s="186" t="s">
        <v>23</v>
      </c>
      <c r="C55" s="186" t="s">
        <v>187</v>
      </c>
      <c r="D55" s="65" t="s">
        <v>326</v>
      </c>
      <c r="E55" s="66" t="s">
        <v>188</v>
      </c>
      <c r="F55" s="66" t="s">
        <v>189</v>
      </c>
      <c r="G55" s="67">
        <v>272520000</v>
      </c>
      <c r="H55" s="68"/>
      <c r="I55" s="68"/>
      <c r="J55" s="68"/>
      <c r="K55" s="68"/>
      <c r="L55" s="68">
        <v>272520000</v>
      </c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  <c r="AA55" s="68"/>
      <c r="AB55" s="68"/>
      <c r="AC55" s="68"/>
      <c r="AD55" s="68"/>
      <c r="AE55" s="68"/>
      <c r="AF55" s="68"/>
      <c r="AG55" s="68"/>
      <c r="AH55" s="68"/>
      <c r="AI55" s="68">
        <f t="shared" si="3"/>
        <v>272520000</v>
      </c>
      <c r="AJ55" s="10">
        <f t="shared" si="4"/>
        <v>0</v>
      </c>
    </row>
    <row r="56" spans="1:36" ht="30" x14ac:dyDescent="0.25">
      <c r="A56" s="185"/>
      <c r="B56" s="187"/>
      <c r="C56" s="187"/>
      <c r="D56" s="73" t="s">
        <v>329</v>
      </c>
      <c r="E56" s="74"/>
      <c r="F56" s="74"/>
      <c r="G56" s="25">
        <v>3891585600</v>
      </c>
      <c r="H56" s="26"/>
      <c r="I56" s="26"/>
      <c r="J56" s="26"/>
      <c r="K56" s="26"/>
      <c r="L56" s="26"/>
      <c r="M56" s="26">
        <v>3891585600</v>
      </c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>
        <f t="shared" si="3"/>
        <v>3891585600</v>
      </c>
      <c r="AJ56" s="10">
        <f t="shared" si="4"/>
        <v>0</v>
      </c>
    </row>
    <row r="57" spans="1:36" ht="30" x14ac:dyDescent="0.25">
      <c r="A57" s="185"/>
      <c r="B57" s="187"/>
      <c r="C57" s="187"/>
      <c r="D57" s="20" t="s">
        <v>331</v>
      </c>
      <c r="E57" s="69"/>
      <c r="F57" s="69"/>
      <c r="G57" s="14">
        <v>27252000</v>
      </c>
      <c r="H57" s="15"/>
      <c r="I57" s="15"/>
      <c r="J57" s="15"/>
      <c r="K57" s="15"/>
      <c r="L57" s="15"/>
      <c r="M57" s="15">
        <v>13626000</v>
      </c>
      <c r="N57" s="15"/>
      <c r="O57" s="15"/>
      <c r="P57" s="15"/>
      <c r="Q57" s="15"/>
      <c r="R57" s="15">
        <v>13626000</v>
      </c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>
        <f t="shared" ref="AI57:AI58" si="6">SUM(H57:AH57)</f>
        <v>27252000</v>
      </c>
      <c r="AJ57" s="10">
        <f t="shared" si="4"/>
        <v>0</v>
      </c>
    </row>
    <row r="58" spans="1:36" ht="30" x14ac:dyDescent="0.25">
      <c r="A58" s="185"/>
      <c r="B58" s="187"/>
      <c r="C58" s="187"/>
      <c r="D58" s="20" t="s">
        <v>327</v>
      </c>
      <c r="E58" s="69" t="s">
        <v>139</v>
      </c>
      <c r="F58" s="69" t="s">
        <v>140</v>
      </c>
      <c r="G58" s="14">
        <v>13626000</v>
      </c>
      <c r="H58" s="15"/>
      <c r="I58" s="15"/>
      <c r="J58" s="15"/>
      <c r="K58" s="15"/>
      <c r="L58" s="15"/>
      <c r="M58" s="15">
        <v>13626000</v>
      </c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>
        <f t="shared" si="6"/>
        <v>13626000</v>
      </c>
      <c r="AJ58" s="10">
        <f t="shared" si="4"/>
        <v>0</v>
      </c>
    </row>
    <row r="59" spans="1:36" x14ac:dyDescent="0.25">
      <c r="A59" s="196"/>
      <c r="B59" s="197"/>
      <c r="C59" s="197"/>
      <c r="D59" s="73" t="s">
        <v>332</v>
      </c>
      <c r="E59" s="74"/>
      <c r="F59" s="74"/>
      <c r="G59" s="25">
        <v>35427000000</v>
      </c>
      <c r="H59" s="26"/>
      <c r="I59" s="26"/>
      <c r="J59" s="26"/>
      <c r="K59" s="26"/>
      <c r="L59" s="26"/>
      <c r="M59" s="26">
        <f>G59</f>
        <v>35427000000</v>
      </c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>
        <f t="shared" si="3"/>
        <v>35427000000</v>
      </c>
      <c r="AJ59" s="10">
        <f t="shared" si="4"/>
        <v>0</v>
      </c>
    </row>
    <row r="60" spans="1:36" ht="30" x14ac:dyDescent="0.25">
      <c r="A60" s="11" t="s">
        <v>190</v>
      </c>
      <c r="B60" s="11" t="s">
        <v>23</v>
      </c>
      <c r="C60" s="11" t="s">
        <v>191</v>
      </c>
      <c r="D60" s="24" t="s">
        <v>192</v>
      </c>
      <c r="E60" s="24" t="s">
        <v>81</v>
      </c>
      <c r="F60" s="24" t="s">
        <v>172</v>
      </c>
      <c r="G60" s="25">
        <v>18347040000</v>
      </c>
      <c r="H60" s="26"/>
      <c r="I60" s="26"/>
      <c r="J60" s="26"/>
      <c r="K60" s="26"/>
      <c r="L60" s="26"/>
      <c r="M60" s="26">
        <v>611568000</v>
      </c>
      <c r="N60" s="26">
        <v>17735472000</v>
      </c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>
        <f t="shared" si="3"/>
        <v>18347040000</v>
      </c>
      <c r="AJ60" s="10">
        <f t="shared" si="4"/>
        <v>0</v>
      </c>
    </row>
    <row r="61" spans="1:36" ht="45" x14ac:dyDescent="0.25">
      <c r="A61" s="11" t="s">
        <v>193</v>
      </c>
      <c r="B61" s="11" t="s">
        <v>191</v>
      </c>
      <c r="C61" s="11" t="s">
        <v>121</v>
      </c>
      <c r="D61" s="24" t="s">
        <v>194</v>
      </c>
      <c r="E61" s="24" t="s">
        <v>195</v>
      </c>
      <c r="F61" s="24" t="s">
        <v>196</v>
      </c>
      <c r="G61" s="25">
        <v>39751920000</v>
      </c>
      <c r="H61" s="26"/>
      <c r="I61" s="26"/>
      <c r="J61" s="26"/>
      <c r="K61" s="26"/>
      <c r="L61" s="26"/>
      <c r="M61" s="26"/>
      <c r="N61" s="26">
        <v>6211237500</v>
      </c>
      <c r="O61" s="26">
        <v>19047795000</v>
      </c>
      <c r="P61" s="26">
        <v>14492887500</v>
      </c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>
        <f t="shared" si="3"/>
        <v>39751920000</v>
      </c>
      <c r="AJ61" s="10">
        <f t="shared" si="4"/>
        <v>0</v>
      </c>
    </row>
    <row r="62" spans="1:36" x14ac:dyDescent="0.25">
      <c r="A62" s="11" t="s">
        <v>197</v>
      </c>
      <c r="B62" s="11" t="s">
        <v>198</v>
      </c>
      <c r="C62" s="11" t="s">
        <v>199</v>
      </c>
      <c r="D62" s="24" t="s">
        <v>200</v>
      </c>
      <c r="E62" s="24" t="s">
        <v>201</v>
      </c>
      <c r="F62" s="24" t="s">
        <v>202</v>
      </c>
      <c r="G62" s="25">
        <v>122313600000</v>
      </c>
      <c r="H62" s="26"/>
      <c r="I62" s="26"/>
      <c r="J62" s="26"/>
      <c r="K62" s="26"/>
      <c r="L62" s="26"/>
      <c r="M62" s="26"/>
      <c r="N62" s="26"/>
      <c r="O62" s="26">
        <f>122313600000/480*148</f>
        <v>37713360000</v>
      </c>
      <c r="P62" s="26">
        <f>122313600000/480*168</f>
        <v>42809760000</v>
      </c>
      <c r="Q62" s="26">
        <f>122313600000/480*160</f>
        <v>40771200000</v>
      </c>
      <c r="R62" s="26">
        <f>122313600000/480*4</f>
        <v>1019280000</v>
      </c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>
        <f t="shared" si="3"/>
        <v>122313600000</v>
      </c>
      <c r="AJ62" s="10">
        <f t="shared" si="4"/>
        <v>0</v>
      </c>
    </row>
    <row r="63" spans="1:36" x14ac:dyDescent="0.25">
      <c r="A63" s="11" t="s">
        <v>203</v>
      </c>
      <c r="B63" s="11" t="s">
        <v>204</v>
      </c>
      <c r="C63" s="11" t="s">
        <v>205</v>
      </c>
      <c r="D63" s="24" t="s">
        <v>206</v>
      </c>
      <c r="E63" s="24" t="s">
        <v>201</v>
      </c>
      <c r="F63" s="24" t="s">
        <v>202</v>
      </c>
      <c r="G63" s="25">
        <v>61156800000</v>
      </c>
      <c r="H63" s="26"/>
      <c r="I63" s="26"/>
      <c r="J63" s="26"/>
      <c r="K63" s="26"/>
      <c r="L63" s="26"/>
      <c r="M63" s="26"/>
      <c r="N63" s="26"/>
      <c r="O63" s="26">
        <f>61156800000/480*28</f>
        <v>3567480000</v>
      </c>
      <c r="P63" s="26">
        <f>61156800000/480*168</f>
        <v>21404880000</v>
      </c>
      <c r="Q63" s="26">
        <f>61156800000/480*160</f>
        <v>20385600000</v>
      </c>
      <c r="R63" s="26">
        <f>61156800000/480*124</f>
        <v>15798840000</v>
      </c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>
        <f t="shared" si="3"/>
        <v>61156800000</v>
      </c>
      <c r="AJ63" s="10">
        <f t="shared" si="4"/>
        <v>0</v>
      </c>
    </row>
    <row r="64" spans="1:36" x14ac:dyDescent="0.25">
      <c r="A64" s="11" t="s">
        <v>207</v>
      </c>
      <c r="B64" s="11" t="s">
        <v>208</v>
      </c>
      <c r="C64" s="11" t="s">
        <v>209</v>
      </c>
      <c r="D64" s="24" t="s">
        <v>210</v>
      </c>
      <c r="E64" s="24" t="s">
        <v>211</v>
      </c>
      <c r="F64" s="24" t="s">
        <v>212</v>
      </c>
      <c r="G64" s="25">
        <v>1266455400</v>
      </c>
      <c r="H64" s="26"/>
      <c r="I64" s="26"/>
      <c r="J64" s="26"/>
      <c r="K64" s="26"/>
      <c r="L64" s="26"/>
      <c r="M64" s="26"/>
      <c r="N64" s="26"/>
      <c r="O64" s="26"/>
      <c r="P64" s="26">
        <v>1266455400</v>
      </c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>
        <f t="shared" si="3"/>
        <v>1266455400</v>
      </c>
      <c r="AJ64" s="10">
        <f t="shared" si="4"/>
        <v>0</v>
      </c>
    </row>
    <row r="65" spans="1:36" ht="30" x14ac:dyDescent="0.25">
      <c r="A65" s="11" t="s">
        <v>213</v>
      </c>
      <c r="B65" s="11" t="s">
        <v>214</v>
      </c>
      <c r="C65" s="11" t="s">
        <v>215</v>
      </c>
      <c r="D65" s="24" t="s">
        <v>216</v>
      </c>
      <c r="E65" s="24" t="s">
        <v>195</v>
      </c>
      <c r="F65" s="24" t="s">
        <v>196</v>
      </c>
      <c r="G65" s="25">
        <v>48925440000</v>
      </c>
      <c r="H65" s="26"/>
      <c r="I65" s="26"/>
      <c r="J65" s="26"/>
      <c r="K65" s="26"/>
      <c r="L65" s="26"/>
      <c r="M65" s="26"/>
      <c r="N65" s="26"/>
      <c r="O65" s="26"/>
      <c r="P65" s="26">
        <f>48925440000/384*57.6</f>
        <v>7338816000</v>
      </c>
      <c r="Q65" s="26">
        <f>48925440000/384*160</f>
        <v>20385600000</v>
      </c>
      <c r="R65" s="26">
        <f>48925440000/384*166.4</f>
        <v>21201024000</v>
      </c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>
        <f t="shared" si="3"/>
        <v>48925440000</v>
      </c>
      <c r="AJ65" s="10">
        <f t="shared" si="4"/>
        <v>0</v>
      </c>
    </row>
    <row r="66" spans="1:36" ht="30" x14ac:dyDescent="0.25">
      <c r="A66" s="11" t="s">
        <v>217</v>
      </c>
      <c r="B66" s="11" t="s">
        <v>218</v>
      </c>
      <c r="C66" s="11" t="s">
        <v>187</v>
      </c>
      <c r="D66" s="24" t="s">
        <v>219</v>
      </c>
      <c r="E66" s="24" t="s">
        <v>220</v>
      </c>
      <c r="F66" s="24" t="s">
        <v>221</v>
      </c>
      <c r="G66" s="25">
        <v>103966560000</v>
      </c>
      <c r="H66" s="26"/>
      <c r="I66" s="26"/>
      <c r="J66" s="26"/>
      <c r="K66" s="26"/>
      <c r="L66" s="26"/>
      <c r="M66" s="26"/>
      <c r="N66" s="26"/>
      <c r="O66" s="26"/>
      <c r="P66" s="26"/>
      <c r="Q66" s="26">
        <f>103966560000/1280*121.6</f>
        <v>9876823200</v>
      </c>
      <c r="R66" s="26">
        <f>103966560000/1280*184</f>
        <v>14945193000</v>
      </c>
      <c r="S66" s="26">
        <f>103966560000/1280*168</f>
        <v>13645611000</v>
      </c>
      <c r="T66" s="26">
        <f>103966560000/1280*176</f>
        <v>14295402000</v>
      </c>
      <c r="U66" s="26">
        <f>103966560000/1280*176</f>
        <v>14295402000</v>
      </c>
      <c r="V66" s="26">
        <f>103966560000/1280*168</f>
        <v>13645611000</v>
      </c>
      <c r="W66" s="26">
        <f>103966560000/1280*184</f>
        <v>14945193000</v>
      </c>
      <c r="X66" s="26">
        <f>103966560000/1280*102.4</f>
        <v>8317324800</v>
      </c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>
        <f t="shared" si="3"/>
        <v>103966560000</v>
      </c>
      <c r="AJ66" s="10">
        <f t="shared" si="4"/>
        <v>0</v>
      </c>
    </row>
    <row r="67" spans="1:36" ht="30" x14ac:dyDescent="0.25">
      <c r="A67" s="11" t="s">
        <v>222</v>
      </c>
      <c r="B67" s="78" t="s">
        <v>333</v>
      </c>
      <c r="C67" s="78" t="s">
        <v>334</v>
      </c>
      <c r="D67" s="24" t="s">
        <v>223</v>
      </c>
      <c r="E67" s="24" t="s">
        <v>224</v>
      </c>
      <c r="F67" s="24" t="s">
        <v>225</v>
      </c>
      <c r="G67" s="25">
        <v>33636240000</v>
      </c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>
        <f>33636240000/640*9.6</f>
        <v>504543600</v>
      </c>
      <c r="U67" s="26">
        <f>33636240000/640*176</f>
        <v>9249966000</v>
      </c>
      <c r="V67" s="26">
        <f>33636240000/640*168</f>
        <v>8829513000</v>
      </c>
      <c r="W67" s="26">
        <f>33636240000/640*184</f>
        <v>9670419000</v>
      </c>
      <c r="X67" s="26">
        <f>33636240000/640*102.4</f>
        <v>5381798400</v>
      </c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>
        <f t="shared" si="3"/>
        <v>33636240000</v>
      </c>
      <c r="AJ67" s="10">
        <f t="shared" si="4"/>
        <v>0</v>
      </c>
    </row>
    <row r="68" spans="1:36" x14ac:dyDescent="0.25">
      <c r="A68" s="7" t="s">
        <v>226</v>
      </c>
      <c r="B68" s="7" t="s">
        <v>227</v>
      </c>
      <c r="C68" s="7" t="s">
        <v>228</v>
      </c>
      <c r="D68" s="8"/>
      <c r="E68" s="7" t="s">
        <v>229</v>
      </c>
      <c r="F68" s="7" t="s">
        <v>230</v>
      </c>
      <c r="G68" s="9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>
        <f t="shared" si="3"/>
        <v>0</v>
      </c>
      <c r="AJ68" s="10">
        <f t="shared" si="4"/>
        <v>0</v>
      </c>
    </row>
    <row r="69" spans="1:36" ht="23.45" customHeight="1" x14ac:dyDescent="0.25">
      <c r="A69" s="11" t="s">
        <v>231</v>
      </c>
      <c r="B69" s="11" t="s">
        <v>227</v>
      </c>
      <c r="C69" s="11" t="s">
        <v>232</v>
      </c>
      <c r="D69" s="24" t="s">
        <v>233</v>
      </c>
      <c r="E69" s="24" t="s">
        <v>167</v>
      </c>
      <c r="F69" s="24" t="s">
        <v>63</v>
      </c>
      <c r="G69" s="25">
        <v>835273800</v>
      </c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>
        <v>0</v>
      </c>
      <c r="X69" s="25">
        <v>835273800</v>
      </c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>
        <f t="shared" si="3"/>
        <v>835273800</v>
      </c>
      <c r="AJ69" s="10">
        <f t="shared" si="4"/>
        <v>0</v>
      </c>
    </row>
    <row r="70" spans="1:36" ht="24.6" customHeight="1" x14ac:dyDescent="0.25">
      <c r="A70" s="11" t="s">
        <v>231</v>
      </c>
      <c r="B70" s="11" t="s">
        <v>234</v>
      </c>
      <c r="C70" s="11" t="s">
        <v>235</v>
      </c>
      <c r="D70" s="24" t="s">
        <v>236</v>
      </c>
      <c r="E70" s="24" t="s">
        <v>167</v>
      </c>
      <c r="F70" s="24" t="s">
        <v>63</v>
      </c>
      <c r="G70" s="25">
        <v>535501800</v>
      </c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>
        <v>0</v>
      </c>
      <c r="Y70" s="25">
        <v>535501800</v>
      </c>
      <c r="Z70" s="26"/>
      <c r="AA70" s="26"/>
      <c r="AB70" s="26"/>
      <c r="AC70" s="26"/>
      <c r="AD70" s="26"/>
      <c r="AE70" s="26"/>
      <c r="AF70" s="26"/>
      <c r="AG70" s="26"/>
      <c r="AH70" s="26"/>
      <c r="AI70" s="26">
        <f t="shared" si="3"/>
        <v>535501800</v>
      </c>
      <c r="AJ70" s="10">
        <f t="shared" si="4"/>
        <v>0</v>
      </c>
    </row>
    <row r="71" spans="1:36" ht="25.9" customHeight="1" x14ac:dyDescent="0.25">
      <c r="A71" s="11" t="s">
        <v>231</v>
      </c>
      <c r="B71" s="11" t="s">
        <v>187</v>
      </c>
      <c r="C71" s="11" t="s">
        <v>228</v>
      </c>
      <c r="D71" s="24" t="s">
        <v>237</v>
      </c>
      <c r="E71" s="24" t="s">
        <v>167</v>
      </c>
      <c r="F71" s="24" t="s">
        <v>63</v>
      </c>
      <c r="G71" s="25">
        <v>602269200</v>
      </c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>
        <v>0</v>
      </c>
      <c r="Y71" s="25">
        <v>602269200</v>
      </c>
      <c r="Z71" s="26"/>
      <c r="AA71" s="26"/>
      <c r="AB71" s="26"/>
      <c r="AC71" s="26"/>
      <c r="AD71" s="26"/>
      <c r="AE71" s="26"/>
      <c r="AF71" s="26"/>
      <c r="AG71" s="26"/>
      <c r="AH71" s="26"/>
      <c r="AI71" s="26">
        <f t="shared" si="3"/>
        <v>602269200</v>
      </c>
      <c r="AJ71" s="10">
        <f t="shared" si="4"/>
        <v>0</v>
      </c>
    </row>
    <row r="72" spans="1:36" ht="30" x14ac:dyDescent="0.25">
      <c r="A72" s="184" t="s">
        <v>238</v>
      </c>
      <c r="B72" s="186" t="s">
        <v>187</v>
      </c>
      <c r="C72" s="186" t="s">
        <v>183</v>
      </c>
      <c r="D72" s="20" t="s">
        <v>327</v>
      </c>
      <c r="E72" s="69" t="s">
        <v>139</v>
      </c>
      <c r="F72" s="69" t="s">
        <v>140</v>
      </c>
      <c r="G72" s="14">
        <v>13626000</v>
      </c>
      <c r="H72" s="15"/>
      <c r="I72" s="15"/>
      <c r="J72" s="15"/>
      <c r="K72" s="15"/>
      <c r="L72" s="15"/>
      <c r="M72" s="15"/>
      <c r="N72" s="15">
        <v>13626000</v>
      </c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>
        <f t="shared" si="3"/>
        <v>13626000</v>
      </c>
      <c r="AJ72" s="10">
        <f t="shared" si="4"/>
        <v>0</v>
      </c>
    </row>
    <row r="73" spans="1:36" ht="30" x14ac:dyDescent="0.25">
      <c r="A73" s="185"/>
      <c r="B73" s="187"/>
      <c r="C73" s="187"/>
      <c r="D73" s="20" t="s">
        <v>331</v>
      </c>
      <c r="E73" s="69"/>
      <c r="F73" s="69"/>
      <c r="G73" s="14">
        <v>27252000</v>
      </c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>
        <v>13626000</v>
      </c>
      <c r="Y73" s="15"/>
      <c r="Z73" s="15">
        <v>13626000</v>
      </c>
      <c r="AA73" s="15"/>
      <c r="AB73" s="15"/>
      <c r="AC73" s="15"/>
      <c r="AD73" s="15"/>
      <c r="AE73" s="15"/>
      <c r="AF73" s="15"/>
      <c r="AG73" s="15"/>
      <c r="AH73" s="15"/>
      <c r="AI73" s="15">
        <f t="shared" si="3"/>
        <v>27252000</v>
      </c>
      <c r="AJ73" s="10">
        <f t="shared" ref="AJ73" si="7">AI73-G73</f>
        <v>0</v>
      </c>
    </row>
    <row r="74" spans="1:36" ht="30" x14ac:dyDescent="0.25">
      <c r="A74" s="11" t="s">
        <v>141</v>
      </c>
      <c r="B74" s="11" t="s">
        <v>187</v>
      </c>
      <c r="C74" s="11" t="s">
        <v>239</v>
      </c>
      <c r="D74" s="24" t="s">
        <v>240</v>
      </c>
      <c r="E74" s="24" t="s">
        <v>241</v>
      </c>
      <c r="F74" s="24" t="s">
        <v>242</v>
      </c>
      <c r="G74" s="25">
        <v>156481320</v>
      </c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>
        <v>95024960</v>
      </c>
      <c r="Y74" s="26">
        <v>61456360</v>
      </c>
      <c r="Z74" s="26"/>
      <c r="AA74" s="26"/>
      <c r="AB74" s="26"/>
      <c r="AC74" s="26"/>
      <c r="AD74" s="26"/>
      <c r="AE74" s="26"/>
      <c r="AF74" s="26"/>
      <c r="AG74" s="26"/>
      <c r="AH74" s="26"/>
      <c r="AI74" s="26">
        <f t="shared" si="3"/>
        <v>156481320</v>
      </c>
      <c r="AJ74" s="10">
        <f t="shared" si="4"/>
        <v>0</v>
      </c>
    </row>
    <row r="75" spans="1:36" ht="30" x14ac:dyDescent="0.25">
      <c r="A75" s="11" t="s">
        <v>147</v>
      </c>
      <c r="B75" s="11" t="s">
        <v>243</v>
      </c>
      <c r="C75" s="11" t="s">
        <v>244</v>
      </c>
      <c r="D75" s="24" t="s">
        <v>240</v>
      </c>
      <c r="E75" s="24" t="s">
        <v>245</v>
      </c>
      <c r="F75" s="24" t="s">
        <v>246</v>
      </c>
      <c r="G75" s="25">
        <v>167223272</v>
      </c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>
        <v>21380616</v>
      </c>
      <c r="Z75" s="26">
        <v>145842656</v>
      </c>
      <c r="AA75" s="26"/>
      <c r="AB75" s="26"/>
      <c r="AC75" s="26"/>
      <c r="AD75" s="26"/>
      <c r="AE75" s="26"/>
      <c r="AF75" s="26"/>
      <c r="AG75" s="26"/>
      <c r="AH75" s="26"/>
      <c r="AI75" s="26">
        <f t="shared" ref="AI75:AI99" si="8">SUM(H75:AH75)</f>
        <v>167223272</v>
      </c>
      <c r="AJ75" s="10">
        <f t="shared" ref="AJ75:AJ99" si="9">AI75-G75</f>
        <v>0</v>
      </c>
    </row>
    <row r="76" spans="1:36" ht="30" x14ac:dyDescent="0.25">
      <c r="A76" s="11" t="s">
        <v>149</v>
      </c>
      <c r="B76" s="11" t="s">
        <v>187</v>
      </c>
      <c r="C76" s="11" t="s">
        <v>239</v>
      </c>
      <c r="D76" s="24" t="s">
        <v>240</v>
      </c>
      <c r="E76" s="24" t="s">
        <v>241</v>
      </c>
      <c r="F76" s="24" t="s">
        <v>242</v>
      </c>
      <c r="G76" s="25">
        <v>156481320</v>
      </c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>
        <v>95024960</v>
      </c>
      <c r="Y76" s="26">
        <v>61456360</v>
      </c>
      <c r="Z76" s="26"/>
      <c r="AA76" s="26"/>
      <c r="AB76" s="26"/>
      <c r="AC76" s="26"/>
      <c r="AD76" s="26"/>
      <c r="AE76" s="26"/>
      <c r="AF76" s="26"/>
      <c r="AG76" s="26"/>
      <c r="AH76" s="26"/>
      <c r="AI76" s="26">
        <f t="shared" si="8"/>
        <v>156481320</v>
      </c>
      <c r="AJ76" s="10">
        <f t="shared" si="9"/>
        <v>0</v>
      </c>
    </row>
    <row r="77" spans="1:36" ht="30" x14ac:dyDescent="0.25">
      <c r="A77" s="11" t="s">
        <v>152</v>
      </c>
      <c r="B77" s="11" t="s">
        <v>239</v>
      </c>
      <c r="C77" s="11" t="s">
        <v>243</v>
      </c>
      <c r="D77" s="24" t="s">
        <v>240</v>
      </c>
      <c r="E77" s="24" t="s">
        <v>247</v>
      </c>
      <c r="F77" s="24" t="s">
        <v>248</v>
      </c>
      <c r="G77" s="25">
        <v>134067824</v>
      </c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>
        <v>134067824</v>
      </c>
      <c r="Z77" s="26"/>
      <c r="AA77" s="26"/>
      <c r="AB77" s="26"/>
      <c r="AC77" s="26"/>
      <c r="AD77" s="26"/>
      <c r="AE77" s="26"/>
      <c r="AF77" s="26"/>
      <c r="AG77" s="26"/>
      <c r="AH77" s="26"/>
      <c r="AI77" s="26">
        <f t="shared" si="8"/>
        <v>134067824</v>
      </c>
      <c r="AJ77" s="10">
        <f t="shared" si="9"/>
        <v>0</v>
      </c>
    </row>
    <row r="78" spans="1:36" ht="30" x14ac:dyDescent="0.25">
      <c r="A78" s="11" t="s">
        <v>153</v>
      </c>
      <c r="B78" s="11" t="s">
        <v>187</v>
      </c>
      <c r="C78" s="11" t="s">
        <v>239</v>
      </c>
      <c r="D78" s="24" t="s">
        <v>240</v>
      </c>
      <c r="E78" s="24" t="s">
        <v>241</v>
      </c>
      <c r="F78" s="24" t="s">
        <v>242</v>
      </c>
      <c r="G78" s="25">
        <v>156481320</v>
      </c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>
        <v>95024960</v>
      </c>
      <c r="Y78" s="26">
        <v>61456360</v>
      </c>
      <c r="Z78" s="26"/>
      <c r="AA78" s="26"/>
      <c r="AB78" s="26"/>
      <c r="AC78" s="26"/>
      <c r="AD78" s="26"/>
      <c r="AE78" s="26"/>
      <c r="AF78" s="26"/>
      <c r="AG78" s="26"/>
      <c r="AH78" s="26"/>
      <c r="AI78" s="26">
        <f t="shared" si="8"/>
        <v>156481320</v>
      </c>
      <c r="AJ78" s="10">
        <f t="shared" si="9"/>
        <v>0</v>
      </c>
    </row>
    <row r="79" spans="1:36" ht="30" x14ac:dyDescent="0.25">
      <c r="A79" s="11" t="s">
        <v>155</v>
      </c>
      <c r="B79" s="11" t="s">
        <v>239</v>
      </c>
      <c r="C79" s="11" t="s">
        <v>243</v>
      </c>
      <c r="D79" s="24" t="s">
        <v>240</v>
      </c>
      <c r="E79" s="24" t="s">
        <v>247</v>
      </c>
      <c r="F79" s="24" t="s">
        <v>248</v>
      </c>
      <c r="G79" s="25">
        <v>134067824</v>
      </c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>
        <v>134067824</v>
      </c>
      <c r="Z79" s="26"/>
      <c r="AA79" s="26"/>
      <c r="AB79" s="26"/>
      <c r="AC79" s="26"/>
      <c r="AD79" s="26"/>
      <c r="AE79" s="26"/>
      <c r="AF79" s="26"/>
      <c r="AG79" s="26"/>
      <c r="AH79" s="26"/>
      <c r="AI79" s="26">
        <f t="shared" si="8"/>
        <v>134067824</v>
      </c>
      <c r="AJ79" s="10">
        <f t="shared" si="9"/>
        <v>0</v>
      </c>
    </row>
    <row r="80" spans="1:36" ht="30" x14ac:dyDescent="0.25">
      <c r="A80" s="11" t="s">
        <v>159</v>
      </c>
      <c r="B80" s="11" t="s">
        <v>239</v>
      </c>
      <c r="C80" s="11" t="s">
        <v>249</v>
      </c>
      <c r="D80" s="24" t="s">
        <v>240</v>
      </c>
      <c r="E80" s="24" t="s">
        <v>250</v>
      </c>
      <c r="F80" s="24" t="s">
        <v>251</v>
      </c>
      <c r="G80" s="25">
        <v>187777584</v>
      </c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>
        <v>155448440</v>
      </c>
      <c r="Z80" s="26">
        <v>32329144</v>
      </c>
      <c r="AA80" s="26"/>
      <c r="AB80" s="26"/>
      <c r="AC80" s="26"/>
      <c r="AD80" s="26"/>
      <c r="AE80" s="26"/>
      <c r="AF80" s="26"/>
      <c r="AG80" s="26"/>
      <c r="AH80" s="26"/>
      <c r="AI80" s="26">
        <f t="shared" si="8"/>
        <v>187777584</v>
      </c>
      <c r="AJ80" s="10">
        <f t="shared" si="9"/>
        <v>0</v>
      </c>
    </row>
    <row r="81" spans="1:36" ht="30" x14ac:dyDescent="0.25">
      <c r="A81" s="11" t="s">
        <v>162</v>
      </c>
      <c r="B81" s="11" t="s">
        <v>187</v>
      </c>
      <c r="C81" s="11" t="s">
        <v>239</v>
      </c>
      <c r="D81" s="24" t="s">
        <v>240</v>
      </c>
      <c r="E81" s="24" t="s">
        <v>241</v>
      </c>
      <c r="F81" s="24" t="s">
        <v>242</v>
      </c>
      <c r="G81" s="25">
        <v>156481320</v>
      </c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>
        <v>95024960</v>
      </c>
      <c r="Y81" s="26">
        <v>61456360</v>
      </c>
      <c r="Z81" s="26"/>
      <c r="AA81" s="26"/>
      <c r="AB81" s="26"/>
      <c r="AC81" s="26"/>
      <c r="AD81" s="26"/>
      <c r="AE81" s="26"/>
      <c r="AF81" s="26"/>
      <c r="AG81" s="26"/>
      <c r="AH81" s="26"/>
      <c r="AI81" s="26">
        <f t="shared" si="8"/>
        <v>156481320</v>
      </c>
      <c r="AJ81" s="10">
        <f t="shared" si="9"/>
        <v>0</v>
      </c>
    </row>
    <row r="82" spans="1:36" ht="30" x14ac:dyDescent="0.25">
      <c r="A82" s="11" t="s">
        <v>163</v>
      </c>
      <c r="B82" s="11" t="s">
        <v>239</v>
      </c>
      <c r="C82" s="11" t="s">
        <v>243</v>
      </c>
      <c r="D82" s="24" t="s">
        <v>240</v>
      </c>
      <c r="E82" s="24" t="s">
        <v>247</v>
      </c>
      <c r="F82" s="24" t="s">
        <v>248</v>
      </c>
      <c r="G82" s="25">
        <v>134067824</v>
      </c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>
        <v>134067824</v>
      </c>
      <c r="Z82" s="26"/>
      <c r="AA82" s="26"/>
      <c r="AB82" s="26"/>
      <c r="AC82" s="26"/>
      <c r="AD82" s="26"/>
      <c r="AE82" s="26"/>
      <c r="AF82" s="26"/>
      <c r="AG82" s="26"/>
      <c r="AH82" s="26"/>
      <c r="AI82" s="26">
        <f t="shared" si="8"/>
        <v>134067824</v>
      </c>
      <c r="AJ82" s="10">
        <f t="shared" si="9"/>
        <v>0</v>
      </c>
    </row>
    <row r="83" spans="1:36" ht="30" x14ac:dyDescent="0.25">
      <c r="A83" s="11" t="s">
        <v>164</v>
      </c>
      <c r="B83" s="11" t="s">
        <v>187</v>
      </c>
      <c r="C83" s="11" t="s">
        <v>239</v>
      </c>
      <c r="D83" s="24" t="s">
        <v>240</v>
      </c>
      <c r="E83" s="24" t="s">
        <v>241</v>
      </c>
      <c r="F83" s="24" t="s">
        <v>242</v>
      </c>
      <c r="G83" s="25">
        <v>156481320</v>
      </c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>
        <v>95024960</v>
      </c>
      <c r="Y83" s="26">
        <v>61456360</v>
      </c>
      <c r="Z83" s="26"/>
      <c r="AA83" s="26"/>
      <c r="AB83" s="26"/>
      <c r="AC83" s="26"/>
      <c r="AD83" s="26"/>
      <c r="AE83" s="26"/>
      <c r="AF83" s="26"/>
      <c r="AG83" s="26"/>
      <c r="AH83" s="26"/>
      <c r="AI83" s="26">
        <f t="shared" si="8"/>
        <v>156481320</v>
      </c>
      <c r="AJ83" s="10">
        <f t="shared" si="9"/>
        <v>0</v>
      </c>
    </row>
    <row r="84" spans="1:36" ht="30" x14ac:dyDescent="0.25">
      <c r="A84" s="11" t="s">
        <v>165</v>
      </c>
      <c r="B84" s="11" t="s">
        <v>243</v>
      </c>
      <c r="C84" s="11" t="s">
        <v>252</v>
      </c>
      <c r="D84" s="24" t="s">
        <v>240</v>
      </c>
      <c r="E84" s="24" t="s">
        <v>253</v>
      </c>
      <c r="F84" s="24" t="s">
        <v>254</v>
      </c>
      <c r="G84" s="25">
        <v>154002408</v>
      </c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>
        <v>21380616</v>
      </c>
      <c r="Z84" s="26">
        <v>132621792</v>
      </c>
      <c r="AA84" s="26"/>
      <c r="AB84" s="26"/>
      <c r="AC84" s="26"/>
      <c r="AD84" s="26"/>
      <c r="AE84" s="26"/>
      <c r="AF84" s="26"/>
      <c r="AG84" s="26"/>
      <c r="AH84" s="26"/>
      <c r="AI84" s="26">
        <f t="shared" si="8"/>
        <v>154002408</v>
      </c>
      <c r="AJ84" s="10">
        <f t="shared" si="9"/>
        <v>0</v>
      </c>
    </row>
    <row r="85" spans="1:36" ht="75" x14ac:dyDescent="0.25">
      <c r="A85" s="11" t="s">
        <v>130</v>
      </c>
      <c r="B85" s="11" t="s">
        <v>243</v>
      </c>
      <c r="C85" s="11" t="s">
        <v>244</v>
      </c>
      <c r="D85" s="24" t="s">
        <v>240</v>
      </c>
      <c r="E85" s="24" t="s">
        <v>245</v>
      </c>
      <c r="F85" s="24" t="s">
        <v>246</v>
      </c>
      <c r="G85" s="25">
        <v>167223272</v>
      </c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>
        <v>21380616</v>
      </c>
      <c r="Z85" s="26">
        <v>145842656</v>
      </c>
      <c r="AA85" s="26"/>
      <c r="AB85" s="26"/>
      <c r="AC85" s="26"/>
      <c r="AD85" s="26"/>
      <c r="AE85" s="26"/>
      <c r="AF85" s="26"/>
      <c r="AG85" s="26"/>
      <c r="AH85" s="26"/>
      <c r="AI85" s="26">
        <f t="shared" si="8"/>
        <v>167223272</v>
      </c>
      <c r="AJ85" s="10">
        <f t="shared" si="9"/>
        <v>0</v>
      </c>
    </row>
    <row r="86" spans="1:36" ht="45" x14ac:dyDescent="0.25">
      <c r="A86" s="11" t="s">
        <v>168</v>
      </c>
      <c r="B86" s="11" t="s">
        <v>244</v>
      </c>
      <c r="C86" s="11" t="s">
        <v>255</v>
      </c>
      <c r="D86" s="13" t="s">
        <v>256</v>
      </c>
      <c r="E86" s="13" t="s">
        <v>171</v>
      </c>
      <c r="F86" s="13" t="s">
        <v>172</v>
      </c>
      <c r="G86" s="14">
        <v>572292000</v>
      </c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>
        <v>300644064</v>
      </c>
      <c r="AA86" s="15">
        <v>271647936</v>
      </c>
      <c r="AB86" s="15"/>
      <c r="AC86" s="15"/>
      <c r="AD86" s="15"/>
      <c r="AE86" s="15"/>
      <c r="AF86" s="15"/>
      <c r="AG86" s="15"/>
      <c r="AH86" s="15"/>
      <c r="AI86" s="15">
        <f t="shared" si="8"/>
        <v>572292000</v>
      </c>
      <c r="AJ86" s="10">
        <f t="shared" si="9"/>
        <v>0</v>
      </c>
    </row>
    <row r="87" spans="1:36" ht="45" x14ac:dyDescent="0.25">
      <c r="A87" s="188" t="s">
        <v>257</v>
      </c>
      <c r="B87" s="188" t="s">
        <v>255</v>
      </c>
      <c r="C87" s="188" t="s">
        <v>183</v>
      </c>
      <c r="D87" s="13" t="s">
        <v>298</v>
      </c>
      <c r="E87" s="13"/>
      <c r="F87" s="13"/>
      <c r="G87" s="14">
        <v>114458400</v>
      </c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4">
        <v>114458400</v>
      </c>
      <c r="AB87" s="15"/>
      <c r="AC87" s="15"/>
      <c r="AD87" s="15"/>
      <c r="AE87" s="15"/>
      <c r="AF87" s="15"/>
      <c r="AG87" s="15"/>
      <c r="AH87" s="15"/>
      <c r="AI87" s="15">
        <f t="shared" si="8"/>
        <v>114458400</v>
      </c>
      <c r="AJ87" s="10"/>
    </row>
    <row r="88" spans="1:36" ht="45" x14ac:dyDescent="0.25">
      <c r="A88" s="189"/>
      <c r="B88" s="189"/>
      <c r="C88" s="189"/>
      <c r="D88" s="24" t="s">
        <v>297</v>
      </c>
      <c r="E88" s="24" t="s">
        <v>68</v>
      </c>
      <c r="F88" s="24" t="s">
        <v>258</v>
      </c>
      <c r="G88" s="25">
        <v>144603200</v>
      </c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>
        <v>144603200</v>
      </c>
      <c r="AB88" s="26"/>
      <c r="AC88" s="26"/>
      <c r="AD88" s="26"/>
      <c r="AE88" s="26"/>
      <c r="AF88" s="26"/>
      <c r="AG88" s="26"/>
      <c r="AH88" s="26"/>
      <c r="AI88" s="26">
        <f t="shared" si="8"/>
        <v>144603200</v>
      </c>
      <c r="AJ88" s="10">
        <f t="shared" si="9"/>
        <v>0</v>
      </c>
    </row>
    <row r="89" spans="1:36" x14ac:dyDescent="0.25">
      <c r="A89" s="7" t="s">
        <v>259</v>
      </c>
      <c r="B89" s="7" t="s">
        <v>183</v>
      </c>
      <c r="C89" s="7" t="s">
        <v>16</v>
      </c>
      <c r="D89" s="8"/>
      <c r="E89" s="7" t="s">
        <v>224</v>
      </c>
      <c r="F89" s="7" t="s">
        <v>260</v>
      </c>
      <c r="G89" s="9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>
        <f t="shared" si="8"/>
        <v>0</v>
      </c>
      <c r="AJ89" s="10">
        <f t="shared" si="9"/>
        <v>0</v>
      </c>
    </row>
    <row r="90" spans="1:36" ht="36.6" customHeight="1" x14ac:dyDescent="0.25">
      <c r="A90" s="11" t="s">
        <v>261</v>
      </c>
      <c r="B90" s="11" t="s">
        <v>183</v>
      </c>
      <c r="C90" s="11" t="s">
        <v>262</v>
      </c>
      <c r="D90" s="13" t="s">
        <v>263</v>
      </c>
      <c r="E90" s="13" t="s">
        <v>264</v>
      </c>
      <c r="F90" s="13" t="s">
        <v>177</v>
      </c>
      <c r="G90" s="14">
        <v>998081920</v>
      </c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>
        <v>983110691</v>
      </c>
      <c r="AB90" s="15">
        <v>14971229</v>
      </c>
      <c r="AC90" s="15"/>
      <c r="AD90" s="15"/>
      <c r="AE90" s="15"/>
      <c r="AF90" s="15"/>
      <c r="AG90" s="15"/>
      <c r="AH90" s="15"/>
      <c r="AI90" s="15">
        <f t="shared" si="8"/>
        <v>998081920</v>
      </c>
      <c r="AJ90" s="10">
        <f t="shared" si="9"/>
        <v>0</v>
      </c>
    </row>
    <row r="91" spans="1:36" x14ac:dyDescent="0.25">
      <c r="A91" s="7" t="s">
        <v>265</v>
      </c>
      <c r="B91" s="7" t="s">
        <v>262</v>
      </c>
      <c r="C91" s="7" t="s">
        <v>16</v>
      </c>
      <c r="D91" s="8"/>
      <c r="E91" s="7" t="s">
        <v>176</v>
      </c>
      <c r="F91" s="7" t="s">
        <v>266</v>
      </c>
      <c r="G91" s="9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>
        <f t="shared" si="8"/>
        <v>0</v>
      </c>
      <c r="AJ91" s="10">
        <f t="shared" si="9"/>
        <v>0</v>
      </c>
    </row>
    <row r="92" spans="1:36" ht="45" x14ac:dyDescent="0.25">
      <c r="A92" s="11" t="s">
        <v>267</v>
      </c>
      <c r="B92" s="11" t="s">
        <v>262</v>
      </c>
      <c r="C92" s="11" t="s">
        <v>268</v>
      </c>
      <c r="D92" s="13" t="s">
        <v>269</v>
      </c>
      <c r="E92" s="13" t="s">
        <v>270</v>
      </c>
      <c r="F92" s="13" t="s">
        <v>271</v>
      </c>
      <c r="G92" s="14">
        <v>441482400</v>
      </c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>
        <v>441482400</v>
      </c>
      <c r="AC92" s="15"/>
      <c r="AD92" s="15"/>
      <c r="AE92" s="15"/>
      <c r="AF92" s="15"/>
      <c r="AG92" s="15"/>
      <c r="AH92" s="15"/>
      <c r="AI92" s="15">
        <f t="shared" si="8"/>
        <v>441482400</v>
      </c>
      <c r="AJ92" s="10">
        <f t="shared" si="9"/>
        <v>0</v>
      </c>
    </row>
    <row r="93" spans="1:36" ht="75" x14ac:dyDescent="0.25">
      <c r="A93" s="11" t="s">
        <v>272</v>
      </c>
      <c r="B93" s="11" t="s">
        <v>268</v>
      </c>
      <c r="C93" s="11" t="s">
        <v>16</v>
      </c>
      <c r="D93" s="13" t="s">
        <v>273</v>
      </c>
      <c r="E93" s="13" t="s">
        <v>274</v>
      </c>
      <c r="F93" s="13" t="s">
        <v>275</v>
      </c>
      <c r="G93" s="14">
        <v>130809600</v>
      </c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>
        <v>130809600</v>
      </c>
      <c r="AC93" s="15"/>
      <c r="AD93" s="15"/>
      <c r="AE93" s="15"/>
      <c r="AF93" s="15"/>
      <c r="AG93" s="15"/>
      <c r="AH93" s="15"/>
      <c r="AI93" s="15">
        <f t="shared" si="8"/>
        <v>130809600</v>
      </c>
      <c r="AJ93" s="10">
        <f t="shared" si="9"/>
        <v>0</v>
      </c>
    </row>
    <row r="94" spans="1:36" x14ac:dyDescent="0.25">
      <c r="A94" s="7" t="s">
        <v>276</v>
      </c>
      <c r="B94" s="7" t="s">
        <v>40</v>
      </c>
      <c r="C94" s="7" t="s">
        <v>183</v>
      </c>
      <c r="D94" s="8"/>
      <c r="E94" s="7" t="s">
        <v>277</v>
      </c>
      <c r="F94" s="7" t="s">
        <v>278</v>
      </c>
      <c r="G94" s="9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>
        <f t="shared" si="8"/>
        <v>0</v>
      </c>
      <c r="AJ94" s="10">
        <f t="shared" si="9"/>
        <v>0</v>
      </c>
    </row>
    <row r="95" spans="1:36" x14ac:dyDescent="0.25">
      <c r="A95" s="43" t="s">
        <v>335</v>
      </c>
      <c r="B95" s="11" t="s">
        <v>40</v>
      </c>
      <c r="C95" s="11" t="s">
        <v>279</v>
      </c>
      <c r="D95" s="13" t="s">
        <v>32</v>
      </c>
      <c r="E95" s="13" t="s">
        <v>73</v>
      </c>
      <c r="F95" s="13" t="s">
        <v>280</v>
      </c>
      <c r="G95" s="14">
        <v>3661033680</v>
      </c>
      <c r="H95" s="15"/>
      <c r="I95" s="15">
        <v>177138000</v>
      </c>
      <c r="J95" s="15">
        <v>177138000</v>
      </c>
      <c r="K95" s="15">
        <v>177138000</v>
      </c>
      <c r="L95" s="15">
        <v>177138000</v>
      </c>
      <c r="M95" s="15">
        <v>177138000</v>
      </c>
      <c r="N95" s="15">
        <v>177138000</v>
      </c>
      <c r="O95" s="15">
        <v>177138000</v>
      </c>
      <c r="P95" s="15">
        <v>177138000</v>
      </c>
      <c r="Q95" s="15">
        <v>177138000</v>
      </c>
      <c r="R95" s="15">
        <v>177138000</v>
      </c>
      <c r="S95" s="15">
        <v>177138000</v>
      </c>
      <c r="T95" s="15">
        <v>177138000</v>
      </c>
      <c r="U95" s="15">
        <v>177138000</v>
      </c>
      <c r="V95" s="15">
        <v>177138000</v>
      </c>
      <c r="W95" s="15">
        <v>184223520</v>
      </c>
      <c r="X95" s="15">
        <v>192944160</v>
      </c>
      <c r="Y95" s="15">
        <v>192944160</v>
      </c>
      <c r="Z95" s="15">
        <v>192944160</v>
      </c>
      <c r="AA95" s="15">
        <v>192944160</v>
      </c>
      <c r="AB95" s="15">
        <v>225101520</v>
      </c>
      <c r="AC95" s="15"/>
      <c r="AD95" s="15"/>
      <c r="AE95" s="15"/>
      <c r="AF95" s="15"/>
      <c r="AG95" s="15"/>
      <c r="AH95" s="15"/>
      <c r="AI95" s="15">
        <f t="shared" si="8"/>
        <v>3661033680</v>
      </c>
      <c r="AJ95" s="10">
        <f t="shared" si="9"/>
        <v>0</v>
      </c>
    </row>
    <row r="96" spans="1:36" ht="30" x14ac:dyDescent="0.25">
      <c r="A96" s="11" t="s">
        <v>281</v>
      </c>
      <c r="B96" s="11" t="s">
        <v>23</v>
      </c>
      <c r="C96" s="11" t="s">
        <v>183</v>
      </c>
      <c r="D96" s="13" t="s">
        <v>282</v>
      </c>
      <c r="E96" s="13" t="s">
        <v>283</v>
      </c>
      <c r="F96" s="13" t="s">
        <v>284</v>
      </c>
      <c r="G96" s="14">
        <v>4372688404</v>
      </c>
      <c r="H96" s="15"/>
      <c r="I96" s="15"/>
      <c r="J96" s="15"/>
      <c r="K96" s="15"/>
      <c r="L96" s="15"/>
      <c r="M96" s="15">
        <v>7346340</v>
      </c>
      <c r="N96" s="15">
        <v>323238953</v>
      </c>
      <c r="O96" s="15">
        <v>337931633</v>
      </c>
      <c r="P96" s="15">
        <v>308546274</v>
      </c>
      <c r="Q96" s="15">
        <v>293853594</v>
      </c>
      <c r="R96" s="15">
        <v>337931633</v>
      </c>
      <c r="S96" s="15">
        <v>308546274</v>
      </c>
      <c r="T96" s="15">
        <v>323238953</v>
      </c>
      <c r="U96" s="15">
        <v>323238953</v>
      </c>
      <c r="V96" s="15">
        <v>308546274</v>
      </c>
      <c r="W96" s="15">
        <v>337931633</v>
      </c>
      <c r="X96" s="15">
        <v>323238953</v>
      </c>
      <c r="Y96" s="15">
        <v>308546274</v>
      </c>
      <c r="Z96" s="15">
        <v>323238953</v>
      </c>
      <c r="AA96" s="15">
        <v>207313711</v>
      </c>
      <c r="AB96" s="15"/>
      <c r="AC96" s="15"/>
      <c r="AD96" s="15"/>
      <c r="AE96" s="15"/>
      <c r="AF96" s="15"/>
      <c r="AG96" s="15"/>
      <c r="AH96" s="15"/>
      <c r="AI96" s="15">
        <f t="shared" si="8"/>
        <v>4372688405</v>
      </c>
      <c r="AJ96" s="10">
        <v>0</v>
      </c>
    </row>
    <row r="97" spans="1:36" x14ac:dyDescent="0.25">
      <c r="A97" s="11" t="s">
        <v>285</v>
      </c>
      <c r="B97" s="11" t="s">
        <v>116</v>
      </c>
      <c r="C97" s="11" t="s">
        <v>76</v>
      </c>
      <c r="D97" s="13" t="s">
        <v>286</v>
      </c>
      <c r="E97" s="13" t="s">
        <v>287</v>
      </c>
      <c r="F97" s="13" t="s">
        <v>288</v>
      </c>
      <c r="G97" s="14">
        <v>2354441990</v>
      </c>
      <c r="H97" s="15"/>
      <c r="I97" s="15"/>
      <c r="J97" s="15"/>
      <c r="K97" s="15"/>
      <c r="L97" s="15"/>
      <c r="M97" s="15"/>
      <c r="N97" s="15"/>
      <c r="O97" s="15">
        <v>209556979</v>
      </c>
      <c r="P97" s="15">
        <v>274700160</v>
      </c>
      <c r="Q97" s="15">
        <v>261619200</v>
      </c>
      <c r="R97" s="15">
        <v>300862080</v>
      </c>
      <c r="S97" s="15">
        <v>274700160</v>
      </c>
      <c r="T97" s="15">
        <v>287781120</v>
      </c>
      <c r="U97" s="15">
        <v>287781120</v>
      </c>
      <c r="V97" s="15">
        <v>274700160</v>
      </c>
      <c r="W97" s="15">
        <v>182741011</v>
      </c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>
        <f t="shared" si="8"/>
        <v>2354441990</v>
      </c>
      <c r="AJ97" s="10">
        <f t="shared" si="9"/>
        <v>0</v>
      </c>
    </row>
    <row r="98" spans="1:36" ht="45" x14ac:dyDescent="0.25">
      <c r="A98" s="11" t="s">
        <v>289</v>
      </c>
      <c r="B98" s="11" t="s">
        <v>187</v>
      </c>
      <c r="C98" s="11" t="s">
        <v>183</v>
      </c>
      <c r="D98" s="13" t="s">
        <v>290</v>
      </c>
      <c r="E98" s="13" t="s">
        <v>291</v>
      </c>
      <c r="F98" s="13" t="s">
        <v>292</v>
      </c>
      <c r="G98" s="14">
        <v>1123022218</v>
      </c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>
        <v>155810653</v>
      </c>
      <c r="Y98" s="15">
        <v>355654752</v>
      </c>
      <c r="Z98" s="15">
        <v>372590692</v>
      </c>
      <c r="AA98" s="15">
        <v>238966121</v>
      </c>
      <c r="AB98" s="15"/>
      <c r="AC98" s="15"/>
      <c r="AD98" s="15"/>
      <c r="AE98" s="15"/>
      <c r="AF98" s="15"/>
      <c r="AG98" s="15"/>
      <c r="AH98" s="15"/>
      <c r="AI98" s="15">
        <f t="shared" si="8"/>
        <v>1123022218</v>
      </c>
      <c r="AJ98" s="10">
        <f t="shared" si="9"/>
        <v>0</v>
      </c>
    </row>
    <row r="99" spans="1:36" x14ac:dyDescent="0.25">
      <c r="A99" s="11" t="s">
        <v>293</v>
      </c>
      <c r="B99" s="11" t="s">
        <v>16</v>
      </c>
      <c r="C99" s="11" t="s">
        <v>16</v>
      </c>
      <c r="D99" s="8"/>
      <c r="E99" s="11" t="s">
        <v>20</v>
      </c>
      <c r="F99" s="11" t="s">
        <v>21</v>
      </c>
      <c r="G99" s="12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>
        <f t="shared" si="8"/>
        <v>0</v>
      </c>
      <c r="AJ99" s="10">
        <f t="shared" si="9"/>
        <v>0</v>
      </c>
    </row>
    <row r="100" spans="1:36" x14ac:dyDescent="0.25">
      <c r="AI100" s="2"/>
    </row>
    <row r="101" spans="1:36" x14ac:dyDescent="0.25">
      <c r="D101" s="27" t="s">
        <v>299</v>
      </c>
      <c r="E101" s="30"/>
      <c r="F101" s="30"/>
      <c r="G101" s="3">
        <f t="shared" ref="G101:AI101" si="10">G7+G8+SUM(G10:G14)+G16+G17+SUM(G20:G23)+SUM(G25:G28)+G37+SUM(G39:G54)+SUM(G57:G58)+SUM(G72:G73)+G86+G87+G90+G92+G93+SUM(G95:G98)</f>
        <v>40088564732</v>
      </c>
      <c r="H101" s="3">
        <f t="shared" si="10"/>
        <v>28342080</v>
      </c>
      <c r="I101" s="3">
        <f t="shared" si="10"/>
        <v>1589881680</v>
      </c>
      <c r="J101" s="3">
        <f t="shared" si="10"/>
        <v>1818798480</v>
      </c>
      <c r="K101" s="3">
        <f t="shared" si="10"/>
        <v>2312877240</v>
      </c>
      <c r="L101" s="3">
        <f t="shared" si="10"/>
        <v>802298880</v>
      </c>
      <c r="M101" s="3">
        <f t="shared" si="10"/>
        <v>211736340</v>
      </c>
      <c r="N101" s="3">
        <f t="shared" si="10"/>
        <v>546705353</v>
      </c>
      <c r="O101" s="3">
        <f t="shared" si="10"/>
        <v>2490447204</v>
      </c>
      <c r="P101" s="3">
        <f t="shared" si="10"/>
        <v>2740732770</v>
      </c>
      <c r="Q101" s="3">
        <f t="shared" si="10"/>
        <v>3063528858</v>
      </c>
      <c r="R101" s="3">
        <f t="shared" si="10"/>
        <v>3857254913</v>
      </c>
      <c r="S101" s="3">
        <f t="shared" si="10"/>
        <v>3526462434</v>
      </c>
      <c r="T101" s="3">
        <f t="shared" si="10"/>
        <v>3685045673</v>
      </c>
      <c r="U101" s="3">
        <f t="shared" si="10"/>
        <v>2819696566</v>
      </c>
      <c r="V101" s="3">
        <f t="shared" si="10"/>
        <v>2399145301</v>
      </c>
      <c r="W101" s="3">
        <f t="shared" si="10"/>
        <v>2552690772</v>
      </c>
      <c r="X101" s="3">
        <f t="shared" si="10"/>
        <v>704696166</v>
      </c>
      <c r="Y101" s="3">
        <f t="shared" si="10"/>
        <v>876221586</v>
      </c>
      <c r="Z101" s="3">
        <f t="shared" si="10"/>
        <v>1222120269</v>
      </c>
      <c r="AA101" s="3">
        <f t="shared" si="10"/>
        <v>2027517419</v>
      </c>
      <c r="AB101" s="3">
        <f t="shared" si="10"/>
        <v>812364749</v>
      </c>
      <c r="AC101" s="3">
        <f t="shared" si="10"/>
        <v>0</v>
      </c>
      <c r="AD101" s="3">
        <f t="shared" si="10"/>
        <v>0</v>
      </c>
      <c r="AE101" s="3">
        <f t="shared" si="10"/>
        <v>0</v>
      </c>
      <c r="AF101" s="3">
        <f t="shared" si="10"/>
        <v>0</v>
      </c>
      <c r="AG101" s="3">
        <f t="shared" si="10"/>
        <v>0</v>
      </c>
      <c r="AH101" s="3">
        <f t="shared" si="10"/>
        <v>0</v>
      </c>
      <c r="AI101" s="3">
        <f t="shared" si="10"/>
        <v>40088564733</v>
      </c>
      <c r="AJ101" s="44">
        <f>SUM(H101:AH101)-AI101</f>
        <v>0</v>
      </c>
    </row>
    <row r="102" spans="1:36" x14ac:dyDescent="0.25">
      <c r="D102" s="31" t="s">
        <v>300</v>
      </c>
      <c r="E102" s="32"/>
      <c r="F102" s="32"/>
      <c r="G102" s="33">
        <f t="shared" ref="G102:AI102" si="11">G15+SUM(G30:G36)</f>
        <v>315396661680</v>
      </c>
      <c r="H102" s="33">
        <f t="shared" si="11"/>
        <v>0</v>
      </c>
      <c r="I102" s="33">
        <f t="shared" si="11"/>
        <v>0</v>
      </c>
      <c r="J102" s="33">
        <f t="shared" si="11"/>
        <v>0</v>
      </c>
      <c r="K102" s="33">
        <f t="shared" si="11"/>
        <v>2823390412</v>
      </c>
      <c r="L102" s="33">
        <f t="shared" si="11"/>
        <v>1427921588</v>
      </c>
      <c r="M102" s="33">
        <f t="shared" si="11"/>
        <v>0</v>
      </c>
      <c r="N102" s="33">
        <f t="shared" si="11"/>
        <v>8819837280</v>
      </c>
      <c r="O102" s="33">
        <f t="shared" si="11"/>
        <v>48236040000</v>
      </c>
      <c r="P102" s="33">
        <f t="shared" si="11"/>
        <v>62570592000</v>
      </c>
      <c r="Q102" s="33">
        <f t="shared" si="11"/>
        <v>27252000000</v>
      </c>
      <c r="R102" s="33">
        <f t="shared" si="11"/>
        <v>86871200400</v>
      </c>
      <c r="S102" s="33">
        <f t="shared" si="11"/>
        <v>77395680000</v>
      </c>
      <c r="T102" s="33">
        <f t="shared" si="11"/>
        <v>0</v>
      </c>
      <c r="U102" s="33">
        <f t="shared" si="11"/>
        <v>0</v>
      </c>
      <c r="V102" s="33">
        <f t="shared" si="11"/>
        <v>0</v>
      </c>
      <c r="W102" s="33">
        <f t="shared" si="11"/>
        <v>0</v>
      </c>
      <c r="X102" s="33">
        <f t="shared" si="11"/>
        <v>0</v>
      </c>
      <c r="Y102" s="33">
        <f t="shared" si="11"/>
        <v>0</v>
      </c>
      <c r="Z102" s="33">
        <f t="shared" si="11"/>
        <v>0</v>
      </c>
      <c r="AA102" s="33">
        <f t="shared" si="11"/>
        <v>0</v>
      </c>
      <c r="AB102" s="33">
        <f t="shared" si="11"/>
        <v>0</v>
      </c>
      <c r="AC102" s="33">
        <f t="shared" si="11"/>
        <v>0</v>
      </c>
      <c r="AD102" s="33">
        <f t="shared" si="11"/>
        <v>0</v>
      </c>
      <c r="AE102" s="33">
        <f t="shared" si="11"/>
        <v>0</v>
      </c>
      <c r="AF102" s="33">
        <f t="shared" si="11"/>
        <v>0</v>
      </c>
      <c r="AG102" s="33">
        <f t="shared" si="11"/>
        <v>0</v>
      </c>
      <c r="AH102" s="33">
        <f t="shared" si="11"/>
        <v>0</v>
      </c>
      <c r="AI102" s="33">
        <f t="shared" si="11"/>
        <v>315396661680</v>
      </c>
      <c r="AJ102" s="33">
        <f>SUM(H102:AH102)-AI102</f>
        <v>0</v>
      </c>
    </row>
    <row r="103" spans="1:36" x14ac:dyDescent="0.25">
      <c r="D103" s="28" t="s">
        <v>301</v>
      </c>
      <c r="E103" s="34"/>
      <c r="F103" s="34"/>
      <c r="G103" s="36">
        <f>G56+SUM(G59:G67)+SUM(G69:G71)+SUM(G74:G85)+G88</f>
        <v>472661125608</v>
      </c>
      <c r="H103" s="36">
        <f>H56+SUM(H59:H67)+SUM(H69:H71)+SUM(H74:H85)+H88</f>
        <v>0</v>
      </c>
      <c r="I103" s="36">
        <f t="shared" ref="I103:AI103" si="12">I56+SUM(I59:I67)+SUM(I69:I71)+SUM(I74:I85)+I88</f>
        <v>0</v>
      </c>
      <c r="J103" s="36">
        <f t="shared" si="12"/>
        <v>0</v>
      </c>
      <c r="K103" s="36">
        <f t="shared" si="12"/>
        <v>0</v>
      </c>
      <c r="L103" s="36">
        <f t="shared" si="12"/>
        <v>0</v>
      </c>
      <c r="M103" s="36">
        <f t="shared" si="12"/>
        <v>39930153600</v>
      </c>
      <c r="N103" s="36">
        <f t="shared" si="12"/>
        <v>23946709500</v>
      </c>
      <c r="O103" s="36">
        <f t="shared" si="12"/>
        <v>60328635000</v>
      </c>
      <c r="P103" s="36">
        <f t="shared" si="12"/>
        <v>87312798900</v>
      </c>
      <c r="Q103" s="36">
        <f t="shared" si="12"/>
        <v>91419223200</v>
      </c>
      <c r="R103" s="36">
        <f t="shared" si="12"/>
        <v>52964337000</v>
      </c>
      <c r="S103" s="36">
        <f t="shared" si="12"/>
        <v>13645611000</v>
      </c>
      <c r="T103" s="36">
        <f t="shared" si="12"/>
        <v>14799945600</v>
      </c>
      <c r="U103" s="36">
        <f t="shared" si="12"/>
        <v>23545368000</v>
      </c>
      <c r="V103" s="36">
        <f t="shared" si="12"/>
        <v>22475124000</v>
      </c>
      <c r="W103" s="36">
        <f t="shared" si="12"/>
        <v>24615612000</v>
      </c>
      <c r="X103" s="36">
        <f t="shared" si="12"/>
        <v>15009521800</v>
      </c>
      <c r="Y103" s="36">
        <f t="shared" si="12"/>
        <v>2066846560</v>
      </c>
      <c r="Z103" s="36">
        <f t="shared" si="12"/>
        <v>456636248</v>
      </c>
      <c r="AA103" s="36">
        <f t="shared" si="12"/>
        <v>144603200</v>
      </c>
      <c r="AB103" s="36">
        <f t="shared" si="12"/>
        <v>0</v>
      </c>
      <c r="AC103" s="36">
        <f t="shared" si="12"/>
        <v>0</v>
      </c>
      <c r="AD103" s="36">
        <f t="shared" si="12"/>
        <v>0</v>
      </c>
      <c r="AE103" s="36">
        <f t="shared" si="12"/>
        <v>0</v>
      </c>
      <c r="AF103" s="36">
        <f t="shared" si="12"/>
        <v>0</v>
      </c>
      <c r="AG103" s="36">
        <f t="shared" si="12"/>
        <v>0</v>
      </c>
      <c r="AH103" s="36">
        <f t="shared" si="12"/>
        <v>0</v>
      </c>
      <c r="AI103" s="36">
        <f t="shared" si="12"/>
        <v>472661125608</v>
      </c>
      <c r="AJ103" s="36">
        <f>SUM(H103:AH103)-AI103</f>
        <v>0</v>
      </c>
    </row>
    <row r="104" spans="1:36" x14ac:dyDescent="0.25">
      <c r="D104" s="29" t="s">
        <v>302</v>
      </c>
      <c r="E104" s="35"/>
      <c r="F104" s="35"/>
      <c r="G104" s="37">
        <f t="shared" ref="G104:AI104" si="13">G3</f>
        <v>93310848000</v>
      </c>
      <c r="H104" s="37">
        <f t="shared" si="13"/>
        <v>218016000</v>
      </c>
      <c r="I104" s="37">
        <f t="shared" si="13"/>
        <v>4796352000</v>
      </c>
      <c r="J104" s="37">
        <f t="shared" si="13"/>
        <v>4796352000</v>
      </c>
      <c r="K104" s="37">
        <f t="shared" si="13"/>
        <v>4796352000</v>
      </c>
      <c r="L104" s="37">
        <f t="shared" si="13"/>
        <v>4796352000</v>
      </c>
      <c r="M104" s="37">
        <f t="shared" si="13"/>
        <v>4578336000</v>
      </c>
      <c r="N104" s="37">
        <f t="shared" si="13"/>
        <v>4796352000</v>
      </c>
      <c r="O104" s="37">
        <f t="shared" si="13"/>
        <v>5014368000</v>
      </c>
      <c r="P104" s="37">
        <f t="shared" si="13"/>
        <v>4578336000</v>
      </c>
      <c r="Q104" s="37">
        <f t="shared" si="13"/>
        <v>4360320000</v>
      </c>
      <c r="R104" s="37">
        <f t="shared" si="13"/>
        <v>5014368000</v>
      </c>
      <c r="S104" s="37">
        <f t="shared" si="13"/>
        <v>4578336000</v>
      </c>
      <c r="T104" s="37">
        <f t="shared" si="13"/>
        <v>4796352000</v>
      </c>
      <c r="U104" s="37">
        <f t="shared" si="13"/>
        <v>4796352000</v>
      </c>
      <c r="V104" s="37">
        <f t="shared" si="13"/>
        <v>4578336000</v>
      </c>
      <c r="W104" s="37">
        <f t="shared" si="13"/>
        <v>5014368000</v>
      </c>
      <c r="X104" s="37">
        <f t="shared" si="13"/>
        <v>4796352000</v>
      </c>
      <c r="Y104" s="37">
        <f t="shared" si="13"/>
        <v>4578336000</v>
      </c>
      <c r="Z104" s="37">
        <f t="shared" si="13"/>
        <v>4796352000</v>
      </c>
      <c r="AA104" s="37">
        <f t="shared" si="13"/>
        <v>4796352000</v>
      </c>
      <c r="AB104" s="37">
        <f t="shared" si="13"/>
        <v>2834208000</v>
      </c>
      <c r="AC104" s="37">
        <f t="shared" si="13"/>
        <v>0</v>
      </c>
      <c r="AD104" s="37">
        <f t="shared" si="13"/>
        <v>0</v>
      </c>
      <c r="AE104" s="37">
        <f t="shared" si="13"/>
        <v>0</v>
      </c>
      <c r="AF104" s="37">
        <f t="shared" si="13"/>
        <v>0</v>
      </c>
      <c r="AG104" s="37">
        <f t="shared" si="13"/>
        <v>0</v>
      </c>
      <c r="AH104" s="37">
        <f t="shared" si="13"/>
        <v>0</v>
      </c>
      <c r="AI104" s="37">
        <f t="shared" si="13"/>
        <v>93310848000</v>
      </c>
      <c r="AJ104" s="37">
        <f>SUM(H104:AH104)-AI104</f>
        <v>0</v>
      </c>
    </row>
    <row r="105" spans="1:36" x14ac:dyDescent="0.25">
      <c r="D105" s="75" t="s">
        <v>5</v>
      </c>
      <c r="E105" s="70"/>
      <c r="F105" s="70"/>
      <c r="G105" s="76">
        <f>G38+G55</f>
        <v>5722920000</v>
      </c>
      <c r="H105" s="76">
        <f>H38+H55</f>
        <v>0</v>
      </c>
      <c r="I105" s="76">
        <f t="shared" ref="I105:AI105" si="14">I38+I55</f>
        <v>0</v>
      </c>
      <c r="J105" s="76">
        <f t="shared" si="14"/>
        <v>0</v>
      </c>
      <c r="K105" s="76">
        <f t="shared" si="14"/>
        <v>0</v>
      </c>
      <c r="L105" s="76">
        <f t="shared" si="14"/>
        <v>272520000</v>
      </c>
      <c r="M105" s="76">
        <f t="shared" si="14"/>
        <v>0</v>
      </c>
      <c r="N105" s="76">
        <f t="shared" si="14"/>
        <v>5450400000</v>
      </c>
      <c r="O105" s="76">
        <f t="shared" si="14"/>
        <v>0</v>
      </c>
      <c r="P105" s="76">
        <f t="shared" si="14"/>
        <v>0</v>
      </c>
      <c r="Q105" s="76">
        <f t="shared" si="14"/>
        <v>0</v>
      </c>
      <c r="R105" s="76">
        <f t="shared" si="14"/>
        <v>0</v>
      </c>
      <c r="S105" s="76">
        <f t="shared" si="14"/>
        <v>0</v>
      </c>
      <c r="T105" s="76">
        <f t="shared" si="14"/>
        <v>0</v>
      </c>
      <c r="U105" s="76">
        <f t="shared" si="14"/>
        <v>0</v>
      </c>
      <c r="V105" s="76">
        <f t="shared" si="14"/>
        <v>0</v>
      </c>
      <c r="W105" s="76">
        <f t="shared" si="14"/>
        <v>0</v>
      </c>
      <c r="X105" s="76">
        <f t="shared" si="14"/>
        <v>0</v>
      </c>
      <c r="Y105" s="76">
        <f t="shared" si="14"/>
        <v>0</v>
      </c>
      <c r="Z105" s="76">
        <f t="shared" si="14"/>
        <v>0</v>
      </c>
      <c r="AA105" s="76">
        <f t="shared" si="14"/>
        <v>0</v>
      </c>
      <c r="AB105" s="76">
        <f t="shared" si="14"/>
        <v>0</v>
      </c>
      <c r="AC105" s="76">
        <f t="shared" si="14"/>
        <v>0</v>
      </c>
      <c r="AD105" s="76">
        <f t="shared" si="14"/>
        <v>0</v>
      </c>
      <c r="AE105" s="76">
        <f t="shared" si="14"/>
        <v>0</v>
      </c>
      <c r="AF105" s="76">
        <f t="shared" si="14"/>
        <v>0</v>
      </c>
      <c r="AG105" s="76">
        <f t="shared" si="14"/>
        <v>0</v>
      </c>
      <c r="AH105" s="76">
        <f t="shared" si="14"/>
        <v>0</v>
      </c>
      <c r="AI105" s="76">
        <f t="shared" si="14"/>
        <v>5722920000</v>
      </c>
      <c r="AJ105" s="76">
        <f>SUM(H105:AH105)-AI105</f>
        <v>0</v>
      </c>
    </row>
    <row r="106" spans="1:36" x14ac:dyDescent="0.25"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</row>
    <row r="107" spans="1:36" x14ac:dyDescent="0.25"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</row>
    <row r="108" spans="1:36" x14ac:dyDescent="0.25">
      <c r="D108" t="s">
        <v>6</v>
      </c>
      <c r="G108" s="2">
        <f>SUM(G101:G105)</f>
        <v>927180120020</v>
      </c>
      <c r="H108" s="2">
        <f t="shared" ref="H108:AH108" si="15">SUM(H101:H105)</f>
        <v>246358080</v>
      </c>
      <c r="I108" s="2">
        <f t="shared" si="15"/>
        <v>6386233680</v>
      </c>
      <c r="J108" s="2">
        <f t="shared" si="15"/>
        <v>6615150480</v>
      </c>
      <c r="K108" s="2">
        <f t="shared" si="15"/>
        <v>9932619652</v>
      </c>
      <c r="L108" s="2">
        <f t="shared" si="15"/>
        <v>7299092468</v>
      </c>
      <c r="M108" s="2">
        <f t="shared" si="15"/>
        <v>44720225940</v>
      </c>
      <c r="N108" s="2">
        <f t="shared" si="15"/>
        <v>43560004133</v>
      </c>
      <c r="O108" s="2">
        <f t="shared" si="15"/>
        <v>116069490204</v>
      </c>
      <c r="P108" s="2">
        <f t="shared" si="15"/>
        <v>157202459670</v>
      </c>
      <c r="Q108" s="2">
        <f t="shared" si="15"/>
        <v>126095072058</v>
      </c>
      <c r="R108" s="2">
        <f t="shared" si="15"/>
        <v>148707160313</v>
      </c>
      <c r="S108" s="2">
        <f t="shared" si="15"/>
        <v>99146089434</v>
      </c>
      <c r="T108" s="2">
        <f t="shared" si="15"/>
        <v>23281343273</v>
      </c>
      <c r="U108" s="2">
        <f t="shared" si="15"/>
        <v>31161416566</v>
      </c>
      <c r="V108" s="2">
        <f t="shared" si="15"/>
        <v>29452605301</v>
      </c>
      <c r="W108" s="2">
        <f t="shared" si="15"/>
        <v>32182670772</v>
      </c>
      <c r="X108" s="2">
        <f t="shared" si="15"/>
        <v>20510569966</v>
      </c>
      <c r="Y108" s="2">
        <f t="shared" si="15"/>
        <v>7521404146</v>
      </c>
      <c r="Z108" s="2">
        <f t="shared" si="15"/>
        <v>6475108517</v>
      </c>
      <c r="AA108" s="2">
        <f t="shared" si="15"/>
        <v>6968472619</v>
      </c>
      <c r="AB108" s="2">
        <f t="shared" si="15"/>
        <v>3646572749</v>
      </c>
      <c r="AC108" s="2">
        <f t="shared" si="15"/>
        <v>0</v>
      </c>
      <c r="AD108" s="2">
        <f t="shared" si="15"/>
        <v>0</v>
      </c>
      <c r="AE108" s="2">
        <f t="shared" si="15"/>
        <v>0</v>
      </c>
      <c r="AF108" s="2">
        <f t="shared" si="15"/>
        <v>0</v>
      </c>
      <c r="AG108" s="2">
        <f t="shared" si="15"/>
        <v>0</v>
      </c>
      <c r="AH108" s="2">
        <f t="shared" si="15"/>
        <v>0</v>
      </c>
      <c r="AI108" s="2"/>
      <c r="AJ108" s="2"/>
    </row>
    <row r="110" spans="1:36" x14ac:dyDescent="0.25">
      <c r="D110" t="s">
        <v>294</v>
      </c>
      <c r="G110" s="2">
        <f t="shared" ref="G110:AH110" si="16">SUM(G2:G99)-G108</f>
        <v>0</v>
      </c>
      <c r="H110" s="2">
        <f t="shared" si="16"/>
        <v>0</v>
      </c>
      <c r="I110" s="2">
        <f t="shared" si="16"/>
        <v>0</v>
      </c>
      <c r="J110" s="2">
        <f t="shared" si="16"/>
        <v>0</v>
      </c>
      <c r="K110" s="2">
        <f t="shared" si="16"/>
        <v>0</v>
      </c>
      <c r="L110" s="2">
        <f t="shared" si="16"/>
        <v>0</v>
      </c>
      <c r="M110" s="2">
        <f t="shared" si="16"/>
        <v>0</v>
      </c>
      <c r="N110" s="2">
        <f t="shared" si="16"/>
        <v>0</v>
      </c>
      <c r="O110" s="2">
        <f t="shared" si="16"/>
        <v>0</v>
      </c>
      <c r="P110" s="2">
        <f t="shared" si="16"/>
        <v>0</v>
      </c>
      <c r="Q110" s="2">
        <f t="shared" si="16"/>
        <v>0</v>
      </c>
      <c r="R110" s="2">
        <f t="shared" si="16"/>
        <v>0</v>
      </c>
      <c r="S110" s="2">
        <f t="shared" si="16"/>
        <v>0</v>
      </c>
      <c r="T110" s="2">
        <f t="shared" si="16"/>
        <v>0</v>
      </c>
      <c r="U110" s="2">
        <f t="shared" si="16"/>
        <v>0</v>
      </c>
      <c r="V110" s="2">
        <f t="shared" si="16"/>
        <v>0</v>
      </c>
      <c r="W110" s="2">
        <f t="shared" si="16"/>
        <v>0</v>
      </c>
      <c r="X110" s="2">
        <f t="shared" si="16"/>
        <v>0</v>
      </c>
      <c r="Y110" s="2">
        <f t="shared" si="16"/>
        <v>0</v>
      </c>
      <c r="Z110" s="2">
        <f t="shared" si="16"/>
        <v>0</v>
      </c>
      <c r="AA110" s="2">
        <f t="shared" si="16"/>
        <v>0</v>
      </c>
      <c r="AB110" s="2">
        <f t="shared" si="16"/>
        <v>0</v>
      </c>
      <c r="AC110" s="2">
        <f t="shared" si="16"/>
        <v>0</v>
      </c>
      <c r="AD110" s="2">
        <f t="shared" si="16"/>
        <v>0</v>
      </c>
      <c r="AE110" s="2">
        <f t="shared" si="16"/>
        <v>0</v>
      </c>
      <c r="AF110" s="2">
        <f t="shared" si="16"/>
        <v>0</v>
      </c>
      <c r="AG110" s="2">
        <f t="shared" si="16"/>
        <v>0</v>
      </c>
      <c r="AH110" s="2">
        <f t="shared" si="16"/>
        <v>0</v>
      </c>
    </row>
    <row r="111" spans="1:36" x14ac:dyDescent="0.25"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</row>
    <row r="112" spans="1:36" x14ac:dyDescent="0.25">
      <c r="D112" t="s">
        <v>338</v>
      </c>
      <c r="X112" s="2">
        <f>6*13626000000+1*26434440000+3*9265680000+59954400+8759882880+2616192000</f>
        <v>147423509280</v>
      </c>
      <c r="Y112" s="2">
        <f>5*13626000000+2*29977200000+14443560000+7358040000+441482400+2*299772000+2057526000+7685064000+7*436032000</f>
        <v>163721840400</v>
      </c>
    </row>
    <row r="113" spans="1:34" x14ac:dyDescent="0.25">
      <c r="A113" t="s">
        <v>336</v>
      </c>
      <c r="B113" s="190">
        <f>SUM(H113:AH113)</f>
        <v>782520180888</v>
      </c>
      <c r="C113" s="190"/>
      <c r="D113" t="s">
        <v>305</v>
      </c>
      <c r="H113" s="2">
        <f t="shared" ref="H113:W113" si="17">H56+SUM(H59:H67)+SUM(H74:H88)</f>
        <v>0</v>
      </c>
      <c r="I113" s="2">
        <f t="shared" si="17"/>
        <v>0</v>
      </c>
      <c r="J113" s="2">
        <f t="shared" si="17"/>
        <v>0</v>
      </c>
      <c r="K113" s="2">
        <f t="shared" si="17"/>
        <v>0</v>
      </c>
      <c r="L113" s="2">
        <f t="shared" si="17"/>
        <v>0</v>
      </c>
      <c r="M113" s="2">
        <f t="shared" si="17"/>
        <v>39930153600</v>
      </c>
      <c r="N113" s="2">
        <f t="shared" si="17"/>
        <v>23946709500</v>
      </c>
      <c r="O113" s="2">
        <f t="shared" si="17"/>
        <v>60328635000</v>
      </c>
      <c r="P113" s="2">
        <f t="shared" si="17"/>
        <v>87312798900</v>
      </c>
      <c r="Q113" s="2">
        <f t="shared" si="17"/>
        <v>91419223200</v>
      </c>
      <c r="R113" s="2">
        <f t="shared" si="17"/>
        <v>52964337000</v>
      </c>
      <c r="S113" s="2">
        <f t="shared" si="17"/>
        <v>13645611000</v>
      </c>
      <c r="T113" s="2">
        <f t="shared" si="17"/>
        <v>14799945600</v>
      </c>
      <c r="U113" s="2">
        <f t="shared" si="17"/>
        <v>23545368000</v>
      </c>
      <c r="V113" s="2">
        <f t="shared" si="17"/>
        <v>22475124000</v>
      </c>
      <c r="W113" s="2">
        <f t="shared" si="17"/>
        <v>24615612000</v>
      </c>
      <c r="X113" s="2">
        <f>X56+SUM(X59:X67)+SUM(X74:X88)+X112</f>
        <v>161597757280</v>
      </c>
      <c r="Y113" s="2">
        <f>Y56+SUM(Y59:Y67)+SUM(Y74:Y88)+Y112</f>
        <v>164650915960</v>
      </c>
      <c r="Z113" s="2">
        <f t="shared" ref="Z113:AH113" si="18">Z56+SUM(Z59:Z67)+SUM(Z74:Z88)</f>
        <v>757280312</v>
      </c>
      <c r="AA113" s="2">
        <f t="shared" si="18"/>
        <v>530709536</v>
      </c>
      <c r="AB113" s="2">
        <f t="shared" si="18"/>
        <v>0</v>
      </c>
      <c r="AC113" s="2">
        <f t="shared" si="18"/>
        <v>0</v>
      </c>
      <c r="AD113" s="2">
        <f t="shared" si="18"/>
        <v>0</v>
      </c>
      <c r="AE113" s="2">
        <f t="shared" si="18"/>
        <v>0</v>
      </c>
      <c r="AF113" s="2">
        <f t="shared" si="18"/>
        <v>0</v>
      </c>
      <c r="AG113" s="2">
        <f t="shared" si="18"/>
        <v>0</v>
      </c>
      <c r="AH113" s="2">
        <f t="shared" si="18"/>
        <v>0</v>
      </c>
    </row>
    <row r="114" spans="1:34" x14ac:dyDescent="0.25">
      <c r="D114" t="s">
        <v>306</v>
      </c>
      <c r="H114" s="46">
        <f>SUM($H$113:H113)/$B$113</f>
        <v>0</v>
      </c>
      <c r="I114" s="46">
        <f>SUM($H$113:I113)/$B$113</f>
        <v>0</v>
      </c>
      <c r="J114" s="46">
        <f>SUM($H$113:J113)/$B$113</f>
        <v>0</v>
      </c>
      <c r="K114" s="46">
        <f>SUM($H$113:K113)/$B$113</f>
        <v>0</v>
      </c>
      <c r="L114" s="46">
        <f>SUM($H$113:L113)/$B$113</f>
        <v>0</v>
      </c>
      <c r="M114" s="46">
        <f>SUM($H$113:M113)/$B$113</f>
        <v>5.1027634270962137E-2</v>
      </c>
      <c r="N114" s="46">
        <f>SUM($H$113:N113)/$B$113</f>
        <v>8.1629668678337292E-2</v>
      </c>
      <c r="O114" s="46">
        <f>SUM($H$113:O113)/$B$113</f>
        <v>0.15872497749393788</v>
      </c>
      <c r="P114" s="46">
        <f>SUM($H$113:P113)/$B$113</f>
        <v>0.27030395147121966</v>
      </c>
      <c r="Q114" s="46">
        <f>SUM($H$113:Q113)/$B$113</f>
        <v>0.38713061669058557</v>
      </c>
      <c r="R114" s="46">
        <f>SUM($H$113:R113)/$B$113</f>
        <v>0.45481492476797769</v>
      </c>
      <c r="S114" s="46">
        <f>SUM($H$113:S113)/$B$113</f>
        <v>0.47225295554759927</v>
      </c>
      <c r="T114" s="46">
        <f>SUM($H$113:T113)/$B$113</f>
        <v>0.49116613626992273</v>
      </c>
      <c r="U114" s="46">
        <f>SUM($H$113:U113)/$B$113</f>
        <v>0.52125528741907368</v>
      </c>
      <c r="V114" s="46">
        <f>SUM($H$113:V113)/$B$113</f>
        <v>0.54997674987962697</v>
      </c>
      <c r="W114" s="46">
        <f>SUM($H$113:W113)/$B$113</f>
        <v>0.58143358971737569</v>
      </c>
      <c r="X114" s="46">
        <f>SUM($H$113:X113)/$B$113</f>
        <v>0.78794296957339383</v>
      </c>
      <c r="Y114" s="46">
        <f>SUM($H$113:Y113)/$B$113</f>
        <v>0.99835404903354907</v>
      </c>
      <c r="Z114" s="46">
        <f>SUM($H$113:Z113)/$B$113</f>
        <v>0.99932179444190472</v>
      </c>
      <c r="AA114" s="46">
        <f>SUM($H$113:AA113)/$B$113</f>
        <v>1</v>
      </c>
      <c r="AB114" s="46">
        <f>SUM($H$113:AB113)/$B$113</f>
        <v>1</v>
      </c>
      <c r="AC114" s="46">
        <f>SUM($H$113:AC113)/$B$113</f>
        <v>1</v>
      </c>
      <c r="AD114" s="46">
        <f>SUM($H$113:AD113)/$B$113</f>
        <v>1</v>
      </c>
      <c r="AE114" s="46">
        <f>SUM($H$113:AE113)/$B$113</f>
        <v>1</v>
      </c>
      <c r="AF114" s="46">
        <f>SUM($H$113:AF113)/$B$113</f>
        <v>1</v>
      </c>
      <c r="AG114" s="46">
        <f>SUM($H$113:AG113)/$B$113</f>
        <v>1</v>
      </c>
      <c r="AH114" s="46">
        <f>SUM($H$113:AH113)/$B$113</f>
        <v>1</v>
      </c>
    </row>
    <row r="115" spans="1:34" x14ac:dyDescent="0.25">
      <c r="D115" t="s">
        <v>307</v>
      </c>
      <c r="H115" s="46">
        <f>H113/$B$113</f>
        <v>0</v>
      </c>
      <c r="I115" s="46">
        <f t="shared" ref="I115:AH115" si="19">I113/$B$113</f>
        <v>0</v>
      </c>
      <c r="J115" s="46">
        <f t="shared" si="19"/>
        <v>0</v>
      </c>
      <c r="K115" s="46">
        <f t="shared" si="19"/>
        <v>0</v>
      </c>
      <c r="L115" s="46">
        <f t="shared" si="19"/>
        <v>0</v>
      </c>
      <c r="M115" s="46">
        <f t="shared" si="19"/>
        <v>5.1027634270962137E-2</v>
      </c>
      <c r="N115" s="46">
        <f t="shared" si="19"/>
        <v>3.0602034407375148E-2</v>
      </c>
      <c r="O115" s="46">
        <f t="shared" si="19"/>
        <v>7.7095308815600602E-2</v>
      </c>
      <c r="P115" s="46">
        <f t="shared" si="19"/>
        <v>0.1115789739772818</v>
      </c>
      <c r="Q115" s="46">
        <f t="shared" si="19"/>
        <v>0.11682666521936587</v>
      </c>
      <c r="R115" s="46">
        <f t="shared" si="19"/>
        <v>6.7684308077392119E-2</v>
      </c>
      <c r="S115" s="46">
        <f t="shared" si="19"/>
        <v>1.7438030779621593E-2</v>
      </c>
      <c r="T115" s="46">
        <f t="shared" si="19"/>
        <v>1.8913180722323474E-2</v>
      </c>
      <c r="U115" s="46">
        <f t="shared" si="19"/>
        <v>3.0089151149150981E-2</v>
      </c>
      <c r="V115" s="46">
        <f t="shared" si="19"/>
        <v>2.872146246055321E-2</v>
      </c>
      <c r="W115" s="46">
        <f t="shared" si="19"/>
        <v>3.1456839837748753E-2</v>
      </c>
      <c r="X115" s="46">
        <f t="shared" si="19"/>
        <v>0.20650937985601811</v>
      </c>
      <c r="Y115" s="46">
        <f t="shared" si="19"/>
        <v>0.21041107946015522</v>
      </c>
      <c r="Z115" s="46">
        <f t="shared" si="19"/>
        <v>9.677454083556568E-4</v>
      </c>
      <c r="AA115" s="46">
        <f t="shared" si="19"/>
        <v>6.7820555809532405E-4</v>
      </c>
      <c r="AB115" s="46">
        <f t="shared" si="19"/>
        <v>0</v>
      </c>
      <c r="AC115" s="46">
        <f t="shared" si="19"/>
        <v>0</v>
      </c>
      <c r="AD115" s="46">
        <f t="shared" si="19"/>
        <v>0</v>
      </c>
      <c r="AE115" s="46">
        <f t="shared" si="19"/>
        <v>0</v>
      </c>
      <c r="AF115" s="46">
        <f t="shared" si="19"/>
        <v>0</v>
      </c>
      <c r="AG115" s="46">
        <f t="shared" si="19"/>
        <v>0</v>
      </c>
      <c r="AH115" s="46">
        <f t="shared" si="19"/>
        <v>0</v>
      </c>
    </row>
    <row r="117" spans="1:34" x14ac:dyDescent="0.25">
      <c r="X117" s="2"/>
    </row>
  </sheetData>
  <mergeCells count="19">
    <mergeCell ref="B113:C113"/>
    <mergeCell ref="A2:A3"/>
    <mergeCell ref="B2:B3"/>
    <mergeCell ref="C2:C3"/>
    <mergeCell ref="A14:A15"/>
    <mergeCell ref="B14:B15"/>
    <mergeCell ref="C14:C15"/>
    <mergeCell ref="A37:A38"/>
    <mergeCell ref="B37:B38"/>
    <mergeCell ref="C37:C38"/>
    <mergeCell ref="A55:A59"/>
    <mergeCell ref="B55:B59"/>
    <mergeCell ref="C55:C59"/>
    <mergeCell ref="A72:A73"/>
    <mergeCell ref="B72:B73"/>
    <mergeCell ref="C72:C73"/>
    <mergeCell ref="A87:A88"/>
    <mergeCell ref="B87:B88"/>
    <mergeCell ref="C87:C8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89B28-86D1-4796-A9C5-FFA2F03BFC45}">
  <dimension ref="A1:F17"/>
  <sheetViews>
    <sheetView workbookViewId="0"/>
  </sheetViews>
  <sheetFormatPr defaultRowHeight="15" x14ac:dyDescent="0.25"/>
  <cols>
    <col min="1" max="1" width="28.28515625" bestFit="1" customWidth="1"/>
    <col min="2" max="2" width="38.7109375" bestFit="1" customWidth="1"/>
    <col min="4" max="4" width="18.28515625" bestFit="1" customWidth="1"/>
    <col min="6" max="6" width="15.42578125" bestFit="1" customWidth="1"/>
  </cols>
  <sheetData>
    <row r="1" spans="1:6" ht="21" x14ac:dyDescent="0.35">
      <c r="A1" s="50" t="s">
        <v>318</v>
      </c>
      <c r="B1" s="54">
        <f>SUM(B2:B5)</f>
        <v>833869272021</v>
      </c>
      <c r="D1" s="64">
        <f>B1/27252</f>
        <v>30598461.471488331</v>
      </c>
    </row>
    <row r="2" spans="1:6" ht="18.75" x14ac:dyDescent="0.3">
      <c r="A2" s="51" t="s">
        <v>319</v>
      </c>
      <c r="B2" s="55">
        <f>'Cost calculation'!AI101</f>
        <v>40088564733</v>
      </c>
      <c r="D2" s="64">
        <f t="shared" ref="D2:D17" si="0">B2/27252</f>
        <v>1471032.024548657</v>
      </c>
    </row>
    <row r="3" spans="1:6" ht="18.75" x14ac:dyDescent="0.3">
      <c r="A3" s="51" t="s">
        <v>320</v>
      </c>
      <c r="B3" s="55">
        <f>'Cost calculation'!AI102</f>
        <v>315396661680</v>
      </c>
      <c r="D3" s="64">
        <f t="shared" si="0"/>
        <v>11573340</v>
      </c>
      <c r="F3" s="79"/>
    </row>
    <row r="4" spans="1:6" ht="18.75" x14ac:dyDescent="0.3">
      <c r="A4" s="51" t="s">
        <v>321</v>
      </c>
      <c r="B4" s="55">
        <f>'Cost calculation'!AI103</f>
        <v>472661125608</v>
      </c>
      <c r="D4" s="64">
        <f t="shared" si="0"/>
        <v>17344089.446939673</v>
      </c>
    </row>
    <row r="5" spans="1:6" ht="18.75" x14ac:dyDescent="0.3">
      <c r="A5" s="51" t="s">
        <v>337</v>
      </c>
      <c r="B5" s="55">
        <f>'Cost calculation'!AI105</f>
        <v>5722920000</v>
      </c>
      <c r="D5" s="64">
        <f t="shared" si="0"/>
        <v>210000</v>
      </c>
    </row>
    <row r="6" spans="1:6" ht="21" x14ac:dyDescent="0.35">
      <c r="A6" s="52"/>
      <c r="B6" s="56"/>
      <c r="D6" s="64"/>
    </row>
    <row r="7" spans="1:6" ht="21" x14ac:dyDescent="0.35">
      <c r="A7" s="47" t="s">
        <v>303</v>
      </c>
      <c r="B7" s="57">
        <f>'Cost calculation'!AI104</f>
        <v>93310848000</v>
      </c>
      <c r="D7" s="64">
        <f t="shared" si="0"/>
        <v>3424000</v>
      </c>
    </row>
    <row r="8" spans="1:6" ht="21" x14ac:dyDescent="0.35">
      <c r="A8" s="53"/>
      <c r="B8" s="58"/>
      <c r="D8" s="64"/>
    </row>
    <row r="9" spans="1:6" ht="21" x14ac:dyDescent="0.35">
      <c r="A9" s="47" t="s">
        <v>313</v>
      </c>
      <c r="B9" s="57">
        <f>1671124.156*27252</f>
        <v>45541475499.311996</v>
      </c>
      <c r="D9" s="64">
        <f t="shared" si="0"/>
        <v>1671124.156</v>
      </c>
      <c r="F9" s="77"/>
    </row>
    <row r="10" spans="1:6" ht="21" x14ac:dyDescent="0.35">
      <c r="A10" s="47"/>
      <c r="B10" s="57"/>
      <c r="D10" s="64"/>
    </row>
    <row r="11" spans="1:6" ht="21" x14ac:dyDescent="0.35">
      <c r="A11" s="47" t="s">
        <v>314</v>
      </c>
      <c r="B11" s="57">
        <f ca="1">-'Cash Flow calculation'!L31</f>
        <v>7431265073.3846083</v>
      </c>
      <c r="D11" s="64">
        <f t="shared" ca="1" si="0"/>
        <v>272686.96144813619</v>
      </c>
    </row>
    <row r="12" spans="1:6" ht="18.75" x14ac:dyDescent="0.3">
      <c r="A12" s="48"/>
      <c r="B12" s="59"/>
      <c r="D12" s="64"/>
    </row>
    <row r="13" spans="1:6" ht="21.75" thickBot="1" x14ac:dyDescent="0.4">
      <c r="A13" s="49" t="s">
        <v>315</v>
      </c>
      <c r="B13" s="60">
        <f ca="1">SUM(B2:B11)</f>
        <v>980152860593.69666</v>
      </c>
      <c r="D13" s="64">
        <f t="shared" ca="1" si="0"/>
        <v>35966272.58893647</v>
      </c>
    </row>
    <row r="14" spans="1:6" ht="18.75" x14ac:dyDescent="0.3">
      <c r="A14" s="48"/>
      <c r="B14" s="59"/>
      <c r="D14" s="64"/>
    </row>
    <row r="15" spans="1:6" ht="21" x14ac:dyDescent="0.35">
      <c r="A15" s="47" t="s">
        <v>316</v>
      </c>
      <c r="B15" s="61">
        <f ca="1">0.12*B13</f>
        <v>117618343271.24359</v>
      </c>
      <c r="D15" s="64">
        <f t="shared" ca="1" si="0"/>
        <v>4315952.7106723757</v>
      </c>
    </row>
    <row r="16" spans="1:6" ht="18.75" x14ac:dyDescent="0.3">
      <c r="A16" s="48"/>
      <c r="B16" s="59"/>
      <c r="D16" s="64"/>
    </row>
    <row r="17" spans="1:4" ht="21.75" thickBot="1" x14ac:dyDescent="0.4">
      <c r="A17" s="49" t="s">
        <v>317</v>
      </c>
      <c r="B17" s="60">
        <f ca="1">B13+B15</f>
        <v>1097771203864.9402</v>
      </c>
      <c r="D17" s="64">
        <f t="shared" ca="1" si="0"/>
        <v>40282225.299608842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Cash Flow calculation</vt:lpstr>
      <vt:lpstr>Cash flow graph</vt:lpstr>
      <vt:lpstr>Cost calculation</vt:lpstr>
      <vt:lpstr>Price calculation</vt:lpstr>
    </vt:vector>
  </TitlesOfParts>
  <Manager>Luca Bajardi</Manager>
  <Company>Global Manufacturing Constructions S.r.l.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Long Binh Manufacturing Plant Construction Project</dc:title>
  <dc:subject>Price calculation and Cash Flow graph</dc:subject>
  <dc:creator>Luca Bajardi; Giulia Ferrando</dc:creator>
  <cp:lastModifiedBy>Matteo</cp:lastModifiedBy>
  <dcterms:created xsi:type="dcterms:W3CDTF">2020-11-12T14:25:07Z</dcterms:created>
  <dcterms:modified xsi:type="dcterms:W3CDTF">2020-12-03T09:13:03Z</dcterms:modified>
</cp:coreProperties>
</file>