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zhaw.sharepoint.com/sites/ATMSSPABA/Freigegebene Dokumente/General/BA/Daten_LSZH_2024/Scripts/relevant_scripts_Gufi/"/>
    </mc:Choice>
  </mc:AlternateContent>
  <xr:revisionPtr revIDLastSave="30" documentId="8_{A91E3328-4CBF-4356-B88C-8A2A272B9BA8}" xr6:coauthVersionLast="47" xr6:coauthVersionMax="47" xr10:uidLastSave="{3DBB5BF0-1D88-436F-AA6C-C28C1B72AC18}"/>
  <bookViews>
    <workbookView xWindow="-120" yWindow="-120" windowWidth="29040" windowHeight="15720" firstSheet="1" activeTab="1" xr2:uid="{D92838AE-D87B-4314-8D4F-61526C914072}"/>
  </bookViews>
  <sheets>
    <sheet name="NPV" sheetId="2" r:id="rId1"/>
    <sheet name="Sensitivity_Alternative_Case_N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J19" i="4"/>
  <c r="I19" i="4"/>
  <c r="H19" i="4"/>
  <c r="G19" i="4"/>
  <c r="J18" i="4"/>
  <c r="I18" i="4"/>
  <c r="H18" i="4"/>
  <c r="G18" i="4"/>
  <c r="J17" i="4"/>
  <c r="I17" i="4"/>
  <c r="H17" i="4"/>
  <c r="G17" i="4"/>
  <c r="J16" i="4"/>
  <c r="I16" i="4"/>
  <c r="H16" i="4"/>
  <c r="G16" i="4"/>
  <c r="J15" i="4"/>
  <c r="I15" i="4"/>
  <c r="H15" i="4"/>
  <c r="G15" i="4"/>
  <c r="J14" i="4"/>
  <c r="I14" i="4"/>
  <c r="H14" i="4"/>
  <c r="G14" i="4"/>
  <c r="J13" i="4"/>
  <c r="I13" i="4"/>
  <c r="H13" i="4"/>
  <c r="G13" i="4"/>
  <c r="J12" i="4"/>
  <c r="I12" i="4"/>
  <c r="H12" i="4"/>
  <c r="G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K5" i="2"/>
  <c r="K8" i="2"/>
  <c r="G9" i="2"/>
  <c r="K9" i="2"/>
  <c r="O9" i="2"/>
  <c r="C10" i="2"/>
  <c r="D31" i="2" s="1"/>
  <c r="G10" i="2"/>
  <c r="K10" i="2"/>
  <c r="K11" i="2"/>
  <c r="K12" i="2"/>
  <c r="L121" i="2" s="1"/>
  <c r="B21" i="2"/>
  <c r="B23" i="2"/>
  <c r="C23" i="2" s="1"/>
  <c r="B26" i="2"/>
  <c r="B39" i="2" s="1"/>
  <c r="C31" i="2"/>
  <c r="F31" i="2"/>
  <c r="G31" i="2"/>
  <c r="H31" i="2"/>
  <c r="I31" i="2"/>
  <c r="J31" i="2"/>
  <c r="K31" i="2"/>
  <c r="L31" i="2"/>
  <c r="C33" i="2"/>
  <c r="D33" i="2"/>
  <c r="E33" i="2"/>
  <c r="F33" i="2"/>
  <c r="G33" i="2"/>
  <c r="H33" i="2"/>
  <c r="I33" i="2"/>
  <c r="J33" i="2"/>
  <c r="K33" i="2"/>
  <c r="L33" i="2"/>
  <c r="C34" i="2"/>
  <c r="D34" i="2"/>
  <c r="E34" i="2"/>
  <c r="F34" i="2"/>
  <c r="G34" i="2"/>
  <c r="H34" i="2"/>
  <c r="I34" i="2"/>
  <c r="J34" i="2"/>
  <c r="K34" i="2"/>
  <c r="L34" i="2"/>
  <c r="B40" i="2"/>
  <c r="B63" i="2"/>
  <c r="C63" i="2"/>
  <c r="C72" i="2" s="1"/>
  <c r="B65" i="2"/>
  <c r="C65" i="2"/>
  <c r="C78" i="2" s="1"/>
  <c r="C82" i="2" s="1"/>
  <c r="B68" i="2"/>
  <c r="C68" i="2"/>
  <c r="C71" i="2"/>
  <c r="C73" i="2"/>
  <c r="D73" i="2"/>
  <c r="E73" i="2"/>
  <c r="F73" i="2"/>
  <c r="G73" i="2"/>
  <c r="H73" i="2"/>
  <c r="I73" i="2"/>
  <c r="J73" i="2"/>
  <c r="K73" i="2"/>
  <c r="L73" i="2"/>
  <c r="C75" i="2"/>
  <c r="D75" i="2"/>
  <c r="E75" i="2"/>
  <c r="F75" i="2"/>
  <c r="G75" i="2"/>
  <c r="H75" i="2"/>
  <c r="I75" i="2"/>
  <c r="J75" i="2"/>
  <c r="K75" i="2"/>
  <c r="L75" i="2"/>
  <c r="C76" i="2"/>
  <c r="D76" i="2"/>
  <c r="E76" i="2"/>
  <c r="F76" i="2"/>
  <c r="G76" i="2"/>
  <c r="H76" i="2"/>
  <c r="I76" i="2"/>
  <c r="J76" i="2"/>
  <c r="K76" i="2"/>
  <c r="L76" i="2"/>
  <c r="C77" i="2"/>
  <c r="C79" i="2"/>
  <c r="B82" i="2"/>
  <c r="B93" i="2" s="1"/>
  <c r="B91" i="2"/>
  <c r="B94" i="2"/>
  <c r="B106" i="2"/>
  <c r="B107" i="2"/>
  <c r="B113" i="2" s="1"/>
  <c r="C108" i="2"/>
  <c r="C105" i="2" s="1"/>
  <c r="D108" i="2"/>
  <c r="E108" i="2"/>
  <c r="F108" i="2"/>
  <c r="G108" i="2"/>
  <c r="G122" i="2" s="1"/>
  <c r="H108" i="2"/>
  <c r="H120" i="2" s="1"/>
  <c r="I108" i="2"/>
  <c r="I120" i="2" s="1"/>
  <c r="J108" i="2"/>
  <c r="J118" i="2" s="1"/>
  <c r="K108" i="2"/>
  <c r="L108" i="2"/>
  <c r="B109" i="2"/>
  <c r="C109" i="2" s="1"/>
  <c r="C110" i="2"/>
  <c r="D110" i="2"/>
  <c r="D121" i="2" s="1"/>
  <c r="E110" i="2"/>
  <c r="F110" i="2"/>
  <c r="F121" i="2" s="1"/>
  <c r="G110" i="2"/>
  <c r="H110" i="2"/>
  <c r="I110" i="2"/>
  <c r="J110" i="2"/>
  <c r="K110" i="2"/>
  <c r="L110" i="2"/>
  <c r="C111" i="2"/>
  <c r="C118" i="2" s="1"/>
  <c r="D111" i="2"/>
  <c r="E111" i="2"/>
  <c r="F111" i="2"/>
  <c r="G111" i="2"/>
  <c r="H111" i="2"/>
  <c r="I111" i="2"/>
  <c r="I118" i="2" s="1"/>
  <c r="J111" i="2"/>
  <c r="K111" i="2"/>
  <c r="L111" i="2"/>
  <c r="B112" i="2"/>
  <c r="C112" i="2"/>
  <c r="D112" i="2"/>
  <c r="E112" i="2"/>
  <c r="E122" i="2" s="1"/>
  <c r="F112" i="2"/>
  <c r="G112" i="2"/>
  <c r="H112" i="2"/>
  <c r="H122" i="2" s="1"/>
  <c r="I112" i="2"/>
  <c r="J112" i="2"/>
  <c r="K112" i="2"/>
  <c r="L112" i="2"/>
  <c r="D118" i="2"/>
  <c r="E118" i="2"/>
  <c r="F118" i="2"/>
  <c r="G118" i="2"/>
  <c r="H118" i="2"/>
  <c r="C120" i="2"/>
  <c r="D120" i="2"/>
  <c r="E120" i="2"/>
  <c r="I121" i="2"/>
  <c r="J121" i="2"/>
  <c r="C122" i="2"/>
  <c r="D122" i="2"/>
  <c r="F122" i="2"/>
  <c r="B128" i="2"/>
  <c r="B137" i="2" s="1"/>
  <c r="B138" i="2"/>
  <c r="C151" i="2"/>
  <c r="C152" i="2" s="1"/>
  <c r="C153" i="2" s="1"/>
  <c r="B152" i="2"/>
  <c r="B153" i="2"/>
  <c r="B159" i="2" s="1"/>
  <c r="B155" i="2"/>
  <c r="C155" i="2" s="1"/>
  <c r="C164" i="2"/>
  <c r="D164" i="2"/>
  <c r="E164" i="2"/>
  <c r="F164" i="2"/>
  <c r="G164" i="2"/>
  <c r="H164" i="2"/>
  <c r="I164" i="2"/>
  <c r="J164" i="2"/>
  <c r="K164" i="2"/>
  <c r="L164" i="2"/>
  <c r="C166" i="2"/>
  <c r="D166" i="2"/>
  <c r="E166" i="2"/>
  <c r="F166" i="2"/>
  <c r="G166" i="2"/>
  <c r="H166" i="2"/>
  <c r="I166" i="2"/>
  <c r="J166" i="2"/>
  <c r="K166" i="2"/>
  <c r="L166" i="2"/>
  <c r="C167" i="2"/>
  <c r="D167" i="2"/>
  <c r="E167" i="2"/>
  <c r="F167" i="2"/>
  <c r="G167" i="2"/>
  <c r="H167" i="2"/>
  <c r="I167" i="2"/>
  <c r="J167" i="2"/>
  <c r="K167" i="2"/>
  <c r="L167" i="2"/>
  <c r="C168" i="2"/>
  <c r="D168" i="2"/>
  <c r="E168" i="2"/>
  <c r="F168" i="2"/>
  <c r="G168" i="2"/>
  <c r="H168" i="2"/>
  <c r="I168" i="2"/>
  <c r="J168" i="2"/>
  <c r="K168" i="2"/>
  <c r="L168" i="2"/>
  <c r="C170" i="2"/>
  <c r="B174" i="2"/>
  <c r="B185" i="2" s="1"/>
  <c r="B183" i="2"/>
  <c r="B186" i="2"/>
  <c r="G120" i="2" l="1"/>
  <c r="G121" i="2"/>
  <c r="C36" i="2"/>
  <c r="D23" i="2"/>
  <c r="C35" i="2"/>
  <c r="C40" i="2" s="1"/>
  <c r="C21" i="2"/>
  <c r="B127" i="2"/>
  <c r="B126" i="2"/>
  <c r="C159" i="2"/>
  <c r="C163" i="2"/>
  <c r="B49" i="2"/>
  <c r="B52" i="2"/>
  <c r="B51" i="2"/>
  <c r="B50" i="2"/>
  <c r="C106" i="2"/>
  <c r="C107" i="2" s="1"/>
  <c r="D105" i="2"/>
  <c r="C162" i="2"/>
  <c r="D109" i="2"/>
  <c r="C124" i="2"/>
  <c r="C123" i="2"/>
  <c r="C125" i="2"/>
  <c r="L118" i="2"/>
  <c r="L120" i="2"/>
  <c r="L122" i="2"/>
  <c r="C74" i="2"/>
  <c r="C81" i="2" s="1"/>
  <c r="K118" i="2"/>
  <c r="K120" i="2"/>
  <c r="K122" i="2"/>
  <c r="K121" i="2"/>
  <c r="C37" i="2"/>
  <c r="C174" i="2"/>
  <c r="B80" i="2"/>
  <c r="B81" i="2"/>
  <c r="C169" i="2"/>
  <c r="C171" i="2"/>
  <c r="D155" i="2"/>
  <c r="C93" i="2"/>
  <c r="C92" i="2"/>
  <c r="C94" i="2"/>
  <c r="B173" i="2"/>
  <c r="B172" i="2"/>
  <c r="F120" i="2"/>
  <c r="C91" i="2"/>
  <c r="B45" i="2"/>
  <c r="B48" i="2"/>
  <c r="B47" i="2"/>
  <c r="B46" i="2"/>
  <c r="C116" i="2"/>
  <c r="H121" i="2"/>
  <c r="D151" i="2"/>
  <c r="B184" i="2"/>
  <c r="E121" i="2"/>
  <c r="B139" i="2"/>
  <c r="J122" i="2"/>
  <c r="B92" i="2"/>
  <c r="I122" i="2"/>
  <c r="C121" i="2"/>
  <c r="C128" i="2" s="1"/>
  <c r="B38" i="2"/>
  <c r="D65" i="2"/>
  <c r="J120" i="2"/>
  <c r="B140" i="2"/>
  <c r="E31" i="2"/>
  <c r="C137" i="2" l="1"/>
  <c r="C140" i="2"/>
  <c r="C139" i="2"/>
  <c r="C138" i="2"/>
  <c r="C87" i="2"/>
  <c r="C90" i="2"/>
  <c r="C89" i="2"/>
  <c r="C88" i="2"/>
  <c r="C80" i="2"/>
  <c r="B42" i="2"/>
  <c r="B41" i="2"/>
  <c r="B44" i="2"/>
  <c r="B43" i="2"/>
  <c r="C172" i="2"/>
  <c r="C173" i="2"/>
  <c r="B87" i="2"/>
  <c r="B90" i="2"/>
  <c r="B89" i="2"/>
  <c r="B88" i="2"/>
  <c r="B84" i="2"/>
  <c r="B83" i="2"/>
  <c r="B86" i="2"/>
  <c r="B85" i="2"/>
  <c r="B131" i="2"/>
  <c r="B130" i="2"/>
  <c r="B129" i="2"/>
  <c r="B132" i="2"/>
  <c r="B134" i="2"/>
  <c r="B133" i="2"/>
  <c r="B136" i="2"/>
  <c r="B135" i="2"/>
  <c r="C186" i="2"/>
  <c r="C185" i="2"/>
  <c r="C183" i="2"/>
  <c r="C184" i="2"/>
  <c r="C26" i="2"/>
  <c r="C30" i="2"/>
  <c r="C29" i="2"/>
  <c r="C32" i="2" s="1"/>
  <c r="D125" i="2"/>
  <c r="E109" i="2"/>
  <c r="D124" i="2"/>
  <c r="D123" i="2"/>
  <c r="D128" i="2" s="1"/>
  <c r="C49" i="2"/>
  <c r="C52" i="2"/>
  <c r="C51" i="2"/>
  <c r="C50" i="2"/>
  <c r="D36" i="2"/>
  <c r="E23" i="2"/>
  <c r="D35" i="2"/>
  <c r="D40" i="2" s="1"/>
  <c r="D37" i="2"/>
  <c r="D21" i="2"/>
  <c r="C165" i="2"/>
  <c r="B175" i="2"/>
  <c r="B178" i="2"/>
  <c r="B177" i="2"/>
  <c r="B176" i="2"/>
  <c r="D170" i="2"/>
  <c r="D169" i="2"/>
  <c r="D171" i="2"/>
  <c r="E155" i="2"/>
  <c r="D106" i="2"/>
  <c r="D107" i="2" s="1"/>
  <c r="E105" i="2"/>
  <c r="D152" i="2"/>
  <c r="D153" i="2" s="1"/>
  <c r="E151" i="2"/>
  <c r="B179" i="2"/>
  <c r="B182" i="2"/>
  <c r="B181" i="2"/>
  <c r="B180" i="2"/>
  <c r="C113" i="2"/>
  <c r="C117" i="2"/>
  <c r="C119" i="2" s="1"/>
  <c r="D78" i="2"/>
  <c r="E65" i="2"/>
  <c r="D77" i="2"/>
  <c r="D82" i="2" s="1"/>
  <c r="D63" i="2"/>
  <c r="D79" i="2"/>
  <c r="D162" i="2" l="1"/>
  <c r="D159" i="2"/>
  <c r="D163" i="2"/>
  <c r="D94" i="2"/>
  <c r="D93" i="2"/>
  <c r="D92" i="2"/>
  <c r="D91" i="2"/>
  <c r="E106" i="2"/>
  <c r="E107" i="2" s="1"/>
  <c r="F105" i="2"/>
  <c r="E78" i="2"/>
  <c r="F65" i="2"/>
  <c r="E77" i="2"/>
  <c r="E82" i="2" s="1"/>
  <c r="E63" i="2"/>
  <c r="E79" i="2"/>
  <c r="D117" i="2"/>
  <c r="D113" i="2"/>
  <c r="D116" i="2"/>
  <c r="D119" i="2" s="1"/>
  <c r="E170" i="2"/>
  <c r="E169" i="2"/>
  <c r="E174" i="2" s="1"/>
  <c r="E171" i="2"/>
  <c r="F155" i="2"/>
  <c r="C84" i="2"/>
  <c r="C83" i="2"/>
  <c r="C86" i="2"/>
  <c r="C85" i="2"/>
  <c r="D174" i="2"/>
  <c r="D68" i="2"/>
  <c r="D72" i="2"/>
  <c r="D71" i="2"/>
  <c r="D137" i="2"/>
  <c r="D140" i="2"/>
  <c r="D139" i="2"/>
  <c r="D138" i="2"/>
  <c r="C179" i="2"/>
  <c r="C182" i="2"/>
  <c r="C181" i="2"/>
  <c r="C180" i="2"/>
  <c r="C127" i="2"/>
  <c r="C126" i="2"/>
  <c r="C176" i="2"/>
  <c r="C175" i="2"/>
  <c r="C178" i="2"/>
  <c r="C177" i="2"/>
  <c r="D49" i="2"/>
  <c r="D52" i="2"/>
  <c r="D51" i="2"/>
  <c r="D50" i="2"/>
  <c r="E125" i="2"/>
  <c r="F109" i="2"/>
  <c r="E124" i="2"/>
  <c r="E123" i="2"/>
  <c r="E36" i="2"/>
  <c r="F23" i="2"/>
  <c r="E35" i="2"/>
  <c r="E40" i="2" s="1"/>
  <c r="E37" i="2"/>
  <c r="E21" i="2"/>
  <c r="C39" i="2"/>
  <c r="C38" i="2"/>
  <c r="E152" i="2"/>
  <c r="E153" i="2" s="1"/>
  <c r="F151" i="2"/>
  <c r="D26" i="2"/>
  <c r="D30" i="2"/>
  <c r="D29" i="2"/>
  <c r="D32" i="2" s="1"/>
  <c r="F78" i="2" l="1"/>
  <c r="G65" i="2"/>
  <c r="F77" i="2"/>
  <c r="F82" i="2" s="1"/>
  <c r="F63" i="2"/>
  <c r="F79" i="2"/>
  <c r="F152" i="2"/>
  <c r="F153" i="2" s="1"/>
  <c r="G151" i="2"/>
  <c r="E49" i="2"/>
  <c r="E52" i="2"/>
  <c r="E51" i="2"/>
  <c r="E50" i="2"/>
  <c r="F170" i="2"/>
  <c r="F169" i="2"/>
  <c r="F174" i="2" s="1"/>
  <c r="G155" i="2"/>
  <c r="F171" i="2"/>
  <c r="F106" i="2"/>
  <c r="F107" i="2" s="1"/>
  <c r="G105" i="2"/>
  <c r="D74" i="2"/>
  <c r="D81" i="2" s="1"/>
  <c r="E117" i="2"/>
  <c r="E113" i="2"/>
  <c r="E116" i="2"/>
  <c r="E186" i="2"/>
  <c r="E185" i="2"/>
  <c r="E184" i="2"/>
  <c r="E183" i="2"/>
  <c r="E91" i="2"/>
  <c r="E94" i="2"/>
  <c r="E93" i="2"/>
  <c r="E92" i="2"/>
  <c r="E128" i="2"/>
  <c r="C131" i="2"/>
  <c r="C130" i="2"/>
  <c r="C129" i="2"/>
  <c r="C132" i="2"/>
  <c r="E26" i="2"/>
  <c r="E30" i="2"/>
  <c r="E29" i="2"/>
  <c r="C134" i="2"/>
  <c r="C133" i="2"/>
  <c r="C136" i="2"/>
  <c r="C135" i="2"/>
  <c r="F125" i="2"/>
  <c r="G109" i="2"/>
  <c r="F124" i="2"/>
  <c r="F123" i="2"/>
  <c r="D183" i="2"/>
  <c r="D185" i="2"/>
  <c r="D184" i="2"/>
  <c r="D186" i="2"/>
  <c r="D39" i="2"/>
  <c r="D38" i="2"/>
  <c r="F37" i="2"/>
  <c r="F36" i="2"/>
  <c r="G23" i="2"/>
  <c r="F35" i="2"/>
  <c r="F40" i="2" s="1"/>
  <c r="F21" i="2"/>
  <c r="D127" i="2"/>
  <c r="D126" i="2"/>
  <c r="D173" i="2"/>
  <c r="D172" i="2"/>
  <c r="C42" i="2"/>
  <c r="C41" i="2"/>
  <c r="C44" i="2"/>
  <c r="C43" i="2"/>
  <c r="D165" i="2"/>
  <c r="E162" i="2"/>
  <c r="E159" i="2"/>
  <c r="E163" i="2"/>
  <c r="C46" i="2"/>
  <c r="C45" i="2"/>
  <c r="C48" i="2"/>
  <c r="C47" i="2"/>
  <c r="E68" i="2"/>
  <c r="E72" i="2"/>
  <c r="E71" i="2"/>
  <c r="D87" i="2" l="1"/>
  <c r="D90" i="2"/>
  <c r="D89" i="2"/>
  <c r="D88" i="2"/>
  <c r="E74" i="2"/>
  <c r="D176" i="2"/>
  <c r="D175" i="2"/>
  <c r="D178" i="2"/>
  <c r="D177" i="2"/>
  <c r="F128" i="2"/>
  <c r="E119" i="2"/>
  <c r="E127" i="2" s="1"/>
  <c r="D134" i="2"/>
  <c r="D133" i="2"/>
  <c r="D136" i="2"/>
  <c r="D135" i="2"/>
  <c r="G78" i="2"/>
  <c r="H65" i="2"/>
  <c r="G77" i="2"/>
  <c r="G82" i="2" s="1"/>
  <c r="G63" i="2"/>
  <c r="G79" i="2"/>
  <c r="G106" i="2"/>
  <c r="G107" i="2" s="1"/>
  <c r="H105" i="2"/>
  <c r="F29" i="2"/>
  <c r="F26" i="2"/>
  <c r="F30" i="2"/>
  <c r="F117" i="2"/>
  <c r="F113" i="2"/>
  <c r="F116" i="2"/>
  <c r="F119" i="2" s="1"/>
  <c r="F49" i="2"/>
  <c r="F52" i="2"/>
  <c r="F51" i="2"/>
  <c r="F50" i="2"/>
  <c r="D179" i="2"/>
  <c r="D182" i="2"/>
  <c r="D181" i="2"/>
  <c r="D180" i="2"/>
  <c r="H155" i="2"/>
  <c r="G170" i="2"/>
  <c r="G169" i="2"/>
  <c r="G174" i="2" s="1"/>
  <c r="G171" i="2"/>
  <c r="F183" i="2"/>
  <c r="F186" i="2"/>
  <c r="F185" i="2"/>
  <c r="F184" i="2"/>
  <c r="E81" i="2"/>
  <c r="E80" i="2"/>
  <c r="L69" i="2"/>
  <c r="E165" i="2"/>
  <c r="E173" i="2" s="1"/>
  <c r="E32" i="2"/>
  <c r="E39" i="2" s="1"/>
  <c r="D80" i="2"/>
  <c r="F91" i="2"/>
  <c r="F94" i="2"/>
  <c r="F93" i="2"/>
  <c r="F92" i="2"/>
  <c r="D43" i="2"/>
  <c r="D42" i="2"/>
  <c r="D41" i="2"/>
  <c r="D44" i="2"/>
  <c r="G125" i="2"/>
  <c r="H109" i="2"/>
  <c r="G124" i="2"/>
  <c r="G123" i="2"/>
  <c r="G128" i="2" s="1"/>
  <c r="D46" i="2"/>
  <c r="D45" i="2"/>
  <c r="D48" i="2"/>
  <c r="D47" i="2"/>
  <c r="D131" i="2"/>
  <c r="D130" i="2"/>
  <c r="D129" i="2"/>
  <c r="D132" i="2"/>
  <c r="F68" i="2"/>
  <c r="F72" i="2"/>
  <c r="F71" i="2"/>
  <c r="F74" i="2" s="1"/>
  <c r="E138" i="2"/>
  <c r="E137" i="2"/>
  <c r="E140" i="2"/>
  <c r="E139" i="2"/>
  <c r="G21" i="2"/>
  <c r="G37" i="2"/>
  <c r="G36" i="2"/>
  <c r="H23" i="2"/>
  <c r="G35" i="2"/>
  <c r="G40" i="2" s="1"/>
  <c r="G152" i="2"/>
  <c r="G153" i="2" s="1"/>
  <c r="H151" i="2"/>
  <c r="F162" i="2"/>
  <c r="F159" i="2"/>
  <c r="F163" i="2"/>
  <c r="E180" i="2" l="1"/>
  <c r="E179" i="2"/>
  <c r="E182" i="2"/>
  <c r="E181" i="2"/>
  <c r="E134" i="2"/>
  <c r="E136" i="2"/>
  <c r="E133" i="2"/>
  <c r="E135" i="2"/>
  <c r="E46" i="2"/>
  <c r="E45" i="2"/>
  <c r="E48" i="2"/>
  <c r="E47" i="2"/>
  <c r="D84" i="2"/>
  <c r="D83" i="2"/>
  <c r="D86" i="2"/>
  <c r="D85" i="2"/>
  <c r="H171" i="2"/>
  <c r="H170" i="2"/>
  <c r="H169" i="2"/>
  <c r="H174" i="2" s="1"/>
  <c r="I155" i="2"/>
  <c r="G138" i="2"/>
  <c r="G137" i="2"/>
  <c r="G140" i="2"/>
  <c r="G139" i="2"/>
  <c r="F32" i="2"/>
  <c r="F39" i="2" s="1"/>
  <c r="F137" i="2"/>
  <c r="F140" i="2"/>
  <c r="F139" i="2"/>
  <c r="F138" i="2"/>
  <c r="E84" i="2"/>
  <c r="E83" i="2"/>
  <c r="E86" i="2"/>
  <c r="E85" i="2"/>
  <c r="H106" i="2"/>
  <c r="H107" i="2" s="1"/>
  <c r="I105" i="2"/>
  <c r="E87" i="2"/>
  <c r="E90" i="2"/>
  <c r="E89" i="2"/>
  <c r="E88" i="2"/>
  <c r="G117" i="2"/>
  <c r="G113" i="2"/>
  <c r="G116" i="2"/>
  <c r="G119" i="2" s="1"/>
  <c r="I151" i="2"/>
  <c r="H152" i="2"/>
  <c r="H153" i="2" s="1"/>
  <c r="G186" i="2"/>
  <c r="G183" i="2"/>
  <c r="G185" i="2"/>
  <c r="G184" i="2"/>
  <c r="H123" i="2"/>
  <c r="H125" i="2"/>
  <c r="I109" i="2"/>
  <c r="H124" i="2"/>
  <c r="G68" i="2"/>
  <c r="G72" i="2"/>
  <c r="G71" i="2"/>
  <c r="G74" i="2" s="1"/>
  <c r="G29" i="2"/>
  <c r="G26" i="2"/>
  <c r="G30" i="2"/>
  <c r="G91" i="2"/>
  <c r="G94" i="2"/>
  <c r="G93" i="2"/>
  <c r="G92" i="2"/>
  <c r="H78" i="2"/>
  <c r="I65" i="2"/>
  <c r="H77" i="2"/>
  <c r="H79" i="2"/>
  <c r="H63" i="2"/>
  <c r="E172" i="2"/>
  <c r="F81" i="2"/>
  <c r="F80" i="2"/>
  <c r="H21" i="2"/>
  <c r="H37" i="2"/>
  <c r="H36" i="2"/>
  <c r="H35" i="2"/>
  <c r="H40" i="2" s="1"/>
  <c r="I23" i="2"/>
  <c r="L160" i="2"/>
  <c r="E38" i="2"/>
  <c r="F165" i="2"/>
  <c r="F173" i="2" s="1"/>
  <c r="E126" i="2"/>
  <c r="G162" i="2"/>
  <c r="G159" i="2"/>
  <c r="G163" i="2"/>
  <c r="F127" i="2"/>
  <c r="F126" i="2"/>
  <c r="G50" i="2"/>
  <c r="G49" i="2"/>
  <c r="G52" i="2"/>
  <c r="G51" i="2"/>
  <c r="H128" i="2" l="1"/>
  <c r="F179" i="2"/>
  <c r="F182" i="2"/>
  <c r="F181" i="2"/>
  <c r="F180" i="2"/>
  <c r="F46" i="2"/>
  <c r="F45" i="2"/>
  <c r="F48" i="2"/>
  <c r="F47" i="2"/>
  <c r="H138" i="2"/>
  <c r="H137" i="2"/>
  <c r="H140" i="2"/>
  <c r="H139" i="2"/>
  <c r="H29" i="2"/>
  <c r="H26" i="2"/>
  <c r="H30" i="2"/>
  <c r="F135" i="2"/>
  <c r="F134" i="2"/>
  <c r="F133" i="2"/>
  <c r="F136" i="2"/>
  <c r="F84" i="2"/>
  <c r="F83" i="2"/>
  <c r="F86" i="2"/>
  <c r="F85" i="2"/>
  <c r="I106" i="2"/>
  <c r="I107" i="2" s="1"/>
  <c r="J105" i="2"/>
  <c r="F88" i="2"/>
  <c r="F87" i="2"/>
  <c r="F90" i="2"/>
  <c r="F89" i="2"/>
  <c r="H117" i="2"/>
  <c r="H116" i="2"/>
  <c r="H119" i="2" s="1"/>
  <c r="H113" i="2"/>
  <c r="F38" i="2"/>
  <c r="H163" i="2"/>
  <c r="H162" i="2"/>
  <c r="H165" i="2" s="1"/>
  <c r="H159" i="2"/>
  <c r="G165" i="2"/>
  <c r="E176" i="2"/>
  <c r="E175" i="2"/>
  <c r="E177" i="2"/>
  <c r="E178" i="2"/>
  <c r="I152" i="2"/>
  <c r="I153" i="2" s="1"/>
  <c r="J151" i="2"/>
  <c r="J155" i="2"/>
  <c r="I170" i="2"/>
  <c r="I171" i="2"/>
  <c r="I169" i="2"/>
  <c r="I174" i="2" s="1"/>
  <c r="H50" i="2"/>
  <c r="H49" i="2"/>
  <c r="H52" i="2"/>
  <c r="H51" i="2"/>
  <c r="E131" i="2"/>
  <c r="E130" i="2"/>
  <c r="E129" i="2"/>
  <c r="E132" i="2"/>
  <c r="H183" i="2"/>
  <c r="H186" i="2"/>
  <c r="H185" i="2"/>
  <c r="H184" i="2"/>
  <c r="G32" i="2"/>
  <c r="G39" i="2" s="1"/>
  <c r="I21" i="2"/>
  <c r="I37" i="2"/>
  <c r="I36" i="2"/>
  <c r="I35" i="2"/>
  <c r="I40" i="2" s="1"/>
  <c r="J23" i="2"/>
  <c r="G173" i="2"/>
  <c r="G172" i="2"/>
  <c r="E43" i="2"/>
  <c r="E42" i="2"/>
  <c r="E41" i="2"/>
  <c r="E44" i="2"/>
  <c r="H82" i="2"/>
  <c r="G81" i="2"/>
  <c r="G80" i="2"/>
  <c r="G127" i="2"/>
  <c r="G126" i="2"/>
  <c r="L114" i="2"/>
  <c r="F131" i="2"/>
  <c r="F130" i="2"/>
  <c r="F132" i="2"/>
  <c r="F129" i="2"/>
  <c r="H68" i="2"/>
  <c r="H72" i="2"/>
  <c r="H71" i="2"/>
  <c r="H74" i="2" s="1"/>
  <c r="F172" i="2"/>
  <c r="I79" i="2"/>
  <c r="I78" i="2"/>
  <c r="J65" i="2"/>
  <c r="I77" i="2"/>
  <c r="I82" i="2" s="1"/>
  <c r="I63" i="2"/>
  <c r="I123" i="2"/>
  <c r="I125" i="2"/>
  <c r="J109" i="2"/>
  <c r="I124" i="2"/>
  <c r="G46" i="2" l="1"/>
  <c r="G45" i="2"/>
  <c r="G48" i="2"/>
  <c r="G47" i="2"/>
  <c r="G180" i="2"/>
  <c r="G179" i="2"/>
  <c r="G182" i="2"/>
  <c r="G181" i="2"/>
  <c r="J106" i="2"/>
  <c r="J107" i="2" s="1"/>
  <c r="K105" i="2"/>
  <c r="I113" i="2"/>
  <c r="I117" i="2"/>
  <c r="I116" i="2"/>
  <c r="H173" i="2"/>
  <c r="H172" i="2"/>
  <c r="G132" i="2"/>
  <c r="G130" i="2"/>
  <c r="G131" i="2"/>
  <c r="G129" i="2"/>
  <c r="G134" i="2"/>
  <c r="G133" i="2"/>
  <c r="G136" i="2"/>
  <c r="G135" i="2"/>
  <c r="I29" i="2"/>
  <c r="I26" i="2"/>
  <c r="I30" i="2"/>
  <c r="G176" i="2"/>
  <c r="G175" i="2"/>
  <c r="G178" i="2"/>
  <c r="G177" i="2"/>
  <c r="I184" i="2"/>
  <c r="I183" i="2"/>
  <c r="I186" i="2"/>
  <c r="I185" i="2"/>
  <c r="J63" i="2"/>
  <c r="J79" i="2"/>
  <c r="J78" i="2"/>
  <c r="K65" i="2"/>
  <c r="J77" i="2"/>
  <c r="J82" i="2" s="1"/>
  <c r="G88" i="2"/>
  <c r="G87" i="2"/>
  <c r="G90" i="2"/>
  <c r="G89" i="2"/>
  <c r="F43" i="2"/>
  <c r="F42" i="2"/>
  <c r="F41" i="2"/>
  <c r="F44" i="2"/>
  <c r="I128" i="2"/>
  <c r="H91" i="2"/>
  <c r="H94" i="2"/>
  <c r="H93" i="2"/>
  <c r="H92" i="2"/>
  <c r="H127" i="2"/>
  <c r="H126" i="2"/>
  <c r="J123" i="2"/>
  <c r="J125" i="2"/>
  <c r="K109" i="2"/>
  <c r="J124" i="2"/>
  <c r="G85" i="2"/>
  <c r="G84" i="2"/>
  <c r="G83" i="2"/>
  <c r="G86" i="2"/>
  <c r="J171" i="2"/>
  <c r="K155" i="2"/>
  <c r="J170" i="2"/>
  <c r="J169" i="2"/>
  <c r="I93" i="2"/>
  <c r="I91" i="2"/>
  <c r="I94" i="2"/>
  <c r="I92" i="2"/>
  <c r="F177" i="2"/>
  <c r="F176" i="2"/>
  <c r="F178" i="2"/>
  <c r="F175" i="2"/>
  <c r="K151" i="2"/>
  <c r="J152" i="2"/>
  <c r="J153" i="2" s="1"/>
  <c r="J35" i="2"/>
  <c r="J21" i="2"/>
  <c r="J37" i="2"/>
  <c r="J36" i="2"/>
  <c r="K23" i="2"/>
  <c r="G38" i="2"/>
  <c r="I162" i="2"/>
  <c r="I159" i="2"/>
  <c r="I163" i="2"/>
  <c r="H32" i="2"/>
  <c r="H39" i="2" s="1"/>
  <c r="I50" i="2"/>
  <c r="I49" i="2"/>
  <c r="I52" i="2"/>
  <c r="I51" i="2"/>
  <c r="I71" i="2"/>
  <c r="I74" i="2" s="1"/>
  <c r="I68" i="2"/>
  <c r="I72" i="2"/>
  <c r="H81" i="2"/>
  <c r="H80" i="2"/>
  <c r="H47" i="2" l="1"/>
  <c r="H46" i="2"/>
  <c r="H45" i="2"/>
  <c r="H48" i="2"/>
  <c r="L151" i="2"/>
  <c r="L152" i="2" s="1"/>
  <c r="L153" i="2" s="1"/>
  <c r="K152" i="2"/>
  <c r="K153" i="2" s="1"/>
  <c r="I119" i="2"/>
  <c r="H38" i="2"/>
  <c r="L27" i="2"/>
  <c r="J128" i="2"/>
  <c r="I32" i="2"/>
  <c r="I39" i="2" s="1"/>
  <c r="K106" i="2"/>
  <c r="K107" i="2" s="1"/>
  <c r="L105" i="2"/>
  <c r="L106" i="2" s="1"/>
  <c r="L107" i="2" s="1"/>
  <c r="J92" i="2"/>
  <c r="J91" i="2"/>
  <c r="J94" i="2"/>
  <c r="J93" i="2"/>
  <c r="J113" i="2"/>
  <c r="J117" i="2"/>
  <c r="J116" i="2"/>
  <c r="J119" i="2" s="1"/>
  <c r="H129" i="2"/>
  <c r="H131" i="2"/>
  <c r="H130" i="2"/>
  <c r="H132" i="2"/>
  <c r="K63" i="2"/>
  <c r="K79" i="2"/>
  <c r="K78" i="2"/>
  <c r="K77" i="2"/>
  <c r="L65" i="2"/>
  <c r="H88" i="2"/>
  <c r="H87" i="2"/>
  <c r="H90" i="2"/>
  <c r="H89" i="2"/>
  <c r="H135" i="2"/>
  <c r="H134" i="2"/>
  <c r="H133" i="2"/>
  <c r="H136" i="2"/>
  <c r="I126" i="2"/>
  <c r="I127" i="2"/>
  <c r="I165" i="2"/>
  <c r="I173" i="2" s="1"/>
  <c r="G43" i="2"/>
  <c r="G42" i="2"/>
  <c r="G44" i="2"/>
  <c r="G41" i="2"/>
  <c r="K123" i="2"/>
  <c r="K128" i="2" s="1"/>
  <c r="K125" i="2"/>
  <c r="L109" i="2"/>
  <c r="K124" i="2"/>
  <c r="I81" i="2"/>
  <c r="I80" i="2"/>
  <c r="J174" i="2"/>
  <c r="J71" i="2"/>
  <c r="J68" i="2"/>
  <c r="J72" i="2"/>
  <c r="L23" i="2"/>
  <c r="K35" i="2"/>
  <c r="K21" i="2"/>
  <c r="K37" i="2"/>
  <c r="K36" i="2"/>
  <c r="L155" i="2"/>
  <c r="K171" i="2"/>
  <c r="K170" i="2"/>
  <c r="K169" i="2"/>
  <c r="H85" i="2"/>
  <c r="H84" i="2"/>
  <c r="H83" i="2"/>
  <c r="H86" i="2"/>
  <c r="I140" i="2"/>
  <c r="I138" i="2"/>
  <c r="I137" i="2"/>
  <c r="I139" i="2"/>
  <c r="J29" i="2"/>
  <c r="J26" i="2"/>
  <c r="J30" i="2"/>
  <c r="J40" i="2"/>
  <c r="H177" i="2"/>
  <c r="H176" i="2"/>
  <c r="H175" i="2"/>
  <c r="H178" i="2"/>
  <c r="J163" i="2"/>
  <c r="J162" i="2"/>
  <c r="J165" i="2" s="1"/>
  <c r="J159" i="2"/>
  <c r="H180" i="2"/>
  <c r="H179" i="2"/>
  <c r="H182" i="2"/>
  <c r="H181" i="2"/>
  <c r="K174" i="2" l="1"/>
  <c r="I47" i="2"/>
  <c r="I46" i="2"/>
  <c r="I45" i="2"/>
  <c r="I48" i="2"/>
  <c r="I180" i="2"/>
  <c r="I179" i="2"/>
  <c r="I182" i="2"/>
  <c r="I181" i="2"/>
  <c r="L169" i="2"/>
  <c r="L171" i="2"/>
  <c r="L170" i="2"/>
  <c r="K82" i="2"/>
  <c r="J38" i="2"/>
  <c r="K29" i="2"/>
  <c r="K32" i="2" s="1"/>
  <c r="K26" i="2"/>
  <c r="K30" i="2"/>
  <c r="K71" i="2"/>
  <c r="K68" i="2"/>
  <c r="K72" i="2"/>
  <c r="K40" i="2"/>
  <c r="J139" i="2"/>
  <c r="J138" i="2"/>
  <c r="J137" i="2"/>
  <c r="J140" i="2"/>
  <c r="I135" i="2"/>
  <c r="I134" i="2"/>
  <c r="I136" i="2"/>
  <c r="I133" i="2"/>
  <c r="I129" i="2"/>
  <c r="I132" i="2"/>
  <c r="I131" i="2"/>
  <c r="I130" i="2"/>
  <c r="I38" i="2"/>
  <c r="J74" i="2"/>
  <c r="J81" i="2" s="1"/>
  <c r="I172" i="2"/>
  <c r="H43" i="2"/>
  <c r="H42" i="2"/>
  <c r="H44" i="2"/>
  <c r="H41" i="2"/>
  <c r="K113" i="2"/>
  <c r="K117" i="2"/>
  <c r="K116" i="2"/>
  <c r="K119" i="2" s="1"/>
  <c r="J32" i="2"/>
  <c r="J39" i="2" s="1"/>
  <c r="J183" i="2"/>
  <c r="J186" i="2"/>
  <c r="J185" i="2"/>
  <c r="J184" i="2"/>
  <c r="I85" i="2"/>
  <c r="I84" i="2"/>
  <c r="I83" i="2"/>
  <c r="I86" i="2"/>
  <c r="K163" i="2"/>
  <c r="K162" i="2"/>
  <c r="K159" i="2"/>
  <c r="L163" i="2"/>
  <c r="L162" i="2"/>
  <c r="L165" i="2" s="1"/>
  <c r="L159" i="2"/>
  <c r="L113" i="2"/>
  <c r="L117" i="2"/>
  <c r="L116" i="2"/>
  <c r="L119" i="2" s="1"/>
  <c r="J173" i="2"/>
  <c r="J172" i="2"/>
  <c r="J126" i="2"/>
  <c r="J127" i="2"/>
  <c r="K184" i="2"/>
  <c r="K183" i="2"/>
  <c r="K186" i="2"/>
  <c r="K185" i="2"/>
  <c r="L123" i="2"/>
  <c r="L125" i="2"/>
  <c r="L124" i="2"/>
  <c r="L35" i="2"/>
  <c r="L21" i="2"/>
  <c r="L37" i="2"/>
  <c r="L36" i="2"/>
  <c r="I88" i="2"/>
  <c r="I87" i="2"/>
  <c r="I90" i="2"/>
  <c r="I89" i="2"/>
  <c r="J50" i="2"/>
  <c r="J49" i="2"/>
  <c r="J52" i="2"/>
  <c r="J51" i="2"/>
  <c r="K138" i="2"/>
  <c r="K137" i="2"/>
  <c r="K140" i="2"/>
  <c r="K139" i="2"/>
  <c r="L63" i="2"/>
  <c r="L79" i="2"/>
  <c r="L78" i="2"/>
  <c r="L77" i="2"/>
  <c r="L82" i="2" s="1"/>
  <c r="J47" i="2" l="1"/>
  <c r="J46" i="2"/>
  <c r="J45" i="2"/>
  <c r="J48" i="2"/>
  <c r="J90" i="2"/>
  <c r="J88" i="2"/>
  <c r="J87" i="2"/>
  <c r="J89" i="2"/>
  <c r="J181" i="2"/>
  <c r="J180" i="2"/>
  <c r="J182" i="2"/>
  <c r="J179" i="2"/>
  <c r="K38" i="2"/>
  <c r="K39" i="2"/>
  <c r="L126" i="2"/>
  <c r="L127" i="2"/>
  <c r="L30" i="2"/>
  <c r="L29" i="2"/>
  <c r="L26" i="2"/>
  <c r="L172" i="2"/>
  <c r="L173" i="2"/>
  <c r="K92" i="2"/>
  <c r="K91" i="2"/>
  <c r="K94" i="2"/>
  <c r="K93" i="2"/>
  <c r="K126" i="2"/>
  <c r="K127" i="2"/>
  <c r="L40" i="2"/>
  <c r="J41" i="2"/>
  <c r="J44" i="2"/>
  <c r="J43" i="2"/>
  <c r="J42" i="2"/>
  <c r="L174" i="2"/>
  <c r="L128" i="2"/>
  <c r="K165" i="2"/>
  <c r="K173" i="2" s="1"/>
  <c r="L92" i="2"/>
  <c r="L91" i="2"/>
  <c r="F95" i="2" s="1"/>
  <c r="L94" i="2"/>
  <c r="F98" i="2" s="1"/>
  <c r="L93" i="2"/>
  <c r="F97" i="2" s="1"/>
  <c r="L71" i="2"/>
  <c r="L68" i="2"/>
  <c r="L72" i="2"/>
  <c r="I177" i="2"/>
  <c r="I176" i="2"/>
  <c r="I175" i="2"/>
  <c r="I178" i="2"/>
  <c r="K50" i="2"/>
  <c r="K49" i="2"/>
  <c r="K52" i="2"/>
  <c r="K51" i="2"/>
  <c r="J80" i="2"/>
  <c r="J135" i="2"/>
  <c r="J134" i="2"/>
  <c r="J136" i="2"/>
  <c r="J133" i="2"/>
  <c r="K81" i="2"/>
  <c r="K80" i="2"/>
  <c r="J129" i="2"/>
  <c r="J132" i="2"/>
  <c r="J131" i="2"/>
  <c r="J130" i="2"/>
  <c r="I44" i="2"/>
  <c r="I43" i="2"/>
  <c r="I42" i="2"/>
  <c r="I41" i="2"/>
  <c r="K74" i="2"/>
  <c r="J177" i="2"/>
  <c r="J176" i="2"/>
  <c r="J178" i="2"/>
  <c r="J175" i="2"/>
  <c r="K180" i="2" l="1"/>
  <c r="K179" i="2"/>
  <c r="K182" i="2"/>
  <c r="K181" i="2"/>
  <c r="L133" i="2"/>
  <c r="L135" i="2"/>
  <c r="L134" i="2"/>
  <c r="L136" i="2"/>
  <c r="D144" i="2" s="1"/>
  <c r="K41" i="2"/>
  <c r="K44" i="2"/>
  <c r="K43" i="2"/>
  <c r="K42" i="2"/>
  <c r="L51" i="2"/>
  <c r="F55" i="2" s="1"/>
  <c r="L50" i="2"/>
  <c r="F54" i="2" s="1"/>
  <c r="L49" i="2"/>
  <c r="F53" i="2" s="1"/>
  <c r="L52" i="2"/>
  <c r="F56" i="2" s="1"/>
  <c r="L131" i="2"/>
  <c r="L129" i="2"/>
  <c r="L132" i="2"/>
  <c r="L130" i="2"/>
  <c r="K136" i="2"/>
  <c r="K135" i="2"/>
  <c r="K134" i="2"/>
  <c r="K133" i="2"/>
  <c r="K47" i="2"/>
  <c r="K46" i="2"/>
  <c r="K45" i="2"/>
  <c r="K48" i="2"/>
  <c r="K89" i="2"/>
  <c r="K88" i="2"/>
  <c r="K87" i="2"/>
  <c r="K90" i="2"/>
  <c r="L74" i="2"/>
  <c r="K129" i="2"/>
  <c r="K132" i="2"/>
  <c r="K131" i="2"/>
  <c r="K130" i="2"/>
  <c r="J85" i="2"/>
  <c r="J84" i="2"/>
  <c r="J83" i="2"/>
  <c r="J86" i="2"/>
  <c r="L181" i="2"/>
  <c r="D189" i="2" s="1"/>
  <c r="L180" i="2"/>
  <c r="D188" i="2" s="1"/>
  <c r="L179" i="2"/>
  <c r="D187" i="2" s="1"/>
  <c r="L182" i="2"/>
  <c r="D190" i="2" s="1"/>
  <c r="F96" i="2"/>
  <c r="L139" i="2"/>
  <c r="F143" i="2" s="1"/>
  <c r="L138" i="2"/>
  <c r="F142" i="2" s="1"/>
  <c r="L137" i="2"/>
  <c r="F141" i="2" s="1"/>
  <c r="L140" i="2"/>
  <c r="F144" i="2" s="1"/>
  <c r="L175" i="2"/>
  <c r="L177" i="2"/>
  <c r="L176" i="2"/>
  <c r="L178" i="2"/>
  <c r="L184" i="2"/>
  <c r="F188" i="2" s="1"/>
  <c r="L183" i="2"/>
  <c r="F187" i="2" s="1"/>
  <c r="L186" i="2"/>
  <c r="F190" i="2" s="1"/>
  <c r="L185" i="2"/>
  <c r="F189" i="2" s="1"/>
  <c r="L81" i="2"/>
  <c r="L80" i="2"/>
  <c r="K172" i="2"/>
  <c r="L32" i="2"/>
  <c r="L38" i="2" s="1"/>
  <c r="K85" i="2"/>
  <c r="K84" i="2"/>
  <c r="K86" i="2"/>
  <c r="K83" i="2"/>
  <c r="L41" i="2" l="1"/>
  <c r="B53" i="2" s="1"/>
  <c r="L44" i="2"/>
  <c r="B56" i="2" s="1"/>
  <c r="L43" i="2"/>
  <c r="B55" i="2" s="1"/>
  <c r="L42" i="2"/>
  <c r="B54" i="2" s="1"/>
  <c r="K178" i="2"/>
  <c r="K177" i="2"/>
  <c r="K175" i="2"/>
  <c r="B187" i="2" s="1"/>
  <c r="K176" i="2"/>
  <c r="L39" i="2"/>
  <c r="D142" i="2"/>
  <c r="B190" i="2"/>
  <c r="D143" i="2"/>
  <c r="B188" i="2"/>
  <c r="D141" i="2"/>
  <c r="B189" i="2"/>
  <c r="B142" i="2"/>
  <c r="L86" i="2"/>
  <c r="B98" i="2" s="1"/>
  <c r="L85" i="2"/>
  <c r="B97" i="2" s="1"/>
  <c r="L84" i="2"/>
  <c r="B96" i="2" s="1"/>
  <c r="L83" i="2"/>
  <c r="B95" i="2" s="1"/>
  <c r="B144" i="2"/>
  <c r="B141" i="2"/>
  <c r="L89" i="2"/>
  <c r="D97" i="2" s="1"/>
  <c r="L88" i="2"/>
  <c r="D96" i="2" s="1"/>
  <c r="L87" i="2"/>
  <c r="D95" i="2" s="1"/>
  <c r="L90" i="2"/>
  <c r="D98" i="2" s="1"/>
  <c r="B143" i="2"/>
  <c r="L47" i="2" l="1"/>
  <c r="D55" i="2" s="1"/>
  <c r="L46" i="2"/>
  <c r="D54" i="2" s="1"/>
  <c r="L48" i="2"/>
  <c r="D56" i="2" s="1"/>
  <c r="L45" i="2"/>
  <c r="D53" i="2" s="1"/>
</calcChain>
</file>

<file path=xl/sharedStrings.xml><?xml version="1.0" encoding="utf-8"?>
<sst xmlns="http://schemas.openxmlformats.org/spreadsheetml/2006/main" count="302" uniqueCount="87">
  <si>
    <t>Base Case NB</t>
  </si>
  <si>
    <t>Base Case WB</t>
  </si>
  <si>
    <t>Alternative Case NB</t>
  </si>
  <si>
    <t>Alternative Case WB</t>
  </si>
  <si>
    <t>Typ:</t>
  </si>
  <si>
    <t>Beschreibung:</t>
  </si>
  <si>
    <t>Kosten pro Fhrz:</t>
  </si>
  <si>
    <t>Kosten [$]:</t>
  </si>
  <si>
    <t>CAPEX:</t>
  </si>
  <si>
    <t>Anschaffungskosten pro Stück:</t>
  </si>
  <si>
    <t>Anschaffungskosten:</t>
  </si>
  <si>
    <t>OPEX:</t>
  </si>
  <si>
    <t>Personalkosten PB:</t>
  </si>
  <si>
    <t>Personalkosten TB:</t>
  </si>
  <si>
    <t>Wartungskosten PB:</t>
  </si>
  <si>
    <t>Wartungskosten TB:</t>
  </si>
  <si>
    <t>Diesel Kosten PB:</t>
  </si>
  <si>
    <t>Diesel Kosten TB:</t>
  </si>
  <si>
    <t>APU-Kosten AC 2024:</t>
  </si>
  <si>
    <t>APU-Kosten AC:</t>
  </si>
  <si>
    <t>Kerosin Kosten AC 2024:</t>
  </si>
  <si>
    <t>Zusätzliche Einnahmen Airline</t>
  </si>
  <si>
    <t>CO2-Emissionen [t]</t>
  </si>
  <si>
    <t>Zahlung AL an GH</t>
  </si>
  <si>
    <t>NPV Base Case NB</t>
  </si>
  <si>
    <t>Jahr:</t>
  </si>
  <si>
    <t>Rechnungsjahr</t>
  </si>
  <si>
    <t>Anzahl PB Fahrzeuge:</t>
  </si>
  <si>
    <t>Wachstumsrate:</t>
  </si>
  <si>
    <t>Bewegungen pro Jahr:</t>
  </si>
  <si>
    <t>Schwankung Jet Fuel:</t>
  </si>
  <si>
    <t>Schwankung Diesel:</t>
  </si>
  <si>
    <t>Cashflow CAPEX:</t>
  </si>
  <si>
    <t>Rückfluss Restwert PB:</t>
  </si>
  <si>
    <t>Cashflow OPEX:</t>
  </si>
  <si>
    <t>Versicherungskosten PB:</t>
  </si>
  <si>
    <t>Kerosin Kosten AC:</t>
  </si>
  <si>
    <t>Zusätzliche Einnahme pro Bewegung</t>
  </si>
  <si>
    <t>Zahlung AL an GH: NACH</t>
  </si>
  <si>
    <t>Zahlung von AL an GH: VON</t>
  </si>
  <si>
    <t>Total:</t>
  </si>
  <si>
    <t>Total Groundhandler:</t>
  </si>
  <si>
    <t>Total Airline:</t>
  </si>
  <si>
    <t>NPV (r = 5%):</t>
  </si>
  <si>
    <t>NPV (r = 6%):</t>
  </si>
  <si>
    <t>NPV (r = 7%):</t>
  </si>
  <si>
    <t>NPV (r = 8%):</t>
  </si>
  <si>
    <t>Total NPV (r = 5%):</t>
  </si>
  <si>
    <t>Total NPV (r = 6%):</t>
  </si>
  <si>
    <t>Total NPV (r = 7%):</t>
  </si>
  <si>
    <t>Total NPV (r = 8%):</t>
  </si>
  <si>
    <t>NPV Base Case WB</t>
  </si>
  <si>
    <t>Bewegungen pro Jahr</t>
  </si>
  <si>
    <t>NPV Alternativ Case NB</t>
  </si>
  <si>
    <t>Max Bewegungen AC (95-Perzentil):</t>
  </si>
  <si>
    <t>95-Perzentil gerundet</t>
  </si>
  <si>
    <t>Anzahl TB Fahrzeuge:</t>
  </si>
  <si>
    <t>Monetarisierung CO2 [$/t]</t>
  </si>
  <si>
    <t>Rückfluss Restwert TB:</t>
  </si>
  <si>
    <t>Versicherungskosten TB:</t>
  </si>
  <si>
    <t>CO2-Emissionen Benefit:</t>
  </si>
  <si>
    <t>NPV Alternativ Case WB</t>
  </si>
  <si>
    <t>CO2-Emissionen Benefit</t>
  </si>
  <si>
    <t>Tornadoplot</t>
  </si>
  <si>
    <t>Werte Kopiert aber geordnet</t>
  </si>
  <si>
    <t>Basis NPV</t>
  </si>
  <si>
    <t>Delta -10%</t>
  </si>
  <si>
    <t>Delta +10%</t>
  </si>
  <si>
    <t>Prozent-10%</t>
  </si>
  <si>
    <t>Prozent+10%</t>
  </si>
  <si>
    <t>Spalte1</t>
  </si>
  <si>
    <t>Anschaffungskosten</t>
  </si>
  <si>
    <t>Anzahl Bewegungen</t>
  </si>
  <si>
    <t>Anzahl Taxibots</t>
  </si>
  <si>
    <t>Personalkosten TB (Lohn):</t>
  </si>
  <si>
    <t>7.5% für Wartung:</t>
  </si>
  <si>
    <t>Zeit PB</t>
  </si>
  <si>
    <t>Jet A1 Preisveränderung</t>
  </si>
  <si>
    <t>Anzahl Bewegungen/Wachstumsrate</t>
  </si>
  <si>
    <t>Schwankung Diesel</t>
  </si>
  <si>
    <t>Fuel costs/Fuel consumption AC</t>
  </si>
  <si>
    <t>Schwankung Jet A1</t>
  </si>
  <si>
    <t>Verbrauch APU/Zeit APU</t>
  </si>
  <si>
    <t>Zeit APU</t>
  </si>
  <si>
    <t>Monetarisierung CO2/CO2 Masse pro Jahr</t>
  </si>
  <si>
    <t>Discount Value</t>
  </si>
  <si>
    <t>Schwankung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</si>
</sst>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CHF&quot;\ * #,##0.00_ ;_ &quot;CHF&quot;\ * \-#,##0.00_ ;_ &quot;CHF&quot;\ * &quot;-&quot;??_ ;_ @_ "/>
    <numFmt numFmtId="164" formatCode="_-[$$-409]* #,##0.00_ ;_-[$$-409]* \-#,##0.00\ ;_-[$$-409]* &quot;-&quot;??_ ;_-@_ 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164" fontId="2" fillId="2" borderId="1" xfId="0" applyNumberFormat="1" applyFont="1" applyFill="1" applyBorder="1"/>
    <xf numFmtId="0" fontId="2" fillId="2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164" fontId="2" fillId="4" borderId="2" xfId="0" applyNumberFormat="1" applyFont="1" applyFill="1" applyBorder="1"/>
    <xf numFmtId="0" fontId="2" fillId="4" borderId="2" xfId="0" applyFont="1" applyFill="1" applyBorder="1"/>
    <xf numFmtId="164" fontId="0" fillId="0" borderId="0" xfId="0" applyNumberFormat="1"/>
    <xf numFmtId="164" fontId="2" fillId="2" borderId="3" xfId="0" applyNumberFormat="1" applyFont="1" applyFill="1" applyBorder="1"/>
    <xf numFmtId="0" fontId="2" fillId="2" borderId="3" xfId="0" applyFont="1" applyFill="1" applyBorder="1"/>
    <xf numFmtId="164" fontId="2" fillId="3" borderId="3" xfId="0" applyNumberFormat="1" applyFont="1" applyFill="1" applyBorder="1"/>
    <xf numFmtId="0" fontId="2" fillId="3" borderId="3" xfId="0" applyFont="1" applyFill="1" applyBorder="1"/>
    <xf numFmtId="164" fontId="2" fillId="4" borderId="3" xfId="0" applyNumberFormat="1" applyFont="1" applyFill="1" applyBorder="1"/>
    <xf numFmtId="0" fontId="2" fillId="4" borderId="3" xfId="0" applyFon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0" xfId="0" applyNumberFormat="1" applyFill="1"/>
    <xf numFmtId="164" fontId="0" fillId="2" borderId="6" xfId="0" applyNumberFormat="1" applyFill="1" applyBorder="1"/>
    <xf numFmtId="0" fontId="2" fillId="2" borderId="7" xfId="0" applyFont="1" applyFill="1" applyBorder="1"/>
    <xf numFmtId="164" fontId="0" fillId="2" borderId="8" xfId="0" applyNumberFormat="1" applyFill="1" applyBorder="1"/>
    <xf numFmtId="164" fontId="0" fillId="2" borderId="7" xfId="0" applyNumberFormat="1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0" fontId="2" fillId="2" borderId="11" xfId="0" applyFont="1" applyFill="1" applyBorder="1"/>
    <xf numFmtId="164" fontId="0" fillId="3" borderId="8" xfId="0" applyNumberFormat="1" applyFill="1" applyBorder="1"/>
    <xf numFmtId="164" fontId="0" fillId="3" borderId="0" xfId="0" applyNumberFormat="1" applyFill="1"/>
    <xf numFmtId="164" fontId="0" fillId="3" borderId="12" xfId="0" applyNumberFormat="1" applyFill="1" applyBorder="1"/>
    <xf numFmtId="0" fontId="2" fillId="3" borderId="12" xfId="0" applyFont="1" applyFill="1" applyBorder="1"/>
    <xf numFmtId="164" fontId="0" fillId="3" borderId="7" xfId="0" applyNumberFormat="1" applyFill="1" applyBorder="1"/>
    <xf numFmtId="0" fontId="2" fillId="3" borderId="7" xfId="0" applyFont="1" applyFill="1" applyBorder="1"/>
    <xf numFmtId="164" fontId="0" fillId="3" borderId="10" xfId="0" applyNumberFormat="1" applyFill="1" applyBorder="1"/>
    <xf numFmtId="164" fontId="0" fillId="3" borderId="11" xfId="0" applyNumberFormat="1" applyFill="1" applyBorder="1"/>
    <xf numFmtId="0" fontId="2" fillId="3" borderId="11" xfId="0" applyFont="1" applyFill="1" applyBorder="1"/>
    <xf numFmtId="164" fontId="0" fillId="4" borderId="4" xfId="0" applyNumberFormat="1" applyFill="1" applyBorder="1"/>
    <xf numFmtId="164" fontId="0" fillId="4" borderId="0" xfId="0" applyNumberFormat="1" applyFill="1"/>
    <xf numFmtId="0" fontId="2" fillId="4" borderId="13" xfId="0" applyFon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4" borderId="10" xfId="0" applyNumberFormat="1" applyFill="1" applyBorder="1"/>
    <xf numFmtId="0" fontId="2" fillId="2" borderId="14" xfId="0" applyFont="1" applyFill="1" applyBorder="1"/>
    <xf numFmtId="164" fontId="0" fillId="3" borderId="9" xfId="0" applyNumberFormat="1" applyFill="1" applyBorder="1"/>
    <xf numFmtId="0" fontId="2" fillId="3" borderId="14" xfId="0" applyFont="1" applyFill="1" applyBorder="1"/>
    <xf numFmtId="164" fontId="0" fillId="4" borderId="15" xfId="0" applyNumberFormat="1" applyFill="1" applyBorder="1"/>
    <xf numFmtId="164" fontId="0" fillId="4" borderId="16" xfId="0" applyNumberFormat="1" applyFill="1" applyBorder="1"/>
    <xf numFmtId="0" fontId="2" fillId="4" borderId="14" xfId="0" applyFont="1" applyFill="1" applyBorder="1"/>
    <xf numFmtId="164" fontId="0" fillId="0" borderId="8" xfId="0" applyNumberFormat="1" applyBorder="1"/>
    <xf numFmtId="0" fontId="0" fillId="5" borderId="0" xfId="0" applyFill="1"/>
    <xf numFmtId="0" fontId="0" fillId="0" borderId="13" xfId="0" applyBorder="1"/>
    <xf numFmtId="164" fontId="0" fillId="0" borderId="4" xfId="0" applyNumberFormat="1" applyBorder="1"/>
    <xf numFmtId="0" fontId="0" fillId="5" borderId="8" xfId="0" applyFill="1" applyBorder="1"/>
    <xf numFmtId="0" fontId="2" fillId="0" borderId="13" xfId="0" applyFont="1" applyBorder="1"/>
    <xf numFmtId="164" fontId="0" fillId="5" borderId="0" xfId="0" applyNumberFormat="1" applyFill="1"/>
    <xf numFmtId="0" fontId="0" fillId="0" borderId="8" xfId="0" applyBorder="1"/>
    <xf numFmtId="0" fontId="0" fillId="0" borderId="0" xfId="0" applyAlignment="1">
      <alignment horizontal="right"/>
    </xf>
    <xf numFmtId="0" fontId="3" fillId="0" borderId="8" xfId="0" applyFont="1" applyBorder="1"/>
    <xf numFmtId="0" fontId="3" fillId="0" borderId="0" xfId="0" applyFont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2" fillId="0" borderId="17" xfId="0" applyFont="1" applyBorder="1"/>
    <xf numFmtId="164" fontId="2" fillId="2" borderId="18" xfId="0" applyNumberFormat="1" applyFont="1" applyFill="1" applyBorder="1"/>
    <xf numFmtId="0" fontId="2" fillId="2" borderId="19" xfId="0" applyFont="1" applyFill="1" applyBorder="1"/>
    <xf numFmtId="164" fontId="2" fillId="3" borderId="18" xfId="0" applyNumberFormat="1" applyFont="1" applyFill="1" applyBorder="1"/>
    <xf numFmtId="0" fontId="2" fillId="3" borderId="19" xfId="0" applyFont="1" applyFill="1" applyBorder="1"/>
    <xf numFmtId="164" fontId="2" fillId="4" borderId="18" xfId="0" applyNumberFormat="1" applyFont="1" applyFill="1" applyBorder="1"/>
    <xf numFmtId="0" fontId="2" fillId="4" borderId="19" xfId="0" applyFont="1" applyFill="1" applyBorder="1"/>
    <xf numFmtId="164" fontId="2" fillId="2" borderId="20" xfId="0" applyNumberFormat="1" applyFont="1" applyFill="1" applyBorder="1"/>
    <xf numFmtId="0" fontId="2" fillId="2" borderId="21" xfId="0" applyFont="1" applyFill="1" applyBorder="1"/>
    <xf numFmtId="164" fontId="2" fillId="3" borderId="20" xfId="0" applyNumberFormat="1" applyFont="1" applyFill="1" applyBorder="1"/>
    <xf numFmtId="0" fontId="2" fillId="3" borderId="21" xfId="0" applyFont="1" applyFill="1" applyBorder="1"/>
    <xf numFmtId="164" fontId="2" fillId="4" borderId="20" xfId="0" applyNumberFormat="1" applyFont="1" applyFill="1" applyBorder="1"/>
    <xf numFmtId="0" fontId="2" fillId="4" borderId="21" xfId="0" applyFont="1" applyFill="1" applyBorder="1"/>
    <xf numFmtId="164" fontId="2" fillId="2" borderId="22" xfId="0" applyNumberFormat="1" applyFont="1" applyFill="1" applyBorder="1"/>
    <xf numFmtId="0" fontId="2" fillId="2" borderId="23" xfId="0" applyFont="1" applyFill="1" applyBorder="1"/>
    <xf numFmtId="164" fontId="2" fillId="3" borderId="22" xfId="0" applyNumberFormat="1" applyFont="1" applyFill="1" applyBorder="1"/>
    <xf numFmtId="0" fontId="2" fillId="3" borderId="23" xfId="0" applyFont="1" applyFill="1" applyBorder="1"/>
    <xf numFmtId="164" fontId="2" fillId="4" borderId="22" xfId="0" applyNumberFormat="1" applyFont="1" applyFill="1" applyBorder="1"/>
    <xf numFmtId="0" fontId="2" fillId="4" borderId="23" xfId="0" applyFont="1" applyFill="1" applyBorder="1"/>
    <xf numFmtId="164" fontId="0" fillId="4" borderId="7" xfId="0" applyNumberFormat="1" applyFill="1" applyBorder="1"/>
    <xf numFmtId="0" fontId="2" fillId="4" borderId="7" xfId="0" applyFont="1" applyFill="1" applyBorder="1"/>
    <xf numFmtId="164" fontId="0" fillId="4" borderId="11" xfId="0" applyNumberFormat="1" applyFill="1" applyBorder="1"/>
    <xf numFmtId="164" fontId="0" fillId="2" borderId="15" xfId="0" applyNumberFormat="1" applyFill="1" applyBorder="1"/>
    <xf numFmtId="164" fontId="0" fillId="2" borderId="16" xfId="0" applyNumberFormat="1" applyFill="1" applyBorder="1"/>
    <xf numFmtId="164" fontId="0" fillId="2" borderId="24" xfId="0" applyNumberFormat="1" applyFill="1" applyBorder="1"/>
    <xf numFmtId="164" fontId="0" fillId="3" borderId="15" xfId="0" applyNumberFormat="1" applyFill="1" applyBorder="1"/>
    <xf numFmtId="164" fontId="0" fillId="3" borderId="16" xfId="0" applyNumberFormat="1" applyFill="1" applyBorder="1"/>
    <xf numFmtId="164" fontId="0" fillId="3" borderId="24" xfId="0" applyNumberFormat="1" applyFill="1" applyBorder="1"/>
    <xf numFmtId="164" fontId="0" fillId="5" borderId="8" xfId="0" applyNumberFormat="1" applyFill="1" applyBorder="1"/>
    <xf numFmtId="0" fontId="2" fillId="0" borderId="0" xfId="0" applyFont="1"/>
    <xf numFmtId="2" fontId="0" fillId="0" borderId="0" xfId="0" applyNumberFormat="1"/>
    <xf numFmtId="164" fontId="0" fillId="10" borderId="4" xfId="0" applyNumberFormat="1" applyFill="1" applyBorder="1"/>
    <xf numFmtId="0" fontId="0" fillId="10" borderId="5" xfId="0" applyFill="1" applyBorder="1"/>
    <xf numFmtId="0" fontId="0" fillId="10" borderId="12" xfId="0" applyFill="1" applyBorder="1"/>
    <xf numFmtId="0" fontId="0" fillId="10" borderId="10" xfId="0" applyFill="1" applyBorder="1"/>
    <xf numFmtId="0" fontId="0" fillId="10" borderId="11" xfId="0" applyFill="1" applyBorder="1"/>
    <xf numFmtId="164" fontId="5" fillId="0" borderId="0" xfId="1" applyNumberFormat="1" applyFont="1" applyBorder="1"/>
    <xf numFmtId="0" fontId="0" fillId="0" borderId="25" xfId="0" applyBorder="1"/>
    <xf numFmtId="0" fontId="0" fillId="0" borderId="12" xfId="0" applyBorder="1"/>
    <xf numFmtId="164" fontId="0" fillId="10" borderId="9" xfId="0" applyNumberFormat="1" applyFill="1" applyBorder="1"/>
    <xf numFmtId="164" fontId="6" fillId="0" borderId="0" xfId="1" applyNumberFormat="1" applyFont="1" applyFill="1" applyBorder="1"/>
    <xf numFmtId="164" fontId="6" fillId="10" borderId="9" xfId="1" applyNumberFormat="1" applyFont="1" applyFill="1" applyBorder="1"/>
    <xf numFmtId="164" fontId="5" fillId="0" borderId="8" xfId="1" applyNumberFormat="1" applyFont="1" applyBorder="1"/>
    <xf numFmtId="0" fontId="0" fillId="0" borderId="7" xfId="0" applyBorder="1"/>
    <xf numFmtId="164" fontId="5" fillId="0" borderId="25" xfId="1" applyNumberFormat="1" applyFont="1" applyBorder="1"/>
    <xf numFmtId="164" fontId="0" fillId="0" borderId="8" xfId="1" applyNumberFormat="1" applyFont="1" applyBorder="1"/>
    <xf numFmtId="0" fontId="5" fillId="0" borderId="0" xfId="0" applyFont="1"/>
    <xf numFmtId="164" fontId="0" fillId="0" borderId="9" xfId="1" applyNumberFormat="1" applyFont="1" applyBorder="1"/>
    <xf numFmtId="0" fontId="0" fillId="0" borderId="17" xfId="0" applyBorder="1"/>
    <xf numFmtId="0" fontId="2" fillId="0" borderId="15" xfId="0" applyFont="1" applyBorder="1"/>
    <xf numFmtId="0" fontId="2" fillId="0" borderId="16" xfId="0" applyFont="1" applyBorder="1"/>
    <xf numFmtId="0" fontId="2" fillId="0" borderId="24" xfId="0" applyFont="1" applyBorder="1"/>
    <xf numFmtId="9" fontId="0" fillId="0" borderId="0" xfId="0" applyNumberFormat="1"/>
    <xf numFmtId="0" fontId="7" fillId="0" borderId="0" xfId="0" applyFont="1"/>
    <xf numFmtId="0" fontId="0" fillId="0" borderId="11" xfId="0" applyBorder="1"/>
    <xf numFmtId="9" fontId="0" fillId="0" borderId="10" xfId="0" applyNumberFormat="1" applyBorder="1"/>
    <xf numFmtId="2" fontId="2" fillId="4" borderId="0" xfId="0" applyNumberFormat="1" applyFont="1" applyFill="1"/>
    <xf numFmtId="164" fontId="2" fillId="4" borderId="8" xfId="0" applyNumberFormat="1" applyFont="1" applyFill="1" applyBorder="1"/>
    <xf numFmtId="164" fontId="2" fillId="4" borderId="26" xfId="0" applyNumberFormat="1" applyFont="1" applyFill="1" applyBorder="1"/>
    <xf numFmtId="2" fontId="2" fillId="4" borderId="5" xfId="0" applyNumberFormat="1" applyFont="1" applyFill="1" applyBorder="1"/>
    <xf numFmtId="164" fontId="2" fillId="4" borderId="4" xfId="0" applyNumberFormat="1" applyFont="1" applyFill="1" applyBorder="1"/>
    <xf numFmtId="0" fontId="4" fillId="6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2">
    <cellStyle name="Standard" xfId="0" builtinId="0"/>
    <cellStyle name="Währung" xfId="1" builtinId="4"/>
  </cellStyles>
  <dxfs count="4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solid">
          <fgColor indexed="64"/>
          <bgColor theme="3" tint="0.89999084444715716"/>
        </patternFill>
      </fill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solid">
          <fgColor indexed="64"/>
          <bgColor theme="3" tint="0.89999084444715716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Tornadoplot 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7203061440850476"/>
          <c:y val="0.14330463644235578"/>
          <c:w val="0.78353727092695469"/>
          <c:h val="0.6874183670174459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Sensitivity_Alternative_Case_NB!$G$7</c:f>
              <c:strCache>
                <c:ptCount val="1"/>
                <c:pt idx="0">
                  <c:v>Delta -10%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Sensitivity_Alternative_Case_NB!$F$8:$F$19</c:f>
              <c:strCache>
                <c:ptCount val="12"/>
                <c:pt idx="0">
                  <c:v>Anschaffungskosten</c:v>
                </c:pt>
                <c:pt idx="1">
                  <c:v>Anzahl Taxibots</c:v>
                </c:pt>
                <c:pt idx="2">
                  <c:v>Personalkosten TB (Lohn):</c:v>
                </c:pt>
                <c:pt idx="3">
                  <c:v>7.5% für Wartung:</c:v>
                </c:pt>
                <c:pt idx="4">
                  <c:v>Zeit PB</c:v>
                </c:pt>
                <c:pt idx="5">
                  <c:v>Anzahl Bewegungen</c:v>
                </c:pt>
                <c:pt idx="6">
                  <c:v>Schwankung Diesel</c:v>
                </c:pt>
                <c:pt idx="7">
                  <c:v>Schwankung Jet A1</c:v>
                </c:pt>
                <c:pt idx="8">
                  <c:v>Verbrauch APU/Zeit APU</c:v>
                </c:pt>
                <c:pt idx="9">
                  <c:v>Fuel costs/Fuel consumption AC</c:v>
                </c:pt>
                <c:pt idx="10">
                  <c:v>Monetarisierung CO2/CO2 Masse pro Jahr</c:v>
                </c:pt>
                <c:pt idx="11">
                  <c:v>Discount Value</c:v>
                </c:pt>
              </c:strCache>
            </c:strRef>
          </c:cat>
          <c:val>
            <c:numRef>
              <c:f>Sensitivity_Alternative_Case_NB!$G$8:$G$19</c:f>
              <c:numCache>
                <c:formatCode>_-[$$-409]* #,##0.00_ ;_-[$$-409]* \-#,##0.00\ ;_-[$$-409]* "-"??_ ;_-@_ </c:formatCode>
                <c:ptCount val="12"/>
                <c:pt idx="0">
                  <c:v>4032828.2847224325</c:v>
                </c:pt>
                <c:pt idx="1">
                  <c:v>5679511.8262384832</c:v>
                </c:pt>
                <c:pt idx="2">
                  <c:v>3478121.8803486079</c:v>
                </c:pt>
                <c:pt idx="3">
                  <c:v>1571452.4418174475</c:v>
                </c:pt>
                <c:pt idx="4">
                  <c:v>267306.79838605225</c:v>
                </c:pt>
                <c:pt idx="5">
                  <c:v>32163357.135977365</c:v>
                </c:pt>
                <c:pt idx="6">
                  <c:v>267306.79838605225</c:v>
                </c:pt>
                <c:pt idx="7">
                  <c:v>1609673.3555738628</c:v>
                </c:pt>
                <c:pt idx="8">
                  <c:v>503481.40224081278</c:v>
                </c:pt>
                <c:pt idx="9">
                  <c:v>1106191.9533330053</c:v>
                </c:pt>
                <c:pt idx="10">
                  <c:v>-1310442.0558155775</c:v>
                </c:pt>
                <c:pt idx="11">
                  <c:v>-1376236.9865747988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A-45D1-9683-9BCF84D687F4}"/>
            </c:ext>
          </c:extLst>
        </c:ser>
        <c:ser>
          <c:idx val="1"/>
          <c:order val="1"/>
          <c:tx>
            <c:strRef>
              <c:f>Sensitivity_Alternative_Case_NB!$H$7</c:f>
              <c:strCache>
                <c:ptCount val="1"/>
                <c:pt idx="0">
                  <c:v>Delta +10%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Sensitivity_Alternative_Case_NB!$F$8:$F$19</c:f>
              <c:strCache>
                <c:ptCount val="12"/>
                <c:pt idx="0">
                  <c:v>Anschaffungskosten</c:v>
                </c:pt>
                <c:pt idx="1">
                  <c:v>Anzahl Taxibots</c:v>
                </c:pt>
                <c:pt idx="2">
                  <c:v>Personalkosten TB (Lohn):</c:v>
                </c:pt>
                <c:pt idx="3">
                  <c:v>7.5% für Wartung:</c:v>
                </c:pt>
                <c:pt idx="4">
                  <c:v>Zeit PB</c:v>
                </c:pt>
                <c:pt idx="5">
                  <c:v>Anzahl Bewegungen</c:v>
                </c:pt>
                <c:pt idx="6">
                  <c:v>Schwankung Diesel</c:v>
                </c:pt>
                <c:pt idx="7">
                  <c:v>Schwankung Jet A1</c:v>
                </c:pt>
                <c:pt idx="8">
                  <c:v>Verbrauch APU/Zeit APU</c:v>
                </c:pt>
                <c:pt idx="9">
                  <c:v>Fuel costs/Fuel consumption AC</c:v>
                </c:pt>
                <c:pt idx="10">
                  <c:v>Monetarisierung CO2/CO2 Masse pro Jahr</c:v>
                </c:pt>
                <c:pt idx="11">
                  <c:v>Discount Value</c:v>
                </c:pt>
              </c:strCache>
            </c:strRef>
          </c:cat>
          <c:val>
            <c:numRef>
              <c:f>Sensitivity_Alternative_Case_NB!$H$8:$H$19</c:f>
              <c:numCache>
                <c:formatCode>_-[$$-409]* #,##0.00_ ;_-[$$-409]* \-#,##0.00\ ;_-[$$-409]* "-"??_ ;_-@_ </c:formatCode>
                <c:ptCount val="12"/>
                <c:pt idx="0">
                  <c:v>-4032828.2847224474</c:v>
                </c:pt>
                <c:pt idx="1">
                  <c:v>-8946190.4730000943</c:v>
                </c:pt>
                <c:pt idx="2">
                  <c:v>-3478121.8803486228</c:v>
                </c:pt>
                <c:pt idx="3">
                  <c:v>-1571452.4418174624</c:v>
                </c:pt>
                <c:pt idx="4">
                  <c:v>-267306.79838606715</c:v>
                </c:pt>
                <c:pt idx="5">
                  <c:v>-65154596.33804518</c:v>
                </c:pt>
                <c:pt idx="6">
                  <c:v>-267306.79838606715</c:v>
                </c:pt>
                <c:pt idx="7">
                  <c:v>-1609673.3555738628</c:v>
                </c:pt>
                <c:pt idx="8">
                  <c:v>-503481.40224079788</c:v>
                </c:pt>
                <c:pt idx="9">
                  <c:v>-1106191.9533330947</c:v>
                </c:pt>
                <c:pt idx="10">
                  <c:v>1310442.0558155626</c:v>
                </c:pt>
                <c:pt idx="11">
                  <c:v>1328405.8812824786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A-45D1-9683-9BCF84D68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9988591"/>
        <c:axId val="1709993871"/>
      </c:barChart>
      <c:catAx>
        <c:axId val="170998859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9993871"/>
        <c:crosses val="autoZero"/>
        <c:auto val="1"/>
        <c:lblAlgn val="ctr"/>
        <c:lblOffset val="100"/>
        <c:noMultiLvlLbl val="0"/>
      </c:catAx>
      <c:valAx>
        <c:axId val="170999387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0998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Tornadoplot NPV 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Sensitivity_Alternative_Case_NB!$P$7</c:f>
              <c:strCache>
                <c:ptCount val="1"/>
                <c:pt idx="0">
                  <c:v>Prozent-10%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Sensitivity_Alternative_Case_NB!$M$8:$M$19</c:f>
              <c:strCache>
                <c:ptCount val="12"/>
                <c:pt idx="0">
                  <c:v>Anzahl Bewegungen</c:v>
                </c:pt>
                <c:pt idx="1">
                  <c:v>Anzahl Taxibots</c:v>
                </c:pt>
                <c:pt idx="2">
                  <c:v>Anschaffungskosten</c:v>
                </c:pt>
                <c:pt idx="3">
                  <c:v>Personalkosten TB (Lohn):</c:v>
                </c:pt>
                <c:pt idx="4">
                  <c:v>Jet A1 Preisveränderung</c:v>
                </c:pt>
                <c:pt idx="5">
                  <c:v>7.5% für Wartung:</c:v>
                </c:pt>
                <c:pt idx="6">
                  <c:v>Fuel costs/Fuel consumption AC</c:v>
                </c:pt>
                <c:pt idx="7">
                  <c:v>Verbrauch APU/Zeit APU</c:v>
                </c:pt>
                <c:pt idx="8">
                  <c:v>Zeit PB</c:v>
                </c:pt>
                <c:pt idx="9">
                  <c:v>Schwankung Diesel</c:v>
                </c:pt>
                <c:pt idx="10">
                  <c:v>Monetarisierung CO2/CO2 Masse pro Jahr</c:v>
                </c:pt>
                <c:pt idx="11">
                  <c:v>Schwankung Discount</c:v>
                </c:pt>
              </c:strCache>
            </c:strRef>
          </c:cat>
          <c:val>
            <c:numRef>
              <c:f>Sensitivity_Alternative_Case_NB!$P$8:$P$19</c:f>
              <c:numCache>
                <c:formatCode>0.00</c:formatCode>
                <c:ptCount val="12"/>
                <c:pt idx="0">
                  <c:v>39.818512993015602</c:v>
                </c:pt>
                <c:pt idx="1">
                  <c:v>7.0312845295025399</c:v>
                </c:pt>
                <c:pt idx="2">
                  <c:v>4.99267613063307</c:v>
                </c:pt>
                <c:pt idx="3">
                  <c:v>4.3059448271659502</c:v>
                </c:pt>
                <c:pt idx="4">
                  <c:v>1.9927894700933899</c:v>
                </c:pt>
                <c:pt idx="5">
                  <c:v>1.9454716498614899</c:v>
                </c:pt>
                <c:pt idx="6">
                  <c:v>1.3694751602061901</c:v>
                </c:pt>
                <c:pt idx="7">
                  <c:v>0.62331430988720704</c:v>
                </c:pt>
                <c:pt idx="8">
                  <c:v>0.33092811734974298</c:v>
                </c:pt>
                <c:pt idx="9">
                  <c:v>0.33092811734974298</c:v>
                </c:pt>
                <c:pt idx="10">
                  <c:v>-1.6223385452421899</c:v>
                </c:pt>
                <c:pt idx="11">
                  <c:v>-1.7037932358777099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3-436E-8C87-DBD8CF699DC4}"/>
            </c:ext>
          </c:extLst>
        </c:ser>
        <c:ser>
          <c:idx val="1"/>
          <c:order val="1"/>
          <c:tx>
            <c:strRef>
              <c:f>Sensitivity_Alternative_Case_NB!$Q$7</c:f>
              <c:strCache>
                <c:ptCount val="1"/>
                <c:pt idx="0">
                  <c:v>Prozent+10%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Sensitivity_Alternative_Case_NB!$M$8:$M$19</c:f>
              <c:strCache>
                <c:ptCount val="12"/>
                <c:pt idx="0">
                  <c:v>Anzahl Bewegungen</c:v>
                </c:pt>
                <c:pt idx="1">
                  <c:v>Anzahl Taxibots</c:v>
                </c:pt>
                <c:pt idx="2">
                  <c:v>Anschaffungskosten</c:v>
                </c:pt>
                <c:pt idx="3">
                  <c:v>Personalkosten TB (Lohn):</c:v>
                </c:pt>
                <c:pt idx="4">
                  <c:v>Jet A1 Preisveränderung</c:v>
                </c:pt>
                <c:pt idx="5">
                  <c:v>7.5% für Wartung:</c:v>
                </c:pt>
                <c:pt idx="6">
                  <c:v>Fuel costs/Fuel consumption AC</c:v>
                </c:pt>
                <c:pt idx="7">
                  <c:v>Verbrauch APU/Zeit APU</c:v>
                </c:pt>
                <c:pt idx="8">
                  <c:v>Zeit PB</c:v>
                </c:pt>
                <c:pt idx="9">
                  <c:v>Schwankung Diesel</c:v>
                </c:pt>
                <c:pt idx="10">
                  <c:v>Monetarisierung CO2/CO2 Masse pro Jahr</c:v>
                </c:pt>
                <c:pt idx="11">
                  <c:v>Schwankung Discount</c:v>
                </c:pt>
              </c:strCache>
            </c:strRef>
          </c:cat>
          <c:val>
            <c:numRef>
              <c:f>Sensitivity_Alternative_Case_NB!$Q$8:$Q$19</c:f>
              <c:numCache>
                <c:formatCode>0.00</c:formatCode>
                <c:ptCount val="12"/>
                <c:pt idx="0">
                  <c:v>-80.661951110169895</c:v>
                </c:pt>
                <c:pt idx="1">
                  <c:v>-11.075460813407499</c:v>
                </c:pt>
                <c:pt idx="2">
                  <c:v>-4.9926761306330896</c:v>
                </c:pt>
                <c:pt idx="3">
                  <c:v>-4.3059448271659697</c:v>
                </c:pt>
                <c:pt idx="4">
                  <c:v>-1.9927894700933899</c:v>
                </c:pt>
                <c:pt idx="5">
                  <c:v>-1.9454716498615101</c:v>
                </c:pt>
                <c:pt idx="6">
                  <c:v>-1.3694751602061901</c:v>
                </c:pt>
                <c:pt idx="7">
                  <c:v>-0.62331430988718906</c:v>
                </c:pt>
                <c:pt idx="8">
                  <c:v>-0.33092811734976202</c:v>
                </c:pt>
                <c:pt idx="9">
                  <c:v>-0.33092811734976202</c:v>
                </c:pt>
                <c:pt idx="10">
                  <c:v>1.6223385452421799</c:v>
                </c:pt>
                <c:pt idx="11">
                  <c:v>1.64457791580087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B3-436E-8C87-DBD8CF699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6104368"/>
        <c:axId val="1256099088"/>
      </c:barChart>
      <c:catAx>
        <c:axId val="12561043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099088"/>
        <c:crosses val="autoZero"/>
        <c:auto val="1"/>
        <c:lblAlgn val="ctr"/>
        <c:lblOffset val="100"/>
        <c:noMultiLvlLbl val="0"/>
      </c:catAx>
      <c:valAx>
        <c:axId val="1256099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610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805045</xdr:colOff>
      <xdr:row>22</xdr:row>
      <xdr:rowOff>116680</xdr:rowOff>
    </xdr:from>
    <xdr:to>
      <xdr:col>6</xdr:col>
      <xdr:colOff>46843</xdr:colOff>
      <xdr:row>43</xdr:row>
      <xdr:rowOff>54652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63BABC94-B290-424E-9CA4-CC3FE9572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223704</xdr:colOff>
      <xdr:row>22</xdr:row>
      <xdr:rowOff>107411</xdr:rowOff>
    </xdr:from>
    <xdr:to>
      <xdr:col>18</xdr:col>
      <xdr:colOff>5752</xdr:colOff>
      <xdr:row>43</xdr:row>
      <xdr:rowOff>136969</xdr:rowOff>
    </xdr:to>
    <xdr:graphicFrame macro="">
      <xdr:nvGraphicFramePr>
        <xdr:cNvPr id="3" name="Diagramm 6">
          <a:extLst>
            <a:ext uri="{FF2B5EF4-FFF2-40B4-BE49-F238E27FC236}">
              <a16:creationId xmlns:a16="http://schemas.microsoft.com/office/drawing/2014/main" id="{EBF4D589-2024-44D9-A8E1-DF68EC6AD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0C69B4-D5CD-496F-AE83-1FB978CDC30A}" name="Tabelle158" displayName="Tabelle158" ref="M7:Q19" totalsRowShown="0">
  <autoFilter ref="M7:Q19" xr:uid="{A4093417-7359-4226-A992-4D57465A1246}"/>
  <sortState xmlns:xlrd2="http://schemas.microsoft.com/office/spreadsheetml/2017/richdata2" ref="M8:O18">
    <sortCondition descending="1" ref="N104:N115"/>
  </sortState>
  <tableColumns count="5">
    <tableColumn id="1" xr3:uid="{8EC58143-D9E0-44BB-B794-D169D4D83B96}" name="Spalte1"/>
    <tableColumn id="2" xr3:uid="{11E82E23-4A3F-486C-B6C1-27834ACC47F4}" name="Delta -10%" dataDxfId="3"/>
    <tableColumn id="3" xr3:uid="{4A0AFC67-EBE4-44C5-9766-616292022C7A}" name="Delta +10%" dataDxfId="2"/>
    <tableColumn id="4" xr3:uid="{68B12FA9-EE83-47ED-B52E-B4AB4BD9A14D}" name="Prozent-10%" dataDxfId="1"/>
    <tableColumn id="5" xr3:uid="{DEF9B2D2-A438-4F15-B349-4EDD9910DDF3}" name="Prozent+10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A93F-39F3-40EB-B73E-EE2C71C2F151}">
  <dimension ref="A1:W190"/>
  <sheetViews>
    <sheetView zoomScale="85" zoomScaleNormal="85" workbookViewId="0">
      <selection activeCell="N26" sqref="N26:O27"/>
    </sheetView>
  </sheetViews>
  <sheetFormatPr defaultColWidth="11.42578125" defaultRowHeight="15"/>
  <cols>
    <col min="1" max="1" width="26.140625" bestFit="1" customWidth="1"/>
    <col min="2" max="2" width="25" bestFit="1" customWidth="1"/>
    <col min="3" max="3" width="18.42578125" bestFit="1" customWidth="1"/>
    <col min="4" max="4" width="16.85546875" bestFit="1" customWidth="1"/>
    <col min="5" max="5" width="16.5703125" customWidth="1"/>
    <col min="6" max="6" width="20.7109375" bestFit="1" customWidth="1"/>
    <col min="7" max="7" width="18.42578125" customWidth="1"/>
    <col min="8" max="8" width="16.85546875" bestFit="1" customWidth="1"/>
    <col min="9" max="9" width="16.85546875" customWidth="1"/>
    <col min="10" max="10" width="20.42578125" bestFit="1" customWidth="1"/>
    <col min="11" max="11" width="16.140625" customWidth="1"/>
    <col min="12" max="12" width="14.7109375" bestFit="1" customWidth="1"/>
    <col min="14" max="14" width="20.140625" bestFit="1" customWidth="1"/>
    <col min="15" max="15" width="16" customWidth="1"/>
    <col min="19" max="19" width="26.28515625" customWidth="1"/>
    <col min="20" max="20" width="31.140625" customWidth="1"/>
    <col min="21" max="21" width="21" bestFit="1" customWidth="1"/>
    <col min="22" max="22" width="20.28515625" customWidth="1"/>
    <col min="23" max="23" width="20.85546875" customWidth="1"/>
    <col min="24" max="24" width="36.7109375" customWidth="1"/>
    <col min="25" max="29" width="16.140625" customWidth="1"/>
    <col min="31" max="31" width="16.42578125" customWidth="1"/>
    <col min="32" max="32" width="18.85546875" customWidth="1"/>
    <col min="33" max="33" width="17.7109375" customWidth="1"/>
    <col min="34" max="34" width="14.42578125" bestFit="1" customWidth="1"/>
  </cols>
  <sheetData>
    <row r="1" spans="1:23" ht="14.25" customHeight="1">
      <c r="A1" s="134" t="s">
        <v>0</v>
      </c>
      <c r="B1" s="135"/>
      <c r="C1" s="136"/>
      <c r="E1" s="140" t="s">
        <v>1</v>
      </c>
      <c r="F1" s="141"/>
      <c r="G1" s="142"/>
      <c r="I1" s="146" t="s">
        <v>2</v>
      </c>
      <c r="J1" s="147"/>
      <c r="K1" s="148"/>
      <c r="M1" s="128" t="s">
        <v>3</v>
      </c>
      <c r="N1" s="129"/>
      <c r="O1" s="130"/>
    </row>
    <row r="2" spans="1:23" ht="14.25" customHeight="1">
      <c r="A2" s="137"/>
      <c r="B2" s="138"/>
      <c r="C2" s="139"/>
      <c r="E2" s="143"/>
      <c r="F2" s="144"/>
      <c r="G2" s="145"/>
      <c r="I2" s="149"/>
      <c r="J2" s="150"/>
      <c r="K2" s="151"/>
      <c r="M2" s="131"/>
      <c r="N2" s="132"/>
      <c r="O2" s="133"/>
    </row>
    <row r="3" spans="1:23">
      <c r="A3" s="118" t="s">
        <v>4</v>
      </c>
      <c r="B3" s="117" t="s">
        <v>5</v>
      </c>
      <c r="C3" s="116" t="s">
        <v>6</v>
      </c>
      <c r="E3" s="118" t="s">
        <v>4</v>
      </c>
      <c r="F3" s="117" t="s">
        <v>5</v>
      </c>
      <c r="G3" s="116" t="s">
        <v>6</v>
      </c>
      <c r="I3" s="118" t="s">
        <v>4</v>
      </c>
      <c r="J3" s="117" t="s">
        <v>5</v>
      </c>
      <c r="K3" s="116" t="s">
        <v>7</v>
      </c>
      <c r="M3" s="118" t="s">
        <v>4</v>
      </c>
      <c r="N3" s="117" t="s">
        <v>5</v>
      </c>
      <c r="O3" s="116" t="s">
        <v>7</v>
      </c>
    </row>
    <row r="4" spans="1:23">
      <c r="A4" s="67" t="s">
        <v>8</v>
      </c>
      <c r="B4" s="115"/>
      <c r="C4" s="112"/>
      <c r="E4" s="67" t="s">
        <v>8</v>
      </c>
      <c r="F4" s="115"/>
      <c r="G4" s="114"/>
      <c r="I4" s="67" t="s">
        <v>8</v>
      </c>
      <c r="J4" s="115"/>
      <c r="K4" s="114"/>
      <c r="M4" s="67" t="s">
        <v>8</v>
      </c>
      <c r="N4" s="115"/>
      <c r="O4" s="114"/>
    </row>
    <row r="5" spans="1:23">
      <c r="A5" s="54"/>
      <c r="B5" s="54" t="s">
        <v>9</v>
      </c>
      <c r="C5" s="112">
        <v>-800000</v>
      </c>
      <c r="E5" s="54"/>
      <c r="F5" s="54" t="s">
        <v>10</v>
      </c>
      <c r="G5" s="112">
        <v>-1150000</v>
      </c>
      <c r="I5" s="54"/>
      <c r="J5" s="54" t="s">
        <v>10</v>
      </c>
      <c r="K5" s="112">
        <f>(-1600000)*1</f>
        <v>-1600000</v>
      </c>
      <c r="M5" s="54"/>
      <c r="N5" s="54" t="s">
        <v>10</v>
      </c>
      <c r="O5" s="112">
        <v>-3180000</v>
      </c>
    </row>
    <row r="6" spans="1:23">
      <c r="A6" s="54"/>
      <c r="B6" s="54"/>
      <c r="C6" s="112"/>
      <c r="E6" s="54"/>
      <c r="F6" s="54"/>
      <c r="G6" s="112"/>
      <c r="I6" s="54"/>
      <c r="J6" s="54"/>
      <c r="K6" s="112"/>
      <c r="M6" s="54"/>
      <c r="N6" s="54"/>
      <c r="O6" s="112"/>
    </row>
    <row r="7" spans="1:23">
      <c r="A7" s="57" t="s">
        <v>11</v>
      </c>
      <c r="B7" s="54"/>
      <c r="C7" s="112"/>
      <c r="E7" s="57" t="s">
        <v>11</v>
      </c>
      <c r="F7" s="54"/>
      <c r="G7" s="112"/>
      <c r="I7" s="57" t="s">
        <v>11</v>
      </c>
      <c r="J7" s="54"/>
      <c r="K7" s="112"/>
      <c r="M7" s="57" t="s">
        <v>11</v>
      </c>
      <c r="N7" s="54"/>
      <c r="O7" s="112"/>
    </row>
    <row r="8" spans="1:23">
      <c r="A8" s="54"/>
      <c r="B8" s="54" t="s">
        <v>12</v>
      </c>
      <c r="C8" s="109">
        <v>-265598</v>
      </c>
      <c r="E8" s="54"/>
      <c r="F8" s="54" t="s">
        <v>12</v>
      </c>
      <c r="G8" s="109">
        <v>-265598</v>
      </c>
      <c r="H8" s="113"/>
      <c r="I8" s="54"/>
      <c r="J8" s="54" t="s">
        <v>13</v>
      </c>
      <c r="K8" s="109">
        <f>(-265598)*1</f>
        <v>-265598</v>
      </c>
      <c r="M8" s="54"/>
      <c r="N8" s="54" t="s">
        <v>13</v>
      </c>
      <c r="O8" s="109">
        <v>-265598</v>
      </c>
      <c r="T8" s="13"/>
    </row>
    <row r="9" spans="1:23">
      <c r="A9" s="54"/>
      <c r="B9" s="54" t="s">
        <v>14</v>
      </c>
      <c r="C9" s="112">
        <f>C5*0.075</f>
        <v>-60000</v>
      </c>
      <c r="E9" s="54"/>
      <c r="F9" s="54" t="s">
        <v>14</v>
      </c>
      <c r="G9" s="112">
        <f>G5*0.075</f>
        <v>-86250</v>
      </c>
      <c r="I9" s="54"/>
      <c r="J9" s="54" t="s">
        <v>15</v>
      </c>
      <c r="K9" s="112">
        <f>K5*(0.075*1)</f>
        <v>-120000</v>
      </c>
      <c r="M9" s="54"/>
      <c r="N9" s="54" t="s">
        <v>15</v>
      </c>
      <c r="O9" s="112">
        <f>O5*0.075</f>
        <v>-238500</v>
      </c>
      <c r="T9" s="13"/>
    </row>
    <row r="10" spans="1:23">
      <c r="A10" s="54"/>
      <c r="B10" s="54" t="s">
        <v>16</v>
      </c>
      <c r="C10" s="109">
        <f>-150530</f>
        <v>-150530</v>
      </c>
      <c r="E10" s="54"/>
      <c r="F10" s="54" t="s">
        <v>16</v>
      </c>
      <c r="G10" s="109">
        <f>-37647</f>
        <v>-37647</v>
      </c>
      <c r="I10" s="54"/>
      <c r="J10" s="54" t="s">
        <v>17</v>
      </c>
      <c r="K10" s="109">
        <f>(-311159)*1</f>
        <v>-311159</v>
      </c>
      <c r="M10" s="54"/>
      <c r="N10" s="54" t="s">
        <v>17</v>
      </c>
      <c r="O10" s="109">
        <v>-76639</v>
      </c>
      <c r="S10" s="97"/>
      <c r="T10" s="13"/>
      <c r="U10" s="13"/>
      <c r="V10" s="97"/>
      <c r="W10" s="13"/>
    </row>
    <row r="11" spans="1:23">
      <c r="A11" s="54"/>
      <c r="B11" s="54" t="s">
        <v>18</v>
      </c>
      <c r="C11" s="109">
        <v>-158603.47</v>
      </c>
      <c r="E11" s="54"/>
      <c r="F11" s="54" t="s">
        <v>19</v>
      </c>
      <c r="G11" s="109">
        <v>-59825.73</v>
      </c>
      <c r="I11" s="54"/>
      <c r="J11" s="54" t="s">
        <v>19</v>
      </c>
      <c r="K11" s="109">
        <f>(-637555.5)*1</f>
        <v>-637555.5</v>
      </c>
      <c r="M11" s="54"/>
      <c r="N11" s="54" t="s">
        <v>19</v>
      </c>
      <c r="O11" s="109">
        <v>-374773.26</v>
      </c>
      <c r="S11" s="97"/>
      <c r="T11" s="97"/>
      <c r="V11" s="97"/>
    </row>
    <row r="12" spans="1:23">
      <c r="A12" s="54"/>
      <c r="B12" s="54" t="s">
        <v>20</v>
      </c>
      <c r="C12" s="109">
        <v>-3126651.611</v>
      </c>
      <c r="E12" s="104"/>
      <c r="F12" s="104" t="s">
        <v>20</v>
      </c>
      <c r="G12" s="111">
        <v>-3094934.6529999999</v>
      </c>
      <c r="I12" s="110"/>
      <c r="J12" s="54" t="s">
        <v>20</v>
      </c>
      <c r="K12" s="109">
        <f>(-1400764.28)*1</f>
        <v>-1400764.28</v>
      </c>
      <c r="M12" s="54"/>
      <c r="N12" s="54" t="s">
        <v>20</v>
      </c>
      <c r="O12" s="109">
        <v>-1040625.87</v>
      </c>
      <c r="S12" s="97"/>
      <c r="T12" s="13"/>
    </row>
    <row r="13" spans="1:23">
      <c r="A13" s="102"/>
      <c r="B13" s="101" t="s">
        <v>21</v>
      </c>
      <c r="C13" s="108">
        <v>211.919297</v>
      </c>
      <c r="D13" s="107"/>
      <c r="E13" s="102"/>
      <c r="F13" s="101" t="s">
        <v>21</v>
      </c>
      <c r="G13" s="106">
        <v>442.41386060000002</v>
      </c>
      <c r="H13" s="13"/>
      <c r="I13" s="105"/>
      <c r="J13" s="104" t="s">
        <v>22</v>
      </c>
      <c r="K13" s="112">
        <v>6526.4440169999998</v>
      </c>
      <c r="M13" s="105"/>
      <c r="N13" s="104" t="s">
        <v>22</v>
      </c>
      <c r="O13" s="112">
        <v>8427.2081130000006</v>
      </c>
    </row>
    <row r="14" spans="1:23">
      <c r="A14" s="100"/>
      <c r="B14" s="99" t="s">
        <v>23</v>
      </c>
      <c r="C14" s="98">
        <v>144.1008588</v>
      </c>
      <c r="D14" s="13"/>
      <c r="E14" s="100"/>
      <c r="F14" s="99" t="s">
        <v>23</v>
      </c>
      <c r="G14" s="98">
        <v>178.672809</v>
      </c>
      <c r="H14" s="13"/>
      <c r="I14" s="102"/>
      <c r="J14" s="101" t="s">
        <v>21</v>
      </c>
      <c r="K14" s="106">
        <v>211.1492714</v>
      </c>
      <c r="L14" s="103"/>
      <c r="M14" s="102"/>
      <c r="N14" s="101" t="s">
        <v>21</v>
      </c>
      <c r="O14" s="106">
        <v>706.33733800000005</v>
      </c>
    </row>
    <row r="15" spans="1:23">
      <c r="C15" s="13"/>
      <c r="G15" s="13"/>
      <c r="I15" s="100"/>
      <c r="J15" s="99" t="s">
        <v>23</v>
      </c>
      <c r="K15" s="98">
        <v>203.32722699999999</v>
      </c>
      <c r="L15" s="13"/>
      <c r="M15" s="100"/>
      <c r="N15" s="99" t="s">
        <v>23</v>
      </c>
      <c r="O15" s="98">
        <v>767.13962500000002</v>
      </c>
      <c r="P15" s="13"/>
      <c r="R15" s="96"/>
    </row>
    <row r="16" spans="1:23">
      <c r="C16" s="13"/>
      <c r="G16" s="13"/>
      <c r="K16" s="13"/>
      <c r="L16" s="13"/>
      <c r="O16" s="13"/>
      <c r="P16" s="13"/>
      <c r="R16" s="96"/>
    </row>
    <row r="17" spans="1:21" ht="14.25" customHeight="1">
      <c r="A17" s="134" t="s">
        <v>24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6"/>
      <c r="R17" s="96"/>
      <c r="T17" s="13"/>
    </row>
    <row r="18" spans="1:21" ht="14.25" customHeight="1">
      <c r="A18" s="137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9"/>
      <c r="R18" s="96"/>
      <c r="U18" s="13"/>
    </row>
    <row r="19" spans="1:21">
      <c r="A19" s="67" t="s">
        <v>25</v>
      </c>
      <c r="B19" s="66">
        <v>2024</v>
      </c>
      <c r="C19" s="65">
        <v>2025</v>
      </c>
      <c r="D19" s="65">
        <v>2026</v>
      </c>
      <c r="E19" s="65">
        <v>2027</v>
      </c>
      <c r="F19" s="65">
        <v>2028</v>
      </c>
      <c r="G19" s="65">
        <v>2029</v>
      </c>
      <c r="H19" s="65">
        <v>2030</v>
      </c>
      <c r="I19" s="65">
        <v>2031</v>
      </c>
      <c r="J19" s="65">
        <v>2032</v>
      </c>
      <c r="K19" s="65">
        <v>2033</v>
      </c>
      <c r="L19" s="64">
        <v>2034</v>
      </c>
      <c r="R19" s="96"/>
    </row>
    <row r="20" spans="1:21">
      <c r="A20" s="57" t="s">
        <v>26</v>
      </c>
      <c r="B20" s="60">
        <v>0</v>
      </c>
      <c r="C20">
        <v>1</v>
      </c>
      <c r="D20" s="60">
        <v>2</v>
      </c>
      <c r="E20">
        <v>3</v>
      </c>
      <c r="F20" s="60">
        <v>4</v>
      </c>
      <c r="G20">
        <v>5</v>
      </c>
      <c r="H20" s="60">
        <v>6</v>
      </c>
      <c r="I20">
        <v>7</v>
      </c>
      <c r="J20" s="60">
        <v>8</v>
      </c>
      <c r="K20">
        <v>9</v>
      </c>
      <c r="L20" s="63">
        <v>10</v>
      </c>
      <c r="R20" s="96"/>
      <c r="T20" s="13"/>
    </row>
    <row r="21" spans="1:21">
      <c r="A21" s="57" t="s">
        <v>27</v>
      </c>
      <c r="B21" s="62">
        <f t="shared" ref="B21:L21" si="0">ROUNDUP(B23/3393,0)</f>
        <v>14</v>
      </c>
      <c r="C21" s="62">
        <f t="shared" si="0"/>
        <v>14</v>
      </c>
      <c r="D21" s="62">
        <f t="shared" si="0"/>
        <v>14</v>
      </c>
      <c r="E21" s="62">
        <f t="shared" si="0"/>
        <v>15</v>
      </c>
      <c r="F21" s="62">
        <f t="shared" si="0"/>
        <v>15</v>
      </c>
      <c r="G21" s="62">
        <f t="shared" si="0"/>
        <v>15</v>
      </c>
      <c r="H21" s="62">
        <f t="shared" si="0"/>
        <v>15</v>
      </c>
      <c r="I21" s="62">
        <f t="shared" si="0"/>
        <v>16</v>
      </c>
      <c r="J21" s="62">
        <f t="shared" si="0"/>
        <v>16</v>
      </c>
      <c r="K21" s="62">
        <f t="shared" si="0"/>
        <v>16</v>
      </c>
      <c r="L21" s="61">
        <f t="shared" si="0"/>
        <v>16</v>
      </c>
      <c r="R21" s="96"/>
      <c r="U21" s="13"/>
    </row>
    <row r="22" spans="1:21">
      <c r="A22" s="57" t="s">
        <v>28</v>
      </c>
      <c r="C22">
        <v>1.0389999999999999</v>
      </c>
      <c r="D22">
        <v>1.0169999999999999</v>
      </c>
      <c r="E22">
        <v>1.018</v>
      </c>
      <c r="F22">
        <v>1.02</v>
      </c>
      <c r="G22">
        <v>1.014</v>
      </c>
      <c r="H22">
        <v>1.0129999999999999</v>
      </c>
      <c r="I22">
        <v>1.012</v>
      </c>
      <c r="J22">
        <v>1.012</v>
      </c>
      <c r="K22">
        <v>1.012</v>
      </c>
      <c r="L22" s="59">
        <v>1.012</v>
      </c>
      <c r="R22" s="96"/>
    </row>
    <row r="23" spans="1:21">
      <c r="A23" s="57" t="s">
        <v>29</v>
      </c>
      <c r="B23" s="60">
        <f>ROUNDUP(44670.7516,0)</f>
        <v>44671</v>
      </c>
      <c r="C23">
        <f t="shared" ref="C23:L23" si="1">ROUNDUP(B23*C22,0)</f>
        <v>46414</v>
      </c>
      <c r="D23">
        <f t="shared" si="1"/>
        <v>47204</v>
      </c>
      <c r="E23">
        <f t="shared" si="1"/>
        <v>48054</v>
      </c>
      <c r="F23">
        <f t="shared" si="1"/>
        <v>49016</v>
      </c>
      <c r="G23">
        <f t="shared" si="1"/>
        <v>49703</v>
      </c>
      <c r="H23">
        <f t="shared" si="1"/>
        <v>50350</v>
      </c>
      <c r="I23">
        <f t="shared" si="1"/>
        <v>50955</v>
      </c>
      <c r="J23">
        <f t="shared" si="1"/>
        <v>51567</v>
      </c>
      <c r="K23">
        <f t="shared" si="1"/>
        <v>52186</v>
      </c>
      <c r="L23" s="59">
        <f t="shared" si="1"/>
        <v>52813</v>
      </c>
      <c r="R23" s="96"/>
      <c r="T23" s="97"/>
    </row>
    <row r="24" spans="1:21">
      <c r="A24" s="57" t="s">
        <v>30</v>
      </c>
      <c r="B24" s="60">
        <v>1</v>
      </c>
      <c r="C24">
        <v>0.92900000000000005</v>
      </c>
      <c r="D24">
        <v>0.98299999999999998</v>
      </c>
      <c r="E24">
        <v>1.0249999999999999</v>
      </c>
      <c r="F24">
        <v>1.036</v>
      </c>
      <c r="G24">
        <v>1.036</v>
      </c>
      <c r="H24">
        <v>1.036</v>
      </c>
      <c r="I24">
        <v>1.006</v>
      </c>
      <c r="J24">
        <v>0.99399999999999999</v>
      </c>
      <c r="K24">
        <v>1.0169999999999999</v>
      </c>
      <c r="L24" s="59">
        <v>1.008</v>
      </c>
      <c r="R24" s="96"/>
      <c r="S24" s="97"/>
      <c r="U24" s="13"/>
    </row>
    <row r="25" spans="1:21">
      <c r="A25" s="57" t="s">
        <v>31</v>
      </c>
      <c r="B25" s="60">
        <v>1</v>
      </c>
      <c r="C25">
        <v>0.93799999999999994</v>
      </c>
      <c r="D25">
        <v>0.97399999999999998</v>
      </c>
      <c r="E25">
        <v>1.0009999999999999</v>
      </c>
      <c r="F25">
        <v>1.0089999999999999</v>
      </c>
      <c r="G25">
        <v>1.01</v>
      </c>
      <c r="H25">
        <v>1.012</v>
      </c>
      <c r="I25">
        <v>1.002</v>
      </c>
      <c r="J25">
        <v>0.995</v>
      </c>
      <c r="K25">
        <v>1.014</v>
      </c>
      <c r="L25" s="59">
        <v>1.006</v>
      </c>
      <c r="R25" s="96"/>
    </row>
    <row r="26" spans="1:21">
      <c r="A26" s="57" t="s">
        <v>32</v>
      </c>
      <c r="B26" s="13">
        <f xml:space="preserve"> B21*$C$5</f>
        <v>-11200000</v>
      </c>
      <c r="C26" s="58">
        <f t="shared" ref="C26:L26" si="2">(C21-B21)*$C$5</f>
        <v>0</v>
      </c>
      <c r="D26" s="58">
        <f t="shared" si="2"/>
        <v>0</v>
      </c>
      <c r="E26" s="13">
        <f t="shared" si="2"/>
        <v>-800000</v>
      </c>
      <c r="F26" s="58">
        <f t="shared" si="2"/>
        <v>0</v>
      </c>
      <c r="G26" s="58">
        <f t="shared" si="2"/>
        <v>0</v>
      </c>
      <c r="H26" s="58">
        <f t="shared" si="2"/>
        <v>0</v>
      </c>
      <c r="I26" s="13">
        <f t="shared" si="2"/>
        <v>-800000</v>
      </c>
      <c r="J26" s="58">
        <f t="shared" si="2"/>
        <v>0</v>
      </c>
      <c r="K26" s="58">
        <f t="shared" si="2"/>
        <v>0</v>
      </c>
      <c r="L26" s="95">
        <f t="shared" si="2"/>
        <v>0</v>
      </c>
      <c r="R26" s="96"/>
      <c r="T26" s="13"/>
    </row>
    <row r="27" spans="1:21">
      <c r="A27" s="57" t="s">
        <v>33</v>
      </c>
      <c r="B27" s="58"/>
      <c r="C27" s="53"/>
      <c r="D27" s="53"/>
      <c r="E27" s="53"/>
      <c r="F27" s="58"/>
      <c r="G27" s="53"/>
      <c r="H27" s="53"/>
      <c r="I27" s="53"/>
      <c r="J27" s="53"/>
      <c r="K27" s="53"/>
      <c r="L27" s="52">
        <f>(-1)*E26+E26/L20*(L20-D20)+(-1)*I26+I26/L20*(L20-H20)</f>
        <v>640000</v>
      </c>
      <c r="N27" s="13"/>
      <c r="R27" s="96"/>
      <c r="U27" s="13"/>
    </row>
    <row r="28" spans="1:21">
      <c r="A28" s="57" t="s">
        <v>34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6"/>
    </row>
    <row r="29" spans="1:21">
      <c r="A29" s="54" t="s">
        <v>12</v>
      </c>
      <c r="B29" s="53"/>
      <c r="C29" s="13">
        <f t="shared" ref="C29:K29" si="3">$C$8*C21</f>
        <v>-3718372</v>
      </c>
      <c r="D29" s="13">
        <f t="shared" si="3"/>
        <v>-3718372</v>
      </c>
      <c r="E29" s="13">
        <f t="shared" si="3"/>
        <v>-3983970</v>
      </c>
      <c r="F29" s="13">
        <f t="shared" si="3"/>
        <v>-3983970</v>
      </c>
      <c r="G29" s="13">
        <f t="shared" si="3"/>
        <v>-3983970</v>
      </c>
      <c r="H29" s="13">
        <f t="shared" si="3"/>
        <v>-3983970</v>
      </c>
      <c r="I29" s="13">
        <f t="shared" si="3"/>
        <v>-4249568</v>
      </c>
      <c r="J29" s="13">
        <f t="shared" si="3"/>
        <v>-4249568</v>
      </c>
      <c r="K29" s="13">
        <f t="shared" si="3"/>
        <v>-4249568</v>
      </c>
      <c r="L29" s="52">
        <f>C8*L21</f>
        <v>-4249568</v>
      </c>
      <c r="N29" s="13"/>
    </row>
    <row r="30" spans="1:21">
      <c r="A30" s="54" t="s">
        <v>14</v>
      </c>
      <c r="B30" s="53"/>
      <c r="C30" s="13">
        <f t="shared" ref="C30:L30" si="4">$C$9*C21</f>
        <v>-840000</v>
      </c>
      <c r="D30" s="13">
        <f t="shared" si="4"/>
        <v>-840000</v>
      </c>
      <c r="E30" s="13">
        <f t="shared" si="4"/>
        <v>-900000</v>
      </c>
      <c r="F30" s="13">
        <f t="shared" si="4"/>
        <v>-900000</v>
      </c>
      <c r="G30" s="13">
        <f t="shared" si="4"/>
        <v>-900000</v>
      </c>
      <c r="H30" s="13">
        <f t="shared" si="4"/>
        <v>-900000</v>
      </c>
      <c r="I30" s="13">
        <f t="shared" si="4"/>
        <v>-960000</v>
      </c>
      <c r="J30" s="13">
        <f t="shared" si="4"/>
        <v>-960000</v>
      </c>
      <c r="K30" s="13">
        <f t="shared" si="4"/>
        <v>-960000</v>
      </c>
      <c r="L30" s="52">
        <f t="shared" si="4"/>
        <v>-960000</v>
      </c>
      <c r="N30" s="13"/>
    </row>
    <row r="31" spans="1:21">
      <c r="A31" s="54" t="s">
        <v>16</v>
      </c>
      <c r="B31" s="53"/>
      <c r="C31" s="13">
        <f t="shared" ref="C31:L31" si="5">$C$10*C22*C25</f>
        <v>-146703.82845999999</v>
      </c>
      <c r="D31" s="13">
        <f t="shared" si="5"/>
        <v>-149108.69573999997</v>
      </c>
      <c r="E31" s="13">
        <f t="shared" si="5"/>
        <v>-153392.77953999999</v>
      </c>
      <c r="F31" s="13">
        <f t="shared" si="5"/>
        <v>-154922.46539999999</v>
      </c>
      <c r="G31" s="13">
        <f t="shared" si="5"/>
        <v>-154163.7942</v>
      </c>
      <c r="H31" s="13">
        <f t="shared" si="5"/>
        <v>-154316.73267999999</v>
      </c>
      <c r="I31" s="13">
        <f t="shared" si="5"/>
        <v>-152641.03272000002</v>
      </c>
      <c r="J31" s="13">
        <f t="shared" si="5"/>
        <v>-151574.67820000002</v>
      </c>
      <c r="K31" s="13">
        <f t="shared" si="5"/>
        <v>-154469.06904000003</v>
      </c>
      <c r="L31" s="52">
        <f t="shared" si="5"/>
        <v>-153250.37816000002</v>
      </c>
      <c r="N31" s="13"/>
    </row>
    <row r="32" spans="1:21">
      <c r="A32" s="54" t="s">
        <v>35</v>
      </c>
      <c r="B32" s="53"/>
      <c r="C32" s="13">
        <f t="shared" ref="C32:L32" si="6">SUM(C29:C31)*0.1</f>
        <v>-470507.58284600009</v>
      </c>
      <c r="D32" s="13">
        <f t="shared" si="6"/>
        <v>-470748.06957400008</v>
      </c>
      <c r="E32" s="13">
        <f t="shared" si="6"/>
        <v>-503736.27795399999</v>
      </c>
      <c r="F32" s="13">
        <f t="shared" si="6"/>
        <v>-503889.24654000002</v>
      </c>
      <c r="G32" s="13">
        <f t="shared" si="6"/>
        <v>-503813.37942000007</v>
      </c>
      <c r="H32" s="13">
        <f t="shared" si="6"/>
        <v>-503828.67326800007</v>
      </c>
      <c r="I32" s="13">
        <f t="shared" si="6"/>
        <v>-536220.90327200003</v>
      </c>
      <c r="J32" s="13">
        <f t="shared" si="6"/>
        <v>-536114.26782000007</v>
      </c>
      <c r="K32" s="13">
        <f t="shared" si="6"/>
        <v>-536403.70690400002</v>
      </c>
      <c r="L32" s="52">
        <f t="shared" si="6"/>
        <v>-536281.83781599998</v>
      </c>
      <c r="N32" s="13"/>
    </row>
    <row r="33" spans="1:19">
      <c r="A33" s="54" t="s">
        <v>19</v>
      </c>
      <c r="B33" s="53"/>
      <c r="C33" s="13">
        <f t="shared" ref="C33:L33" si="7">$C$11*C22*C24</f>
        <v>-153088.98595157001</v>
      </c>
      <c r="D33" s="13">
        <f t="shared" si="7"/>
        <v>-158557.63359716997</v>
      </c>
      <c r="E33" s="13">
        <f t="shared" si="7"/>
        <v>-165494.7907715</v>
      </c>
      <c r="F33" s="13">
        <f t="shared" si="7"/>
        <v>-167599.45881840002</v>
      </c>
      <c r="G33" s="13">
        <f t="shared" si="7"/>
        <v>-166613.57964888</v>
      </c>
      <c r="H33" s="13">
        <f t="shared" si="7"/>
        <v>-166449.26645396001</v>
      </c>
      <c r="I33" s="13">
        <f t="shared" si="7"/>
        <v>-161469.75190984001</v>
      </c>
      <c r="J33" s="13">
        <f t="shared" si="7"/>
        <v>-159543.67137015998</v>
      </c>
      <c r="K33" s="13">
        <f t="shared" si="7"/>
        <v>-163235.32573787999</v>
      </c>
      <c r="L33" s="52">
        <f t="shared" si="7"/>
        <v>-161790.76533311998</v>
      </c>
      <c r="N33" s="13"/>
    </row>
    <row r="34" spans="1:19">
      <c r="A34" s="54" t="s">
        <v>36</v>
      </c>
      <c r="B34" s="53"/>
      <c r="C34" s="13">
        <f t="shared" ref="C34:L34" si="8">$C$12*C22*C24</f>
        <v>-3017941.0611371407</v>
      </c>
      <c r="D34" s="13">
        <f t="shared" si="8"/>
        <v>-3125748.0086844205</v>
      </c>
      <c r="E34" s="13">
        <f t="shared" si="8"/>
        <v>-3262504.6234979499</v>
      </c>
      <c r="F34" s="13">
        <f t="shared" si="8"/>
        <v>-3303995.29037592</v>
      </c>
      <c r="G34" s="13">
        <f t="shared" si="8"/>
        <v>-3284560.023961944</v>
      </c>
      <c r="H34" s="13">
        <f t="shared" si="8"/>
        <v>-3281320.8128929478</v>
      </c>
      <c r="I34" s="13">
        <f t="shared" si="8"/>
        <v>-3183156.4589139917</v>
      </c>
      <c r="J34" s="13">
        <f t="shared" si="8"/>
        <v>-3145186.4017500081</v>
      </c>
      <c r="K34" s="13">
        <f t="shared" si="8"/>
        <v>-3217962.3446476436</v>
      </c>
      <c r="L34" s="52">
        <f t="shared" si="8"/>
        <v>-3189484.8017746559</v>
      </c>
      <c r="N34" s="13"/>
    </row>
    <row r="35" spans="1:19">
      <c r="A35" s="54" t="s">
        <v>37</v>
      </c>
      <c r="B35" s="53"/>
      <c r="C35" s="13">
        <f t="shared" ref="C35:L35" si="9">C23*$C$13</f>
        <v>9836022.2509579994</v>
      </c>
      <c r="D35" s="13">
        <f t="shared" si="9"/>
        <v>10003438.495588001</v>
      </c>
      <c r="E35" s="13">
        <f t="shared" si="9"/>
        <v>10183569.898038</v>
      </c>
      <c r="F35" s="13">
        <f t="shared" si="9"/>
        <v>10387436.261752</v>
      </c>
      <c r="G35" s="13">
        <f t="shared" si="9"/>
        <v>10533024.818791</v>
      </c>
      <c r="H35" s="13">
        <f t="shared" si="9"/>
        <v>10670136.603949999</v>
      </c>
      <c r="I35" s="13">
        <f t="shared" si="9"/>
        <v>10798347.778635001</v>
      </c>
      <c r="J35" s="13">
        <f t="shared" si="9"/>
        <v>10928042.388398999</v>
      </c>
      <c r="K35" s="13">
        <f t="shared" si="9"/>
        <v>11059220.433242001</v>
      </c>
      <c r="L35" s="52">
        <f t="shared" si="9"/>
        <v>11192093.832460999</v>
      </c>
    </row>
    <row r="36" spans="1:19">
      <c r="A36" s="54" t="s">
        <v>38</v>
      </c>
      <c r="B36" s="53"/>
      <c r="C36" s="13">
        <f t="shared" ref="C36:L36" si="10">(-1)*C23*$C$14</f>
        <v>-6688297.2603431996</v>
      </c>
      <c r="D36" s="13">
        <f t="shared" si="10"/>
        <v>-6802136.9387951996</v>
      </c>
      <c r="E36" s="13">
        <f t="shared" si="10"/>
        <v>-6924622.6687751999</v>
      </c>
      <c r="F36" s="13">
        <f t="shared" si="10"/>
        <v>-7063247.6949407998</v>
      </c>
      <c r="G36" s="13">
        <f t="shared" si="10"/>
        <v>-7162244.9849364003</v>
      </c>
      <c r="H36" s="13">
        <f t="shared" si="10"/>
        <v>-7255478.24058</v>
      </c>
      <c r="I36" s="13">
        <f t="shared" si="10"/>
        <v>-7342659.2601539996</v>
      </c>
      <c r="J36" s="13">
        <f t="shared" si="10"/>
        <v>-7430848.9857395999</v>
      </c>
      <c r="K36" s="13">
        <f t="shared" si="10"/>
        <v>-7520047.4173368001</v>
      </c>
      <c r="L36" s="52">
        <f t="shared" si="10"/>
        <v>-7610398.6558043994</v>
      </c>
      <c r="O36" s="13"/>
      <c r="P36" s="13"/>
    </row>
    <row r="37" spans="1:19">
      <c r="A37" s="54" t="s">
        <v>39</v>
      </c>
      <c r="B37" s="53"/>
      <c r="C37" s="13">
        <f t="shared" ref="C37:L37" si="11">C23*$C$14</f>
        <v>6688297.2603431996</v>
      </c>
      <c r="D37" s="13">
        <f t="shared" si="11"/>
        <v>6802136.9387951996</v>
      </c>
      <c r="E37" s="13">
        <f t="shared" si="11"/>
        <v>6924622.6687751999</v>
      </c>
      <c r="F37" s="13">
        <f t="shared" si="11"/>
        <v>7063247.6949407998</v>
      </c>
      <c r="G37" s="13">
        <f t="shared" si="11"/>
        <v>7162244.9849364003</v>
      </c>
      <c r="H37" s="13">
        <f t="shared" si="11"/>
        <v>7255478.24058</v>
      </c>
      <c r="I37" s="13">
        <f t="shared" si="11"/>
        <v>7342659.2601539996</v>
      </c>
      <c r="J37" s="13">
        <f t="shared" si="11"/>
        <v>7430848.9857395999</v>
      </c>
      <c r="K37" s="13">
        <f t="shared" si="11"/>
        <v>7520047.4173368001</v>
      </c>
      <c r="L37" s="52">
        <f t="shared" si="11"/>
        <v>7610398.6558043994</v>
      </c>
      <c r="O37" s="13"/>
    </row>
    <row r="38" spans="1:19">
      <c r="A38" s="51" t="s">
        <v>40</v>
      </c>
      <c r="B38" s="50">
        <f>SUM(B26:B34)</f>
        <v>-11200000</v>
      </c>
      <c r="C38" s="50">
        <f t="shared" ref="C38:L38" si="12">SUM(C26:C35)</f>
        <v>1489408.7925632885</v>
      </c>
      <c r="D38" s="50">
        <f t="shared" si="12"/>
        <v>1540904.0879924092</v>
      </c>
      <c r="E38" s="50">
        <f t="shared" si="12"/>
        <v>414471.42627454922</v>
      </c>
      <c r="F38" s="50">
        <f t="shared" si="12"/>
        <v>1373059.80061768</v>
      </c>
      <c r="G38" s="50">
        <f t="shared" si="12"/>
        <v>1539904.0415601749</v>
      </c>
      <c r="H38" s="50">
        <f t="shared" si="12"/>
        <v>1680251.1186550912</v>
      </c>
      <c r="I38" s="50">
        <f t="shared" si="12"/>
        <v>755291.63181916997</v>
      </c>
      <c r="J38" s="50">
        <f t="shared" si="12"/>
        <v>1726055.3692588322</v>
      </c>
      <c r="K38" s="50">
        <f t="shared" si="12"/>
        <v>1777581.9869124778</v>
      </c>
      <c r="L38" s="49">
        <f t="shared" si="12"/>
        <v>2581718.0493772235</v>
      </c>
      <c r="O38" s="13"/>
      <c r="P38" s="13"/>
      <c r="S38" s="13"/>
    </row>
    <row r="39" spans="1:19">
      <c r="A39" s="48" t="s">
        <v>41</v>
      </c>
      <c r="B39" s="37">
        <f>SUM(B26:B32)</f>
        <v>-11200000</v>
      </c>
      <c r="C39" s="37">
        <f t="shared" ref="C39:L39" si="13">SUM(C26:C32,C37)</f>
        <v>1512713.8490371993</v>
      </c>
      <c r="D39" s="37">
        <f t="shared" si="13"/>
        <v>1623908.173481199</v>
      </c>
      <c r="E39" s="37">
        <f t="shared" si="13"/>
        <v>583523.61128120031</v>
      </c>
      <c r="F39" s="37">
        <f t="shared" si="13"/>
        <v>1520465.9830008</v>
      </c>
      <c r="G39" s="37">
        <f t="shared" si="13"/>
        <v>1620297.8113163998</v>
      </c>
      <c r="H39" s="37">
        <f t="shared" si="13"/>
        <v>1713362.834632</v>
      </c>
      <c r="I39" s="37">
        <f t="shared" si="13"/>
        <v>644229.32416199986</v>
      </c>
      <c r="J39" s="37">
        <f t="shared" si="13"/>
        <v>1533592.0397196002</v>
      </c>
      <c r="K39" s="37">
        <f t="shared" si="13"/>
        <v>1619606.6413928</v>
      </c>
      <c r="L39" s="47">
        <f t="shared" si="13"/>
        <v>2351298.4398283996</v>
      </c>
      <c r="O39" s="13"/>
    </row>
    <row r="40" spans="1:19">
      <c r="A40" s="46" t="s">
        <v>42</v>
      </c>
      <c r="B40" s="28">
        <f>SUM(B33:B34)</f>
        <v>0</v>
      </c>
      <c r="C40" s="28">
        <f t="shared" ref="C40:L40" si="14">SUM(C33:C34,C35,C36)</f>
        <v>-23305.056473910809</v>
      </c>
      <c r="D40" s="28">
        <f t="shared" si="14"/>
        <v>-83004.085488788784</v>
      </c>
      <c r="E40" s="28">
        <f t="shared" si="14"/>
        <v>-169052.18500665016</v>
      </c>
      <c r="F40" s="28">
        <f t="shared" si="14"/>
        <v>-147406.18238312006</v>
      </c>
      <c r="G40" s="28">
        <f t="shared" si="14"/>
        <v>-80393.769756224006</v>
      </c>
      <c r="H40" s="28">
        <f t="shared" si="14"/>
        <v>-33111.715976908803</v>
      </c>
      <c r="I40" s="28">
        <f t="shared" si="14"/>
        <v>111062.30765716918</v>
      </c>
      <c r="J40" s="28">
        <f t="shared" si="14"/>
        <v>192463.32953923196</v>
      </c>
      <c r="K40" s="28">
        <f t="shared" si="14"/>
        <v>157975.3455196768</v>
      </c>
      <c r="L40" s="27">
        <f t="shared" si="14"/>
        <v>230419.60954882391</v>
      </c>
    </row>
    <row r="41" spans="1:19">
      <c r="A41" s="42" t="s">
        <v>43</v>
      </c>
      <c r="B41" s="88">
        <f>$B$38</f>
        <v>-11200000</v>
      </c>
      <c r="C41" s="45">
        <f t="shared" ref="C41:L41" si="15">C38/1.05^C20</f>
        <v>1418484.5643459889</v>
      </c>
      <c r="D41" s="45">
        <f t="shared" si="15"/>
        <v>1397645.4312856318</v>
      </c>
      <c r="E41" s="45">
        <f t="shared" si="15"/>
        <v>358036.00153292227</v>
      </c>
      <c r="F41" s="45">
        <f t="shared" si="15"/>
        <v>1129619.6960054133</v>
      </c>
      <c r="G41" s="45">
        <f t="shared" si="15"/>
        <v>1206555.1104129304</v>
      </c>
      <c r="H41" s="45">
        <f t="shared" si="15"/>
        <v>1253829.2549563462</v>
      </c>
      <c r="I41" s="45">
        <f t="shared" si="15"/>
        <v>536771.66153739765</v>
      </c>
      <c r="J41" s="45">
        <f t="shared" si="15"/>
        <v>1168262.214955338</v>
      </c>
      <c r="K41" s="45">
        <f t="shared" si="15"/>
        <v>1145845.198071931</v>
      </c>
      <c r="L41" s="44">
        <f t="shared" si="15"/>
        <v>1584950.9274180739</v>
      </c>
      <c r="S41" s="13"/>
    </row>
    <row r="42" spans="1:19">
      <c r="A42" s="42" t="s">
        <v>44</v>
      </c>
      <c r="B42" s="86">
        <f>$B$38</f>
        <v>-11200000</v>
      </c>
      <c r="C42" s="41">
        <f t="shared" ref="C42:L42" si="16">C38/1.06^C20</f>
        <v>1405102.6344936683</v>
      </c>
      <c r="D42" s="41">
        <f t="shared" si="16"/>
        <v>1371399.1527166332</v>
      </c>
      <c r="E42" s="41">
        <f t="shared" si="16"/>
        <v>347998.20176601247</v>
      </c>
      <c r="F42" s="41">
        <f t="shared" si="16"/>
        <v>1087591.9673161241</v>
      </c>
      <c r="G42" s="41">
        <f t="shared" si="16"/>
        <v>1150705.8804853128</v>
      </c>
      <c r="H42" s="41">
        <f t="shared" si="16"/>
        <v>1184510.7366814637</v>
      </c>
      <c r="I42" s="41">
        <f t="shared" si="16"/>
        <v>502312.07260076131</v>
      </c>
      <c r="J42" s="41">
        <f t="shared" si="16"/>
        <v>1082948.4922939758</v>
      </c>
      <c r="K42" s="41">
        <f t="shared" si="16"/>
        <v>1052148.0468521446</v>
      </c>
      <c r="L42" s="43">
        <f t="shared" si="16"/>
        <v>1441617.8742397281</v>
      </c>
    </row>
    <row r="43" spans="1:19">
      <c r="A43" s="42" t="s">
        <v>45</v>
      </c>
      <c r="B43" s="86">
        <f>$B$38</f>
        <v>-11200000</v>
      </c>
      <c r="C43" s="41">
        <f t="shared" ref="C43:L43" si="17">C38/1.07^C20</f>
        <v>1391970.8341712975</v>
      </c>
      <c r="D43" s="41">
        <f t="shared" si="17"/>
        <v>1345885.307007083</v>
      </c>
      <c r="E43" s="41">
        <f t="shared" si="17"/>
        <v>338332.14529983781</v>
      </c>
      <c r="F43" s="41">
        <f t="shared" si="17"/>
        <v>1047500.7477461577</v>
      </c>
      <c r="G43" s="41">
        <f t="shared" si="17"/>
        <v>1097930.2993634492</v>
      </c>
      <c r="H43" s="41">
        <f t="shared" si="17"/>
        <v>1119622.2669748163</v>
      </c>
      <c r="I43" s="41">
        <f t="shared" si="17"/>
        <v>470357.66876297974</v>
      </c>
      <c r="J43" s="41">
        <f t="shared" si="17"/>
        <v>1004579.9398920097</v>
      </c>
      <c r="K43" s="41">
        <f t="shared" si="17"/>
        <v>966886.82289147004</v>
      </c>
      <c r="L43" s="43">
        <f t="shared" si="17"/>
        <v>1312414.5428923359</v>
      </c>
    </row>
    <row r="44" spans="1:19">
      <c r="A44" s="42" t="s">
        <v>46</v>
      </c>
      <c r="B44" s="86">
        <f>$B$38</f>
        <v>-11200000</v>
      </c>
      <c r="C44" s="41">
        <f t="shared" ref="C44:L44" si="18">C38/1.08^C20</f>
        <v>1379082.2153363782</v>
      </c>
      <c r="D44" s="41">
        <f t="shared" si="18"/>
        <v>1321076.8929976074</v>
      </c>
      <c r="E44" s="41">
        <f t="shared" si="18"/>
        <v>329020.7811583514</v>
      </c>
      <c r="F44" s="41">
        <f t="shared" si="18"/>
        <v>1009239.9431287408</v>
      </c>
      <c r="G44" s="41">
        <f t="shared" si="18"/>
        <v>1048032.8157302211</v>
      </c>
      <c r="H44" s="41">
        <f t="shared" si="18"/>
        <v>1058843.2205127978</v>
      </c>
      <c r="I44" s="41">
        <f t="shared" si="18"/>
        <v>440705.41278834955</v>
      </c>
      <c r="J44" s="41">
        <f t="shared" si="18"/>
        <v>932534.00893811509</v>
      </c>
      <c r="K44" s="41">
        <f t="shared" si="18"/>
        <v>889233.55294445367</v>
      </c>
      <c r="L44" s="43">
        <f t="shared" si="18"/>
        <v>1195834.9885422233</v>
      </c>
      <c r="S44" s="13"/>
    </row>
    <row r="45" spans="1:19">
      <c r="A45" s="39" t="s">
        <v>43</v>
      </c>
      <c r="B45" s="38">
        <f>$B$39</f>
        <v>-11200000</v>
      </c>
      <c r="C45" s="37">
        <f t="shared" ref="C45:L45" si="19">C39/1.05^C20</f>
        <v>1440679.8562259041</v>
      </c>
      <c r="D45" s="37">
        <f t="shared" si="19"/>
        <v>1472932.5836564163</v>
      </c>
      <c r="E45" s="37">
        <f t="shared" si="19"/>
        <v>504069.63505556656</v>
      </c>
      <c r="F45" s="37">
        <f t="shared" si="19"/>
        <v>1250891.1270516298</v>
      </c>
      <c r="G45" s="37">
        <f t="shared" si="19"/>
        <v>1269545.7326379733</v>
      </c>
      <c r="H45" s="37">
        <f t="shared" si="19"/>
        <v>1278537.7272273744</v>
      </c>
      <c r="I45" s="37">
        <f t="shared" si="19"/>
        <v>457841.75300427922</v>
      </c>
      <c r="J45" s="37">
        <f t="shared" si="19"/>
        <v>1037995.4577760873</v>
      </c>
      <c r="K45" s="37">
        <f t="shared" si="19"/>
        <v>1044012.8818073595</v>
      </c>
      <c r="L45" s="47">
        <f t="shared" si="19"/>
        <v>1443493.275240364</v>
      </c>
    </row>
    <row r="46" spans="1:19">
      <c r="A46" s="36" t="s">
        <v>44</v>
      </c>
      <c r="B46" s="35">
        <f>$B$39</f>
        <v>-11200000</v>
      </c>
      <c r="C46" s="32">
        <f t="shared" ref="C46:L46" si="20">C39/1.06^C20</f>
        <v>1427088.5368275463</v>
      </c>
      <c r="D46" s="32">
        <f t="shared" si="20"/>
        <v>1445272.4933082936</v>
      </c>
      <c r="E46" s="32">
        <f t="shared" si="20"/>
        <v>489937.67613634089</v>
      </c>
      <c r="F46" s="32">
        <f t="shared" si="20"/>
        <v>1204351.4703039012</v>
      </c>
      <c r="G46" s="32">
        <f t="shared" si="20"/>
        <v>1210780.7819831639</v>
      </c>
      <c r="H46" s="32">
        <f t="shared" si="20"/>
        <v>1207853.1898714304</v>
      </c>
      <c r="I46" s="32">
        <f t="shared" si="20"/>
        <v>428449.29483804788</v>
      </c>
      <c r="J46" s="32">
        <f t="shared" si="20"/>
        <v>962194.61831142299</v>
      </c>
      <c r="K46" s="32">
        <f t="shared" si="20"/>
        <v>958642.68256342248</v>
      </c>
      <c r="L46" s="31">
        <f t="shared" si="20"/>
        <v>1312952.7677688438</v>
      </c>
    </row>
    <row r="47" spans="1:19">
      <c r="A47" s="36" t="s">
        <v>45</v>
      </c>
      <c r="B47" s="35">
        <f>$B$39</f>
        <v>-11200000</v>
      </c>
      <c r="C47" s="32">
        <f t="shared" ref="C47:L47" si="21">C39/1.07^C20</f>
        <v>1413751.2607824292</v>
      </c>
      <c r="D47" s="32">
        <f t="shared" si="21"/>
        <v>1418384.2898778922</v>
      </c>
      <c r="E47" s="32">
        <f t="shared" si="21"/>
        <v>476329.0850045266</v>
      </c>
      <c r="F47" s="32">
        <f t="shared" si="21"/>
        <v>1159956.2185124443</v>
      </c>
      <c r="G47" s="32">
        <f t="shared" si="21"/>
        <v>1155249.9461162298</v>
      </c>
      <c r="H47" s="32">
        <f t="shared" si="21"/>
        <v>1141686.0014332505</v>
      </c>
      <c r="I47" s="32">
        <f t="shared" si="21"/>
        <v>401193.64533636998</v>
      </c>
      <c r="J47" s="32">
        <f t="shared" si="21"/>
        <v>892564.52980527538</v>
      </c>
      <c r="K47" s="32">
        <f t="shared" si="21"/>
        <v>880958.70196692785</v>
      </c>
      <c r="L47" s="31">
        <f t="shared" si="21"/>
        <v>1195280.8974842334</v>
      </c>
      <c r="S47" s="13"/>
    </row>
    <row r="48" spans="1:19">
      <c r="A48" s="34" t="s">
        <v>46</v>
      </c>
      <c r="B48" s="35">
        <f>$B$39</f>
        <v>-11200000</v>
      </c>
      <c r="C48" s="32">
        <f t="shared" ref="C48:L48" si="22">C39/1.08^C20</f>
        <v>1400660.97133074</v>
      </c>
      <c r="D48" s="32">
        <f t="shared" si="22"/>
        <v>1392239.5177307946</v>
      </c>
      <c r="E48" s="32">
        <f t="shared" si="22"/>
        <v>463219.85603153758</v>
      </c>
      <c r="F48" s="32">
        <f t="shared" si="22"/>
        <v>1117587.8876670927</v>
      </c>
      <c r="G48" s="32">
        <f t="shared" si="22"/>
        <v>1102747.4645725081</v>
      </c>
      <c r="H48" s="32">
        <f t="shared" si="22"/>
        <v>1079709.2182154257</v>
      </c>
      <c r="I48" s="32">
        <f t="shared" si="22"/>
        <v>375901.62299474265</v>
      </c>
      <c r="J48" s="32">
        <f t="shared" si="22"/>
        <v>828552.0605804181</v>
      </c>
      <c r="K48" s="32">
        <f t="shared" si="22"/>
        <v>810206.5495159995</v>
      </c>
      <c r="L48" s="31">
        <f t="shared" si="22"/>
        <v>1089106.1258721924</v>
      </c>
    </row>
    <row r="49" spans="1:14">
      <c r="A49" s="30" t="s">
        <v>43</v>
      </c>
      <c r="B49" s="29">
        <f>$B$40</f>
        <v>0</v>
      </c>
      <c r="C49" s="28">
        <f t="shared" ref="C49:L49" si="23">C40/1.05^C20</f>
        <v>-22195.291879915054</v>
      </c>
      <c r="D49" s="28">
        <f t="shared" si="23"/>
        <v>-75287.152370783471</v>
      </c>
      <c r="E49" s="28">
        <f t="shared" si="23"/>
        <v>-146033.63352264347</v>
      </c>
      <c r="F49" s="28">
        <f t="shared" si="23"/>
        <v>-121271.43104621638</v>
      </c>
      <c r="G49" s="28">
        <f t="shared" si="23"/>
        <v>-62990.622225042134</v>
      </c>
      <c r="H49" s="28">
        <f t="shared" si="23"/>
        <v>-24708.472271028364</v>
      </c>
      <c r="I49" s="28">
        <f t="shared" si="23"/>
        <v>78929.908533117763</v>
      </c>
      <c r="J49" s="28">
        <f t="shared" si="23"/>
        <v>130266.75717925074</v>
      </c>
      <c r="K49" s="28">
        <f t="shared" si="23"/>
        <v>101832.31626457092</v>
      </c>
      <c r="L49" s="27">
        <f t="shared" si="23"/>
        <v>141457.65217770991</v>
      </c>
    </row>
    <row r="50" spans="1:14">
      <c r="A50" s="24" t="s">
        <v>44</v>
      </c>
      <c r="B50" s="26">
        <f>$B$40</f>
        <v>0</v>
      </c>
      <c r="C50" s="22">
        <f t="shared" ref="C50:L50" si="24">C40/1.06^C20</f>
        <v>-21985.902333878119</v>
      </c>
      <c r="D50" s="22">
        <f t="shared" si="24"/>
        <v>-73873.340591659638</v>
      </c>
      <c r="E50" s="22">
        <f t="shared" si="24"/>
        <v>-141939.47437032763</v>
      </c>
      <c r="F50" s="22">
        <f t="shared" si="24"/>
        <v>-116759.50298777732</v>
      </c>
      <c r="G50" s="22">
        <f t="shared" si="24"/>
        <v>-60074.901497850413</v>
      </c>
      <c r="H50" s="22">
        <f t="shared" si="24"/>
        <v>-23342.453189966694</v>
      </c>
      <c r="I50" s="22">
        <f t="shared" si="24"/>
        <v>73862.777762712809</v>
      </c>
      <c r="J50" s="22">
        <f t="shared" si="24"/>
        <v>120753.87398255292</v>
      </c>
      <c r="K50" s="22">
        <f t="shared" si="24"/>
        <v>93505.364288721525</v>
      </c>
      <c r="L50" s="25">
        <f t="shared" si="24"/>
        <v>128665.10647088409</v>
      </c>
    </row>
    <row r="51" spans="1:14">
      <c r="A51" s="24" t="s">
        <v>45</v>
      </c>
      <c r="B51" s="26">
        <f>$B$40</f>
        <v>0</v>
      </c>
      <c r="C51" s="22">
        <f t="shared" ref="C51:L51" si="25">C40/1.07^C20</f>
        <v>-21780.426611131596</v>
      </c>
      <c r="D51" s="22">
        <f t="shared" si="25"/>
        <v>-72498.982870808613</v>
      </c>
      <c r="E51" s="22">
        <f t="shared" si="25"/>
        <v>-137996.93970468803</v>
      </c>
      <c r="F51" s="22">
        <f t="shared" si="25"/>
        <v>-112455.47076628655</v>
      </c>
      <c r="G51" s="22">
        <f t="shared" si="25"/>
        <v>-57319.646752779838</v>
      </c>
      <c r="H51" s="22">
        <f t="shared" si="25"/>
        <v>-22063.734458434159</v>
      </c>
      <c r="I51" s="22">
        <f t="shared" si="25"/>
        <v>69164.023426609157</v>
      </c>
      <c r="J51" s="22">
        <f t="shared" si="25"/>
        <v>112015.41008673431</v>
      </c>
      <c r="K51" s="22">
        <f t="shared" si="25"/>
        <v>85928.120924541727</v>
      </c>
      <c r="L51" s="25">
        <f t="shared" si="25"/>
        <v>117133.64540810269</v>
      </c>
    </row>
    <row r="52" spans="1:14" ht="15.75" thickBot="1">
      <c r="A52" s="24" t="s">
        <v>46</v>
      </c>
      <c r="B52" s="26">
        <f>$B$40</f>
        <v>0</v>
      </c>
      <c r="C52" s="22">
        <f t="shared" ref="C52:L52" si="26">C40/1.08^C20</f>
        <v>-21578.755994361858</v>
      </c>
      <c r="D52" s="22">
        <f t="shared" si="26"/>
        <v>-71162.624733186531</v>
      </c>
      <c r="E52" s="22">
        <f t="shared" si="26"/>
        <v>-134199.07487318543</v>
      </c>
      <c r="F52" s="22">
        <f t="shared" si="26"/>
        <v>-108347.94453835188</v>
      </c>
      <c r="G52" s="21">
        <f t="shared" si="26"/>
        <v>-54714.648842286377</v>
      </c>
      <c r="H52" s="21">
        <f t="shared" si="26"/>
        <v>-20865.997702627952</v>
      </c>
      <c r="I52" s="21">
        <f t="shared" si="26"/>
        <v>64803.78979360636</v>
      </c>
      <c r="J52" s="21">
        <f t="shared" si="26"/>
        <v>103981.94835769701</v>
      </c>
      <c r="K52" s="21">
        <f t="shared" si="26"/>
        <v>79027.003428453681</v>
      </c>
      <c r="L52" s="20">
        <f t="shared" si="26"/>
        <v>106728.86267003077</v>
      </c>
    </row>
    <row r="53" spans="1:14">
      <c r="A53" s="19" t="s">
        <v>47</v>
      </c>
      <c r="B53" s="18">
        <f>SUM(B41:L41)</f>
        <v>6.0521973995491862E-2</v>
      </c>
      <c r="C53" s="17" t="s">
        <v>47</v>
      </c>
      <c r="D53" s="16">
        <f>SUM(B45:L45)</f>
        <v>2.9682954773306847E-2</v>
      </c>
      <c r="E53" s="15" t="s">
        <v>47</v>
      </c>
      <c r="F53" s="14">
        <f>SUM(B49:L49)</f>
        <v>3.0839020473649725E-2</v>
      </c>
      <c r="G53" s="13"/>
    </row>
    <row r="54" spans="1:14">
      <c r="A54" s="12" t="s">
        <v>48</v>
      </c>
      <c r="B54" s="11">
        <f>SUM(B42:L42)</f>
        <v>-573664.94055417646</v>
      </c>
      <c r="C54" s="10" t="s">
        <v>48</v>
      </c>
      <c r="D54" s="9">
        <f>SUM(B46:L46)</f>
        <v>-552476.48808758659</v>
      </c>
      <c r="E54" s="8" t="s">
        <v>48</v>
      </c>
      <c r="F54" s="7">
        <f>SUM(B50:L50)</f>
        <v>-21188.452466588496</v>
      </c>
    </row>
    <row r="55" spans="1:14">
      <c r="A55" s="12" t="s">
        <v>49</v>
      </c>
      <c r="B55" s="11">
        <f>SUM(B43:L43)</f>
        <v>-1104519.4249985628</v>
      </c>
      <c r="C55" s="10" t="s">
        <v>49</v>
      </c>
      <c r="D55" s="9">
        <f>SUM(B47:L47)</f>
        <v>-1064645.4236804207</v>
      </c>
      <c r="E55" s="8" t="s">
        <v>49</v>
      </c>
      <c r="F55" s="7">
        <f>SUM(B51:L51)</f>
        <v>-39874.001318140887</v>
      </c>
    </row>
    <row r="56" spans="1:14" ht="15.75" thickBot="1">
      <c r="A56" s="6" t="s">
        <v>50</v>
      </c>
      <c r="B56" s="5">
        <f>SUM(B44:L44)</f>
        <v>-1596396.1679227622</v>
      </c>
      <c r="C56" s="4" t="s">
        <v>50</v>
      </c>
      <c r="D56" s="3">
        <f>SUM(B48:L48)</f>
        <v>-1540068.7254885496</v>
      </c>
      <c r="E56" s="2" t="s">
        <v>50</v>
      </c>
      <c r="F56" s="1">
        <f>SUM(B52:L52)</f>
        <v>-56327.442434212222</v>
      </c>
    </row>
    <row r="59" spans="1:14" ht="14.25" customHeight="1">
      <c r="A59" s="140" t="s">
        <v>51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142"/>
    </row>
    <row r="60" spans="1:14" ht="14.25" customHeight="1">
      <c r="A60" s="143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5"/>
    </row>
    <row r="61" spans="1:14">
      <c r="A61" s="67" t="s">
        <v>25</v>
      </c>
      <c r="B61" s="65">
        <v>2024</v>
      </c>
      <c r="C61" s="65">
        <v>2025</v>
      </c>
      <c r="D61" s="65">
        <v>2026</v>
      </c>
      <c r="E61" s="65">
        <v>2027</v>
      </c>
      <c r="F61" s="65">
        <v>2028</v>
      </c>
      <c r="G61" s="65">
        <v>2029</v>
      </c>
      <c r="H61" s="65">
        <v>2030</v>
      </c>
      <c r="I61" s="65">
        <v>2031</v>
      </c>
      <c r="J61" s="65">
        <v>2032</v>
      </c>
      <c r="K61" s="65">
        <v>2033</v>
      </c>
      <c r="L61" s="64">
        <v>2034</v>
      </c>
    </row>
    <row r="62" spans="1:14">
      <c r="A62" s="57" t="s">
        <v>26</v>
      </c>
      <c r="B62" s="60">
        <v>0</v>
      </c>
      <c r="C62">
        <v>1</v>
      </c>
      <c r="D62" s="60">
        <v>2</v>
      </c>
      <c r="E62">
        <v>3</v>
      </c>
      <c r="F62" s="60">
        <v>4</v>
      </c>
      <c r="G62">
        <v>5</v>
      </c>
      <c r="H62" s="60">
        <v>6</v>
      </c>
      <c r="I62">
        <v>7</v>
      </c>
      <c r="J62" s="60">
        <v>8</v>
      </c>
      <c r="K62">
        <v>9</v>
      </c>
      <c r="L62" s="63">
        <v>10</v>
      </c>
    </row>
    <row r="63" spans="1:14">
      <c r="A63" s="57" t="s">
        <v>27</v>
      </c>
      <c r="B63">
        <f t="shared" ref="B63:L63" si="27">ROUNDUP(B65/3393,0)</f>
        <v>4</v>
      </c>
      <c r="C63">
        <f t="shared" si="27"/>
        <v>4</v>
      </c>
      <c r="D63">
        <f t="shared" si="27"/>
        <v>4</v>
      </c>
      <c r="E63">
        <f t="shared" si="27"/>
        <v>4</v>
      </c>
      <c r="F63">
        <f t="shared" si="27"/>
        <v>4</v>
      </c>
      <c r="G63">
        <f t="shared" si="27"/>
        <v>4</v>
      </c>
      <c r="H63">
        <f t="shared" si="27"/>
        <v>4</v>
      </c>
      <c r="I63">
        <f t="shared" si="27"/>
        <v>4</v>
      </c>
      <c r="J63">
        <f t="shared" si="27"/>
        <v>4</v>
      </c>
      <c r="K63">
        <f t="shared" si="27"/>
        <v>4</v>
      </c>
      <c r="L63" s="59">
        <f t="shared" si="27"/>
        <v>4</v>
      </c>
      <c r="N63" s="13"/>
    </row>
    <row r="64" spans="1:14">
      <c r="A64" s="57" t="s">
        <v>28</v>
      </c>
      <c r="C64">
        <v>1.0389999999999999</v>
      </c>
      <c r="D64">
        <v>1.0169999999999999</v>
      </c>
      <c r="E64">
        <v>1.018</v>
      </c>
      <c r="F64">
        <v>1.02</v>
      </c>
      <c r="G64">
        <v>1.014</v>
      </c>
      <c r="H64">
        <v>1.0129999999999999</v>
      </c>
      <c r="I64">
        <v>1.012</v>
      </c>
      <c r="J64">
        <v>1.012</v>
      </c>
      <c r="K64">
        <v>1.012</v>
      </c>
      <c r="L64" s="59">
        <v>1.012</v>
      </c>
    </row>
    <row r="65" spans="1:14">
      <c r="A65" s="57" t="s">
        <v>52</v>
      </c>
      <c r="B65">
        <f>ROUNDUP(11028.72549,0)</f>
        <v>11029</v>
      </c>
      <c r="C65">
        <f t="shared" ref="C65:L65" si="28">ROUNDUP(B65*C64,0)</f>
        <v>11460</v>
      </c>
      <c r="D65">
        <f t="shared" si="28"/>
        <v>11655</v>
      </c>
      <c r="E65">
        <f t="shared" si="28"/>
        <v>11865</v>
      </c>
      <c r="F65">
        <f t="shared" si="28"/>
        <v>12103</v>
      </c>
      <c r="G65">
        <f t="shared" si="28"/>
        <v>12273</v>
      </c>
      <c r="H65">
        <f t="shared" si="28"/>
        <v>12433</v>
      </c>
      <c r="I65">
        <f t="shared" si="28"/>
        <v>12583</v>
      </c>
      <c r="J65">
        <f t="shared" si="28"/>
        <v>12734</v>
      </c>
      <c r="K65">
        <f t="shared" si="28"/>
        <v>12887</v>
      </c>
      <c r="L65" s="59">
        <f t="shared" si="28"/>
        <v>13042</v>
      </c>
    </row>
    <row r="66" spans="1:14">
      <c r="A66" s="57" t="s">
        <v>30</v>
      </c>
      <c r="B66" s="60">
        <v>1</v>
      </c>
      <c r="C66">
        <v>0.92900000000000005</v>
      </c>
      <c r="D66">
        <v>0.98299999999999998</v>
      </c>
      <c r="E66">
        <v>1.0249999999999999</v>
      </c>
      <c r="F66">
        <v>1.036</v>
      </c>
      <c r="G66">
        <v>1.036</v>
      </c>
      <c r="H66">
        <v>1.036</v>
      </c>
      <c r="I66">
        <v>1.006</v>
      </c>
      <c r="J66">
        <v>0.99399999999999999</v>
      </c>
      <c r="K66">
        <v>1.0169999999999999</v>
      </c>
      <c r="L66" s="59">
        <v>1.008</v>
      </c>
    </row>
    <row r="67" spans="1:14">
      <c r="A67" s="57" t="s">
        <v>31</v>
      </c>
      <c r="B67" s="60">
        <v>1</v>
      </c>
      <c r="C67">
        <v>0.93799999999999994</v>
      </c>
      <c r="D67">
        <v>0.97399999999999998</v>
      </c>
      <c r="E67">
        <v>1.0009999999999999</v>
      </c>
      <c r="F67">
        <v>1.0089999999999999</v>
      </c>
      <c r="G67">
        <v>1.01</v>
      </c>
      <c r="H67">
        <v>1.012</v>
      </c>
      <c r="I67">
        <v>1.002</v>
      </c>
      <c r="J67">
        <v>0.995</v>
      </c>
      <c r="K67">
        <v>1.014</v>
      </c>
      <c r="L67" s="59">
        <v>1.006</v>
      </c>
    </row>
    <row r="68" spans="1:14">
      <c r="A68" s="57" t="s">
        <v>32</v>
      </c>
      <c r="B68" s="13">
        <f xml:space="preserve"> B63*G5</f>
        <v>-4600000</v>
      </c>
      <c r="C68" s="58">
        <f t="shared" ref="C68:L68" si="29">(C63-B63)*$G$5</f>
        <v>0</v>
      </c>
      <c r="D68" s="58">
        <f t="shared" si="29"/>
        <v>0</v>
      </c>
      <c r="E68" s="58">
        <f t="shared" si="29"/>
        <v>0</v>
      </c>
      <c r="F68" s="58">
        <f t="shared" si="29"/>
        <v>0</v>
      </c>
      <c r="G68" s="58">
        <f t="shared" si="29"/>
        <v>0</v>
      </c>
      <c r="H68" s="58">
        <f t="shared" si="29"/>
        <v>0</v>
      </c>
      <c r="I68" s="58">
        <f t="shared" si="29"/>
        <v>0</v>
      </c>
      <c r="J68" s="58">
        <f t="shared" si="29"/>
        <v>0</v>
      </c>
      <c r="K68" s="58">
        <f t="shared" si="29"/>
        <v>0</v>
      </c>
      <c r="L68" s="95">
        <f t="shared" si="29"/>
        <v>0</v>
      </c>
    </row>
    <row r="69" spans="1:14">
      <c r="A69" s="57" t="s">
        <v>33</v>
      </c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95">
        <f>(-1)*E68+E68/L62*(L62-D62)</f>
        <v>0</v>
      </c>
      <c r="N69" s="13"/>
    </row>
    <row r="70" spans="1:14">
      <c r="A70" s="57" t="s">
        <v>34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6"/>
    </row>
    <row r="71" spans="1:14">
      <c r="A71" s="54" t="s">
        <v>12</v>
      </c>
      <c r="B71" s="53"/>
      <c r="C71" s="13">
        <f t="shared" ref="C71:L71" si="30">$G$8*C63</f>
        <v>-1062392</v>
      </c>
      <c r="D71" s="13">
        <f t="shared" si="30"/>
        <v>-1062392</v>
      </c>
      <c r="E71" s="13">
        <f t="shared" si="30"/>
        <v>-1062392</v>
      </c>
      <c r="F71" s="13">
        <f t="shared" si="30"/>
        <v>-1062392</v>
      </c>
      <c r="G71" s="13">
        <f t="shared" si="30"/>
        <v>-1062392</v>
      </c>
      <c r="H71" s="13">
        <f t="shared" si="30"/>
        <v>-1062392</v>
      </c>
      <c r="I71" s="13">
        <f t="shared" si="30"/>
        <v>-1062392</v>
      </c>
      <c r="J71" s="13">
        <f t="shared" si="30"/>
        <v>-1062392</v>
      </c>
      <c r="K71" s="13">
        <f t="shared" si="30"/>
        <v>-1062392</v>
      </c>
      <c r="L71" s="52">
        <f t="shared" si="30"/>
        <v>-1062392</v>
      </c>
      <c r="N71" s="13"/>
    </row>
    <row r="72" spans="1:14">
      <c r="A72" s="54" t="s">
        <v>14</v>
      </c>
      <c r="B72" s="53"/>
      <c r="C72" s="13">
        <f t="shared" ref="C72:L72" si="31">$G$9*C63</f>
        <v>-345000</v>
      </c>
      <c r="D72" s="13">
        <f t="shared" si="31"/>
        <v>-345000</v>
      </c>
      <c r="E72" s="13">
        <f t="shared" si="31"/>
        <v>-345000</v>
      </c>
      <c r="F72" s="13">
        <f t="shared" si="31"/>
        <v>-345000</v>
      </c>
      <c r="G72" s="13">
        <f t="shared" si="31"/>
        <v>-345000</v>
      </c>
      <c r="H72" s="13">
        <f t="shared" si="31"/>
        <v>-345000</v>
      </c>
      <c r="I72" s="13">
        <f t="shared" si="31"/>
        <v>-345000</v>
      </c>
      <c r="J72" s="13">
        <f t="shared" si="31"/>
        <v>-345000</v>
      </c>
      <c r="K72" s="13">
        <f t="shared" si="31"/>
        <v>-345000</v>
      </c>
      <c r="L72" s="52">
        <f t="shared" si="31"/>
        <v>-345000</v>
      </c>
      <c r="N72" s="13"/>
    </row>
    <row r="73" spans="1:14">
      <c r="A73" s="54" t="s">
        <v>16</v>
      </c>
      <c r="B73" s="53"/>
      <c r="C73" s="13">
        <f t="shared" ref="C73:L73" si="32">$G$10*C64*C67</f>
        <v>-36690.088553999994</v>
      </c>
      <c r="D73" s="13">
        <f t="shared" si="32"/>
        <v>-37291.537025999998</v>
      </c>
      <c r="E73" s="13">
        <f t="shared" si="32"/>
        <v>-38362.970645999994</v>
      </c>
      <c r="F73" s="13">
        <f t="shared" si="32"/>
        <v>-38745.53946</v>
      </c>
      <c r="G73" s="13">
        <f t="shared" si="32"/>
        <v>-38555.798579999995</v>
      </c>
      <c r="H73" s="13">
        <f t="shared" si="32"/>
        <v>-38594.047931999994</v>
      </c>
      <c r="I73" s="13">
        <f t="shared" si="32"/>
        <v>-38174.961528</v>
      </c>
      <c r="J73" s="13">
        <f t="shared" si="32"/>
        <v>-37908.27018</v>
      </c>
      <c r="K73" s="13">
        <f t="shared" si="32"/>
        <v>-38632.146696000003</v>
      </c>
      <c r="L73" s="52">
        <f t="shared" si="32"/>
        <v>-38327.356584000001</v>
      </c>
      <c r="N73" s="13"/>
    </row>
    <row r="74" spans="1:14">
      <c r="A74" s="54" t="s">
        <v>35</v>
      </c>
      <c r="B74" s="53"/>
      <c r="C74" s="13">
        <f t="shared" ref="C74:L74" si="33">SUM(C71:C73)*0.1</f>
        <v>-144408.20885540001</v>
      </c>
      <c r="D74" s="13">
        <f t="shared" si="33"/>
        <v>-144468.3537026</v>
      </c>
      <c r="E74" s="13">
        <f t="shared" si="33"/>
        <v>-144575.4970646</v>
      </c>
      <c r="F74" s="13">
        <f t="shared" si="33"/>
        <v>-144613.75394600001</v>
      </c>
      <c r="G74" s="13">
        <f t="shared" si="33"/>
        <v>-144594.77985799999</v>
      </c>
      <c r="H74" s="13">
        <f t="shared" si="33"/>
        <v>-144598.60479320001</v>
      </c>
      <c r="I74" s="13">
        <f t="shared" si="33"/>
        <v>-144556.6961528</v>
      </c>
      <c r="J74" s="13">
        <f t="shared" si="33"/>
        <v>-144530.02701799999</v>
      </c>
      <c r="K74" s="13">
        <f t="shared" si="33"/>
        <v>-144602.4146696</v>
      </c>
      <c r="L74" s="52">
        <f t="shared" si="33"/>
        <v>-144571.93565840001</v>
      </c>
      <c r="N74" s="13"/>
    </row>
    <row r="75" spans="1:14">
      <c r="A75" s="54" t="s">
        <v>19</v>
      </c>
      <c r="B75" s="53"/>
      <c r="C75" s="13">
        <f t="shared" ref="C75:L75" si="34">$G$11*C64*C66</f>
        <v>-57745.649193630001</v>
      </c>
      <c r="D75" s="13">
        <f t="shared" si="34"/>
        <v>-59808.440364030001</v>
      </c>
      <c r="E75" s="13">
        <f t="shared" si="34"/>
        <v>-62425.157968499996</v>
      </c>
      <c r="F75" s="13">
        <f t="shared" si="34"/>
        <v>-63219.045405600009</v>
      </c>
      <c r="G75" s="13">
        <f t="shared" si="34"/>
        <v>-62847.168667920007</v>
      </c>
      <c r="H75" s="13">
        <f t="shared" si="34"/>
        <v>-62785.189211639998</v>
      </c>
      <c r="I75" s="13">
        <f t="shared" si="34"/>
        <v>-60906.900592559999</v>
      </c>
      <c r="J75" s="13">
        <f t="shared" si="34"/>
        <v>-60180.376927440004</v>
      </c>
      <c r="K75" s="13">
        <f t="shared" si="34"/>
        <v>-61572.880618919997</v>
      </c>
      <c r="L75" s="52">
        <f t="shared" si="34"/>
        <v>-61027.987870080004</v>
      </c>
      <c r="N75" s="13"/>
    </row>
    <row r="76" spans="1:14">
      <c r="A76" s="54" t="s">
        <v>36</v>
      </c>
      <c r="B76" s="53"/>
      <c r="C76" s="13">
        <f t="shared" ref="C76:L76" si="35">$G$12*C64*C66</f>
        <v>-2987326.8700498431</v>
      </c>
      <c r="D76" s="13">
        <f t="shared" si="35"/>
        <v>-3094040.2168852827</v>
      </c>
      <c r="E76" s="13">
        <f t="shared" si="35"/>
        <v>-3229409.5636728494</v>
      </c>
      <c r="F76" s="13">
        <f t="shared" si="35"/>
        <v>-3270479.3465181598</v>
      </c>
      <c r="G76" s="13">
        <f t="shared" si="35"/>
        <v>-3251241.2327151122</v>
      </c>
      <c r="H76" s="13">
        <f t="shared" si="35"/>
        <v>-3248034.8804146037</v>
      </c>
      <c r="I76" s="13">
        <f t="shared" si="35"/>
        <v>-3150866.3120490159</v>
      </c>
      <c r="J76" s="13">
        <f t="shared" si="35"/>
        <v>-3113281.4256229843</v>
      </c>
      <c r="K76" s="13">
        <f t="shared" si="35"/>
        <v>-3185319.1246062117</v>
      </c>
      <c r="L76" s="52">
        <f t="shared" si="35"/>
        <v>-3157130.459786688</v>
      </c>
      <c r="N76" s="13"/>
    </row>
    <row r="77" spans="1:14">
      <c r="A77" s="54" t="s">
        <v>37</v>
      </c>
      <c r="B77" s="53"/>
      <c r="C77" s="13">
        <f t="shared" ref="C77:L77" si="36">C65*$G$13</f>
        <v>5070062.8424760001</v>
      </c>
      <c r="D77" s="13">
        <f t="shared" si="36"/>
        <v>5156333.5452930005</v>
      </c>
      <c r="E77" s="13">
        <f t="shared" si="36"/>
        <v>5249240.4560190002</v>
      </c>
      <c r="F77" s="13">
        <f t="shared" si="36"/>
        <v>5354534.9548418</v>
      </c>
      <c r="G77" s="13">
        <f t="shared" si="36"/>
        <v>5429745.3111438006</v>
      </c>
      <c r="H77" s="13">
        <f t="shared" si="36"/>
        <v>5500531.5288398005</v>
      </c>
      <c r="I77" s="13">
        <f t="shared" si="36"/>
        <v>5566893.6079298006</v>
      </c>
      <c r="J77" s="13">
        <f t="shared" si="36"/>
        <v>5633698.1008804003</v>
      </c>
      <c r="K77" s="13">
        <f t="shared" si="36"/>
        <v>5701387.4215521999</v>
      </c>
      <c r="L77" s="52">
        <f t="shared" si="36"/>
        <v>5769961.5699452003</v>
      </c>
    </row>
    <row r="78" spans="1:14">
      <c r="A78" s="54" t="s">
        <v>38</v>
      </c>
      <c r="B78" s="53"/>
      <c r="C78" s="13">
        <f t="shared" ref="C78:L78" si="37">(-1)*C65*$G$14</f>
        <v>-2047590.39114</v>
      </c>
      <c r="D78" s="13">
        <f t="shared" si="37"/>
        <v>-2082431.5888950001</v>
      </c>
      <c r="E78" s="13">
        <f t="shared" si="37"/>
        <v>-2119952.8787850002</v>
      </c>
      <c r="F78" s="13">
        <f t="shared" si="37"/>
        <v>-2162477.0073270001</v>
      </c>
      <c r="G78" s="13">
        <f t="shared" si="37"/>
        <v>-2192851.3848569999</v>
      </c>
      <c r="H78" s="13">
        <f t="shared" si="37"/>
        <v>-2221439.0342970002</v>
      </c>
      <c r="I78" s="13">
        <f t="shared" si="37"/>
        <v>-2248239.9556470001</v>
      </c>
      <c r="J78" s="13">
        <f t="shared" si="37"/>
        <v>-2275219.5498060002</v>
      </c>
      <c r="K78" s="13">
        <f t="shared" si="37"/>
        <v>-2302556.4895830001</v>
      </c>
      <c r="L78" s="52">
        <f t="shared" si="37"/>
        <v>-2330250.7749780002</v>
      </c>
    </row>
    <row r="79" spans="1:14">
      <c r="A79" s="54" t="s">
        <v>39</v>
      </c>
      <c r="B79" s="53"/>
      <c r="C79" s="13">
        <f t="shared" ref="C79:L79" si="38">C65*$G$14</f>
        <v>2047590.39114</v>
      </c>
      <c r="D79" s="13">
        <f t="shared" si="38"/>
        <v>2082431.5888950001</v>
      </c>
      <c r="E79" s="13">
        <f t="shared" si="38"/>
        <v>2119952.8787850002</v>
      </c>
      <c r="F79" s="13">
        <f t="shared" si="38"/>
        <v>2162477.0073270001</v>
      </c>
      <c r="G79" s="13">
        <f t="shared" si="38"/>
        <v>2192851.3848569999</v>
      </c>
      <c r="H79" s="13">
        <f t="shared" si="38"/>
        <v>2221439.0342970002</v>
      </c>
      <c r="I79" s="13">
        <f t="shared" si="38"/>
        <v>2248239.9556470001</v>
      </c>
      <c r="J79" s="13">
        <f t="shared" si="38"/>
        <v>2275219.5498060002</v>
      </c>
      <c r="K79" s="13">
        <f t="shared" si="38"/>
        <v>2302556.4895830001</v>
      </c>
      <c r="L79" s="52">
        <f t="shared" si="38"/>
        <v>2330250.7749780002</v>
      </c>
    </row>
    <row r="80" spans="1:14">
      <c r="A80" s="51" t="s">
        <v>40</v>
      </c>
      <c r="B80" s="50">
        <f>SUM(B68:B76)</f>
        <v>-4600000</v>
      </c>
      <c r="C80" s="50">
        <f t="shared" ref="C80:L80" si="39">SUM(C68:C77)</f>
        <v>436500.02582312655</v>
      </c>
      <c r="D80" s="50">
        <f t="shared" si="39"/>
        <v>413332.99731508829</v>
      </c>
      <c r="E80" s="50">
        <f t="shared" si="39"/>
        <v>367075.26666705031</v>
      </c>
      <c r="F80" s="50">
        <f t="shared" si="39"/>
        <v>430085.26951204054</v>
      </c>
      <c r="G80" s="50">
        <f t="shared" si="39"/>
        <v>525114.3313227687</v>
      </c>
      <c r="H80" s="50">
        <f t="shared" si="39"/>
        <v>599126.80648835655</v>
      </c>
      <c r="I80" s="50">
        <f t="shared" si="39"/>
        <v>764996.73760742508</v>
      </c>
      <c r="J80" s="50">
        <f t="shared" si="39"/>
        <v>870406.00113197602</v>
      </c>
      <c r="K80" s="50">
        <f t="shared" si="39"/>
        <v>863868.85496146791</v>
      </c>
      <c r="L80" s="49">
        <f t="shared" si="39"/>
        <v>961511.83004603256</v>
      </c>
    </row>
    <row r="81" spans="1:12">
      <c r="A81" s="48" t="s">
        <v>41</v>
      </c>
      <c r="B81" s="94">
        <f>SUM(B68:B74)</f>
        <v>-4600000</v>
      </c>
      <c r="C81" s="93">
        <f t="shared" ref="C81:L81" si="40">SUM(C68:C74,C79)</f>
        <v>459100.09373059985</v>
      </c>
      <c r="D81" s="93">
        <f t="shared" si="40"/>
        <v>493279.69816640019</v>
      </c>
      <c r="E81" s="93">
        <f t="shared" si="40"/>
        <v>529622.41107440018</v>
      </c>
      <c r="F81" s="93">
        <f t="shared" si="40"/>
        <v>571725.71392100002</v>
      </c>
      <c r="G81" s="93">
        <f t="shared" si="40"/>
        <v>602308.80641900003</v>
      </c>
      <c r="H81" s="93">
        <f t="shared" si="40"/>
        <v>630854.38157180022</v>
      </c>
      <c r="I81" s="93">
        <f t="shared" si="40"/>
        <v>658116.29796620016</v>
      </c>
      <c r="J81" s="93">
        <f t="shared" si="40"/>
        <v>685389.2526080003</v>
      </c>
      <c r="K81" s="93">
        <f t="shared" si="40"/>
        <v>711929.9282174001</v>
      </c>
      <c r="L81" s="92">
        <f t="shared" si="40"/>
        <v>739959.48273560032</v>
      </c>
    </row>
    <row r="82" spans="1:12">
      <c r="A82" s="46" t="s">
        <v>42</v>
      </c>
      <c r="B82" s="91">
        <f>SUM(B75:B76)</f>
        <v>0</v>
      </c>
      <c r="C82" s="90">
        <f t="shared" ref="C82:L82" si="41">SUM(C75:C77,C78)</f>
        <v>-22600.067907473072</v>
      </c>
      <c r="D82" s="90">
        <f t="shared" si="41"/>
        <v>-79946.700851312373</v>
      </c>
      <c r="E82" s="90">
        <f t="shared" si="41"/>
        <v>-162547.14440734964</v>
      </c>
      <c r="F82" s="90">
        <f t="shared" si="41"/>
        <v>-141640.44440896017</v>
      </c>
      <c r="G82" s="90">
        <f t="shared" si="41"/>
        <v>-77194.475096231326</v>
      </c>
      <c r="H82" s="90">
        <f t="shared" si="41"/>
        <v>-31727.575083443429</v>
      </c>
      <c r="I82" s="90">
        <f t="shared" si="41"/>
        <v>106880.43964122469</v>
      </c>
      <c r="J82" s="90">
        <f t="shared" si="41"/>
        <v>185016.74852397572</v>
      </c>
      <c r="K82" s="90">
        <f t="shared" si="41"/>
        <v>151938.92674406804</v>
      </c>
      <c r="L82" s="89">
        <f t="shared" si="41"/>
        <v>221552.34731043223</v>
      </c>
    </row>
    <row r="83" spans="1:12">
      <c r="A83" s="42" t="s">
        <v>43</v>
      </c>
      <c r="B83" s="88">
        <f t="shared" ref="B83:L83" si="42">B80/(1.05^B62)</f>
        <v>-4600000</v>
      </c>
      <c r="C83" s="45">
        <f t="shared" si="42"/>
        <v>415714.31030773954</v>
      </c>
      <c r="D83" s="45">
        <f t="shared" si="42"/>
        <v>374905.21298420703</v>
      </c>
      <c r="E83" s="45">
        <f t="shared" si="42"/>
        <v>317093.41683796589</v>
      </c>
      <c r="F83" s="45">
        <f t="shared" si="42"/>
        <v>353832.21559908928</v>
      </c>
      <c r="G83" s="45">
        <f t="shared" si="42"/>
        <v>411440.81897897716</v>
      </c>
      <c r="H83" s="45">
        <f t="shared" si="42"/>
        <v>447077.64753934508</v>
      </c>
      <c r="I83" s="45">
        <f t="shared" si="42"/>
        <v>543668.89902804838</v>
      </c>
      <c r="J83" s="45">
        <f t="shared" si="42"/>
        <v>589125.04251210741</v>
      </c>
      <c r="K83" s="45">
        <f t="shared" si="42"/>
        <v>556857.56635102129</v>
      </c>
      <c r="L83" s="44">
        <f t="shared" si="42"/>
        <v>590284.8559014895</v>
      </c>
    </row>
    <row r="84" spans="1:12">
      <c r="A84" s="42" t="s">
        <v>44</v>
      </c>
      <c r="B84" s="86">
        <f t="shared" ref="B84:L84" si="43">B80/(1.06^B62)</f>
        <v>-4600000</v>
      </c>
      <c r="C84" s="41">
        <f t="shared" si="43"/>
        <v>411792.47719162877</v>
      </c>
      <c r="D84" s="41">
        <f t="shared" si="43"/>
        <v>367864.89615084394</v>
      </c>
      <c r="E84" s="41">
        <f t="shared" si="43"/>
        <v>308203.47221787972</v>
      </c>
      <c r="F84" s="41">
        <f t="shared" si="43"/>
        <v>340667.81663250347</v>
      </c>
      <c r="G84" s="41">
        <f t="shared" si="43"/>
        <v>392395.97577003337</v>
      </c>
      <c r="H84" s="41">
        <f t="shared" si="43"/>
        <v>422360.75729392917</v>
      </c>
      <c r="I84" s="41">
        <f t="shared" si="43"/>
        <v>508766.52224369766</v>
      </c>
      <c r="J84" s="41">
        <f t="shared" si="43"/>
        <v>546103.49320036964</v>
      </c>
      <c r="K84" s="41">
        <f t="shared" si="43"/>
        <v>511322.64794313489</v>
      </c>
      <c r="L84" s="43">
        <f t="shared" si="43"/>
        <v>536903.18383980112</v>
      </c>
    </row>
    <row r="85" spans="1:12">
      <c r="A85" s="42" t="s">
        <v>45</v>
      </c>
      <c r="B85" s="86">
        <f t="shared" ref="B85:L85" si="44">B80/(1.07^B62)</f>
        <v>-4600000</v>
      </c>
      <c r="C85" s="41">
        <f t="shared" si="44"/>
        <v>407943.94936740794</v>
      </c>
      <c r="D85" s="41">
        <f t="shared" si="44"/>
        <v>361021.04752824549</v>
      </c>
      <c r="E85" s="41">
        <f t="shared" si="44"/>
        <v>299642.76083945646</v>
      </c>
      <c r="F85" s="41">
        <f t="shared" si="44"/>
        <v>328109.99288290518</v>
      </c>
      <c r="G85" s="41">
        <f t="shared" si="44"/>
        <v>374399.26088194206</v>
      </c>
      <c r="H85" s="41">
        <f t="shared" si="44"/>
        <v>399223.48858353688</v>
      </c>
      <c r="I85" s="41">
        <f t="shared" si="44"/>
        <v>476401.52088757826</v>
      </c>
      <c r="J85" s="41">
        <f t="shared" si="44"/>
        <v>506584.21732685721</v>
      </c>
      <c r="K85" s="41">
        <f t="shared" si="44"/>
        <v>469887.41938107379</v>
      </c>
      <c r="L85" s="43">
        <f t="shared" si="44"/>
        <v>488783.85818305775</v>
      </c>
    </row>
    <row r="86" spans="1:12">
      <c r="A86" s="87" t="s">
        <v>46</v>
      </c>
      <c r="B86" s="86">
        <f t="shared" ref="B86:L86" si="45">B80/(1.08^B62)</f>
        <v>-4600000</v>
      </c>
      <c r="C86" s="41">
        <f t="shared" si="45"/>
        <v>404166.69057696901</v>
      </c>
      <c r="D86" s="41">
        <f t="shared" si="45"/>
        <v>354366.4243099179</v>
      </c>
      <c r="E86" s="41">
        <f t="shared" si="45"/>
        <v>291396.18156138092</v>
      </c>
      <c r="F86" s="41">
        <f t="shared" si="45"/>
        <v>316125.5123393581</v>
      </c>
      <c r="G86" s="41">
        <f t="shared" si="45"/>
        <v>357383.99041989137</v>
      </c>
      <c r="H86" s="41">
        <f t="shared" si="45"/>
        <v>377551.51610043366</v>
      </c>
      <c r="I86" s="41">
        <f t="shared" si="45"/>
        <v>446368.24880079937</v>
      </c>
      <c r="J86" s="41">
        <f t="shared" si="45"/>
        <v>470253.27929539816</v>
      </c>
      <c r="K86" s="41">
        <f t="shared" si="45"/>
        <v>432149.50243151048</v>
      </c>
      <c r="L86" s="40">
        <f t="shared" si="45"/>
        <v>445366.01839370991</v>
      </c>
    </row>
    <row r="87" spans="1:12">
      <c r="A87" s="36" t="s">
        <v>43</v>
      </c>
      <c r="B87" s="38">
        <f t="shared" ref="B87:L87" si="46">B81/(1.05^B62)</f>
        <v>-4600000</v>
      </c>
      <c r="C87" s="37">
        <f t="shared" si="46"/>
        <v>437238.18450533319</v>
      </c>
      <c r="D87" s="37">
        <f t="shared" si="46"/>
        <v>447419.22736181424</v>
      </c>
      <c r="E87" s="37">
        <f t="shared" si="46"/>
        <v>457507.75171096006</v>
      </c>
      <c r="F87" s="37">
        <f t="shared" si="46"/>
        <v>470360.15974496223</v>
      </c>
      <c r="G87" s="37">
        <f t="shared" si="46"/>
        <v>471924.71012367221</v>
      </c>
      <c r="H87" s="37">
        <f t="shared" si="46"/>
        <v>470753.25256455533</v>
      </c>
      <c r="I87" s="37">
        <f t="shared" si="46"/>
        <v>467710.96601893049</v>
      </c>
      <c r="J87" s="37">
        <f t="shared" si="46"/>
        <v>463898.42447651766</v>
      </c>
      <c r="K87" s="37">
        <f t="shared" si="46"/>
        <v>458916.3794512325</v>
      </c>
      <c r="L87" s="47">
        <f t="shared" si="46"/>
        <v>454270.93353454972</v>
      </c>
    </row>
    <row r="88" spans="1:12">
      <c r="A88" s="36" t="s">
        <v>44</v>
      </c>
      <c r="B88" s="35">
        <f t="shared" ref="B88:L88" si="47">B81/(1.06^B62)</f>
        <v>-4600000</v>
      </c>
      <c r="C88" s="32">
        <f t="shared" si="47"/>
        <v>433113.29597226396</v>
      </c>
      <c r="D88" s="32">
        <f t="shared" si="47"/>
        <v>439017.17529939493</v>
      </c>
      <c r="E88" s="32">
        <f t="shared" si="47"/>
        <v>444681.18906412681</v>
      </c>
      <c r="F88" s="32">
        <f t="shared" si="47"/>
        <v>452860.31510705739</v>
      </c>
      <c r="G88" s="32">
        <f t="shared" si="47"/>
        <v>450080.17818579753</v>
      </c>
      <c r="H88" s="32">
        <f t="shared" si="47"/>
        <v>444727.44577159407</v>
      </c>
      <c r="I88" s="32">
        <f t="shared" si="47"/>
        <v>437684.92555321835</v>
      </c>
      <c r="J88" s="32">
        <f t="shared" si="47"/>
        <v>430021.69627098762</v>
      </c>
      <c r="K88" s="32">
        <f t="shared" si="47"/>
        <v>421390.23065292009</v>
      </c>
      <c r="L88" s="31">
        <f t="shared" si="47"/>
        <v>413189.51028837159</v>
      </c>
    </row>
    <row r="89" spans="1:12">
      <c r="A89" s="36" t="s">
        <v>45</v>
      </c>
      <c r="B89" s="35">
        <f t="shared" ref="B89:L89" si="48">B81/(1.07^B62)</f>
        <v>-4600000</v>
      </c>
      <c r="C89" s="32">
        <f t="shared" si="48"/>
        <v>429065.50815943908</v>
      </c>
      <c r="D89" s="32">
        <f t="shared" si="48"/>
        <v>430849.59224945423</v>
      </c>
      <c r="E89" s="32">
        <f t="shared" si="48"/>
        <v>432329.64971384691</v>
      </c>
      <c r="F89" s="32">
        <f t="shared" si="48"/>
        <v>436166.80975478404</v>
      </c>
      <c r="G89" s="32">
        <f t="shared" si="48"/>
        <v>429437.85475805122</v>
      </c>
      <c r="H89" s="32">
        <f t="shared" si="48"/>
        <v>420364.91152094409</v>
      </c>
      <c r="I89" s="32">
        <f t="shared" si="48"/>
        <v>409841.75468849379</v>
      </c>
      <c r="J89" s="32">
        <f t="shared" si="48"/>
        <v>398902.78518888319</v>
      </c>
      <c r="K89" s="32">
        <f t="shared" si="48"/>
        <v>387242.71031295427</v>
      </c>
      <c r="L89" s="31">
        <f t="shared" si="48"/>
        <v>376157.87925701437</v>
      </c>
    </row>
    <row r="90" spans="1:12">
      <c r="A90" s="36" t="s">
        <v>46</v>
      </c>
      <c r="B90" s="35">
        <f t="shared" ref="B90:L90" si="49">B81/(1.08^B62)</f>
        <v>-4600000</v>
      </c>
      <c r="C90" s="32">
        <f t="shared" si="49"/>
        <v>425092.67938018503</v>
      </c>
      <c r="D90" s="32">
        <f t="shared" si="49"/>
        <v>422907.8345048012</v>
      </c>
      <c r="E90" s="32">
        <f t="shared" si="49"/>
        <v>420431.34547769657</v>
      </c>
      <c r="F90" s="32">
        <f t="shared" si="49"/>
        <v>420235.46734329977</v>
      </c>
      <c r="G90" s="32">
        <f t="shared" si="49"/>
        <v>409921.2530742269</v>
      </c>
      <c r="H90" s="32">
        <f t="shared" si="49"/>
        <v>397545.27025267301</v>
      </c>
      <c r="I90" s="32">
        <f t="shared" si="49"/>
        <v>384004.53882875037</v>
      </c>
      <c r="J90" s="32">
        <f t="shared" si="49"/>
        <v>370294.48695616721</v>
      </c>
      <c r="K90" s="32">
        <f t="shared" si="49"/>
        <v>356142.21126072813</v>
      </c>
      <c r="L90" s="31">
        <f t="shared" si="49"/>
        <v>342744.41384964139</v>
      </c>
    </row>
    <row r="91" spans="1:12">
      <c r="A91" s="24" t="s">
        <v>43</v>
      </c>
      <c r="B91" s="29">
        <f t="shared" ref="B91:L91" si="50">B82/(1.05^B62)</f>
        <v>0</v>
      </c>
      <c r="C91" s="28">
        <f t="shared" si="50"/>
        <v>-21523.874197593403</v>
      </c>
      <c r="D91" s="28">
        <f t="shared" si="50"/>
        <v>-72514.014377607586</v>
      </c>
      <c r="E91" s="28">
        <f t="shared" si="50"/>
        <v>-140414.33487299396</v>
      </c>
      <c r="F91" s="28">
        <f t="shared" si="50"/>
        <v>-116527.94414587352</v>
      </c>
      <c r="G91" s="28">
        <f t="shared" si="50"/>
        <v>-60483.891144695051</v>
      </c>
      <c r="H91" s="28">
        <f t="shared" si="50"/>
        <v>-23675.605025210123</v>
      </c>
      <c r="I91" s="28">
        <f t="shared" si="50"/>
        <v>75957.933009117725</v>
      </c>
      <c r="J91" s="28">
        <f t="shared" si="50"/>
        <v>125226.61803558978</v>
      </c>
      <c r="K91" s="28">
        <f t="shared" si="50"/>
        <v>97941.186899788998</v>
      </c>
      <c r="L91" s="27">
        <f t="shared" si="50"/>
        <v>136013.92236693975</v>
      </c>
    </row>
    <row r="92" spans="1:12">
      <c r="A92" s="24" t="s">
        <v>44</v>
      </c>
      <c r="B92" s="26">
        <f t="shared" ref="B92:L92" si="51">B82/(1.06^B62)</f>
        <v>0</v>
      </c>
      <c r="C92" s="22">
        <f t="shared" si="51"/>
        <v>-21320.818780634974</v>
      </c>
      <c r="D92" s="22">
        <f t="shared" si="51"/>
        <v>-71152.279148551403</v>
      </c>
      <c r="E92" s="22">
        <f t="shared" si="51"/>
        <v>-136477.71684624691</v>
      </c>
      <c r="F92" s="22">
        <f t="shared" si="51"/>
        <v>-112192.49847455445</v>
      </c>
      <c r="G92" s="22">
        <f t="shared" si="51"/>
        <v>-57684.20241576415</v>
      </c>
      <c r="H92" s="22">
        <f t="shared" si="51"/>
        <v>-22366.688477664688</v>
      </c>
      <c r="I92" s="22">
        <f t="shared" si="51"/>
        <v>71081.5966904792</v>
      </c>
      <c r="J92" s="22">
        <f t="shared" si="51"/>
        <v>116081.79692938199</v>
      </c>
      <c r="K92" s="22">
        <f t="shared" si="51"/>
        <v>89932.4172902149</v>
      </c>
      <c r="L92" s="25">
        <f t="shared" si="51"/>
        <v>123713.67355142953</v>
      </c>
    </row>
    <row r="93" spans="1:12">
      <c r="A93" s="24" t="s">
        <v>45</v>
      </c>
      <c r="B93" s="26">
        <f t="shared" ref="B93:L93" si="52">B82/(1.07^B62)</f>
        <v>0</v>
      </c>
      <c r="C93" s="22">
        <f t="shared" si="52"/>
        <v>-21121.558792030908</v>
      </c>
      <c r="D93" s="22">
        <f t="shared" si="52"/>
        <v>-69828.544721209168</v>
      </c>
      <c r="E93" s="22">
        <f t="shared" si="52"/>
        <v>-132686.88887439022</v>
      </c>
      <c r="F93" s="22">
        <f t="shared" si="52"/>
        <v>-108056.81687187937</v>
      </c>
      <c r="G93" s="22">
        <f t="shared" si="52"/>
        <v>-55038.593876109153</v>
      </c>
      <c r="H93" s="22">
        <f t="shared" si="52"/>
        <v>-21141.422937407067</v>
      </c>
      <c r="I93" s="22">
        <f t="shared" si="52"/>
        <v>66559.76619908429</v>
      </c>
      <c r="J93" s="22">
        <f t="shared" si="52"/>
        <v>107681.43213797401</v>
      </c>
      <c r="K93" s="22">
        <f t="shared" si="52"/>
        <v>82644.709068119628</v>
      </c>
      <c r="L93" s="25">
        <f t="shared" si="52"/>
        <v>112625.97892604338</v>
      </c>
    </row>
    <row r="94" spans="1:12" ht="15.75" thickBot="1">
      <c r="A94" s="24" t="s">
        <v>46</v>
      </c>
      <c r="B94" s="26">
        <f t="shared" ref="B94:L94" si="53">B82/(1.08^B62)</f>
        <v>0</v>
      </c>
      <c r="C94" s="22">
        <f t="shared" si="53"/>
        <v>-20925.988803215805</v>
      </c>
      <c r="D94" s="22">
        <f t="shared" si="53"/>
        <v>-68541.41019488372</v>
      </c>
      <c r="E94" s="22">
        <f t="shared" si="53"/>
        <v>-129035.16391631549</v>
      </c>
      <c r="F94" s="22">
        <f t="shared" si="53"/>
        <v>-104109.95500394222</v>
      </c>
      <c r="G94" s="21">
        <f t="shared" si="53"/>
        <v>-52537.262654335544</v>
      </c>
      <c r="H94" s="21">
        <f t="shared" si="53"/>
        <v>-19993.754152239231</v>
      </c>
      <c r="I94" s="21">
        <f t="shared" si="53"/>
        <v>62363.709972048833</v>
      </c>
      <c r="J94" s="21">
        <f t="shared" si="53"/>
        <v>99958.792339230931</v>
      </c>
      <c r="K94" s="21">
        <f t="shared" si="53"/>
        <v>76007.291170782453</v>
      </c>
      <c r="L94" s="20">
        <f t="shared" si="53"/>
        <v>102621.60454406853</v>
      </c>
    </row>
    <row r="95" spans="1:12">
      <c r="A95" s="85" t="s">
        <v>47</v>
      </c>
      <c r="B95" s="84">
        <f>SUM(B83:L83)</f>
        <v>-1.3960009557195008E-2</v>
      </c>
      <c r="C95" s="83" t="s">
        <v>47</v>
      </c>
      <c r="D95" s="82">
        <f>SUM(B87:L87)</f>
        <v>-1.0507472616154701E-2</v>
      </c>
      <c r="E95" s="81" t="s">
        <v>47</v>
      </c>
      <c r="F95" s="80">
        <f>SUM(B91:L91)</f>
        <v>-3.4525373775977641E-3</v>
      </c>
      <c r="G95" s="13"/>
    </row>
    <row r="96" spans="1:12">
      <c r="A96" s="79" t="s">
        <v>48</v>
      </c>
      <c r="B96" s="78">
        <f>SUM(B84:L84)</f>
        <v>-253618.75751617749</v>
      </c>
      <c r="C96" s="77" t="s">
        <v>48</v>
      </c>
      <c r="D96" s="76">
        <f>SUM(B88:L88)</f>
        <v>-233234.03783426736</v>
      </c>
      <c r="E96" s="75" t="s">
        <v>48</v>
      </c>
      <c r="F96" s="74">
        <f>SUM(B92:L92)</f>
        <v>-20384.719681910938</v>
      </c>
    </row>
    <row r="97" spans="1:12">
      <c r="A97" s="79" t="s">
        <v>49</v>
      </c>
      <c r="B97" s="78">
        <f>SUM(B85:L85)</f>
        <v>-488002.48413793894</v>
      </c>
      <c r="C97" s="77" t="s">
        <v>49</v>
      </c>
      <c r="D97" s="76">
        <f>SUM(B89:L89)</f>
        <v>-449640.54439613502</v>
      </c>
      <c r="E97" s="75" t="s">
        <v>49</v>
      </c>
      <c r="F97" s="74">
        <f>SUM(B93:L93)</f>
        <v>-38361.939741804556</v>
      </c>
    </row>
    <row r="98" spans="1:12" ht="15.75" thickBot="1">
      <c r="A98" s="73" t="s">
        <v>50</v>
      </c>
      <c r="B98" s="72">
        <f>SUM(B86:L86)</f>
        <v>-704872.6357706316</v>
      </c>
      <c r="C98" s="71" t="s">
        <v>50</v>
      </c>
      <c r="D98" s="70">
        <f>SUM(B90:L90)</f>
        <v>-650680.49907183065</v>
      </c>
      <c r="E98" s="69" t="s">
        <v>50</v>
      </c>
      <c r="F98" s="68">
        <f>SUM(B94:L94)</f>
        <v>-54192.136698801289</v>
      </c>
    </row>
    <row r="101" spans="1:12" ht="14.25" customHeight="1">
      <c r="A101" s="146" t="s">
        <v>53</v>
      </c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8"/>
    </row>
    <row r="102" spans="1:12" ht="14.25" customHeight="1">
      <c r="A102" s="149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1"/>
    </row>
    <row r="103" spans="1:12">
      <c r="A103" s="67" t="s">
        <v>25</v>
      </c>
      <c r="B103" s="66">
        <v>2024</v>
      </c>
      <c r="C103" s="65">
        <v>2025</v>
      </c>
      <c r="D103" s="65">
        <v>2026</v>
      </c>
      <c r="E103" s="65">
        <v>2027</v>
      </c>
      <c r="F103" s="65">
        <v>2028</v>
      </c>
      <c r="G103" s="65">
        <v>2029</v>
      </c>
      <c r="H103" s="65">
        <v>2030</v>
      </c>
      <c r="I103" s="65">
        <v>2031</v>
      </c>
      <c r="J103" s="65">
        <v>2032</v>
      </c>
      <c r="K103" s="65">
        <v>2033</v>
      </c>
      <c r="L103" s="64">
        <v>2034</v>
      </c>
    </row>
    <row r="104" spans="1:12">
      <c r="A104" s="57" t="s">
        <v>26</v>
      </c>
      <c r="B104" s="60">
        <v>0</v>
      </c>
      <c r="C104">
        <v>1</v>
      </c>
      <c r="D104" s="60">
        <v>2</v>
      </c>
      <c r="E104">
        <v>3</v>
      </c>
      <c r="F104" s="60">
        <v>4</v>
      </c>
      <c r="G104">
        <v>5</v>
      </c>
      <c r="H104" s="60">
        <v>6</v>
      </c>
      <c r="I104">
        <v>7</v>
      </c>
      <c r="J104" s="60">
        <v>8</v>
      </c>
      <c r="K104">
        <v>9</v>
      </c>
      <c r="L104" s="63">
        <v>10</v>
      </c>
    </row>
    <row r="105" spans="1:12">
      <c r="A105" s="57" t="s">
        <v>54</v>
      </c>
      <c r="B105" s="60">
        <v>20</v>
      </c>
      <c r="C105">
        <f t="shared" ref="C105:L105" si="54">B105*C108</f>
        <v>20.779999999999998</v>
      </c>
      <c r="D105">
        <f t="shared" si="54"/>
        <v>21.133259999999996</v>
      </c>
      <c r="E105">
        <f t="shared" si="54"/>
        <v>21.513658679999995</v>
      </c>
      <c r="F105">
        <f t="shared" si="54"/>
        <v>21.943931853599995</v>
      </c>
      <c r="G105">
        <f t="shared" si="54"/>
        <v>22.251146899550395</v>
      </c>
      <c r="H105">
        <f t="shared" si="54"/>
        <v>22.540411809244549</v>
      </c>
      <c r="I105">
        <f t="shared" si="54"/>
        <v>22.810896750955486</v>
      </c>
      <c r="J105">
        <f t="shared" si="54"/>
        <v>23.084627511966954</v>
      </c>
      <c r="K105">
        <f t="shared" si="54"/>
        <v>23.361643042110558</v>
      </c>
      <c r="L105" s="59">
        <f t="shared" si="54"/>
        <v>23.641982758615885</v>
      </c>
    </row>
    <row r="106" spans="1:12">
      <c r="A106" s="57" t="s">
        <v>55</v>
      </c>
      <c r="B106" s="60">
        <f t="shared" ref="B106:L106" si="55">ROUNDUP(B105,0)</f>
        <v>20</v>
      </c>
      <c r="C106" s="60">
        <f t="shared" si="55"/>
        <v>21</v>
      </c>
      <c r="D106" s="60">
        <f t="shared" si="55"/>
        <v>22</v>
      </c>
      <c r="E106" s="60">
        <f t="shared" si="55"/>
        <v>22</v>
      </c>
      <c r="F106" s="60">
        <f t="shared" si="55"/>
        <v>22</v>
      </c>
      <c r="G106" s="60">
        <f t="shared" si="55"/>
        <v>23</v>
      </c>
      <c r="H106" s="60">
        <f t="shared" si="55"/>
        <v>23</v>
      </c>
      <c r="I106" s="60">
        <f t="shared" si="55"/>
        <v>23</v>
      </c>
      <c r="J106" s="60">
        <f t="shared" si="55"/>
        <v>24</v>
      </c>
      <c r="K106" s="60">
        <f t="shared" si="55"/>
        <v>24</v>
      </c>
      <c r="L106" s="63">
        <f t="shared" si="55"/>
        <v>24</v>
      </c>
    </row>
    <row r="107" spans="1:12">
      <c r="A107" s="57" t="s">
        <v>56</v>
      </c>
      <c r="B107" s="62">
        <f t="shared" ref="B107:L107" si="56">ROUNDUP((20/30)*B106*1,0)</f>
        <v>14</v>
      </c>
      <c r="C107" s="62">
        <f t="shared" si="56"/>
        <v>14</v>
      </c>
      <c r="D107" s="62">
        <f t="shared" si="56"/>
        <v>15</v>
      </c>
      <c r="E107" s="62">
        <f t="shared" si="56"/>
        <v>15</v>
      </c>
      <c r="F107" s="62">
        <f t="shared" si="56"/>
        <v>15</v>
      </c>
      <c r="G107" s="62">
        <f t="shared" si="56"/>
        <v>16</v>
      </c>
      <c r="H107" s="62">
        <f t="shared" si="56"/>
        <v>16</v>
      </c>
      <c r="I107" s="62">
        <f t="shared" si="56"/>
        <v>16</v>
      </c>
      <c r="J107" s="62">
        <f t="shared" si="56"/>
        <v>16</v>
      </c>
      <c r="K107" s="62">
        <f t="shared" si="56"/>
        <v>16</v>
      </c>
      <c r="L107" s="61">
        <f t="shared" si="56"/>
        <v>16</v>
      </c>
    </row>
    <row r="108" spans="1:12">
      <c r="A108" s="57" t="s">
        <v>28</v>
      </c>
      <c r="B108">
        <v>1</v>
      </c>
      <c r="C108">
        <f>1.039*1</f>
        <v>1.0389999999999999</v>
      </c>
      <c r="D108">
        <f>1.017*1</f>
        <v>1.0169999999999999</v>
      </c>
      <c r="E108">
        <f>1.018*1</f>
        <v>1.018</v>
      </c>
      <c r="F108">
        <f>1.02*1</f>
        <v>1.02</v>
      </c>
      <c r="G108">
        <f>1.014*1</f>
        <v>1.014</v>
      </c>
      <c r="H108">
        <f>1.013*1</f>
        <v>1.0129999999999999</v>
      </c>
      <c r="I108">
        <f>1.012*1</f>
        <v>1.012</v>
      </c>
      <c r="J108">
        <f>1.012*1</f>
        <v>1.012</v>
      </c>
      <c r="K108">
        <f>1.012*1</f>
        <v>1.012</v>
      </c>
      <c r="L108" s="59">
        <f>1.012*1</f>
        <v>1.012</v>
      </c>
    </row>
    <row r="109" spans="1:12">
      <c r="A109" s="57" t="s">
        <v>29</v>
      </c>
      <c r="B109" s="60">
        <f>ROUNDUP(44670.7516,0)</f>
        <v>44671</v>
      </c>
      <c r="C109">
        <f t="shared" ref="C109:L109" si="57">ROUNDUP(B109*C108,0)</f>
        <v>46414</v>
      </c>
      <c r="D109">
        <f t="shared" si="57"/>
        <v>47204</v>
      </c>
      <c r="E109">
        <f t="shared" si="57"/>
        <v>48054</v>
      </c>
      <c r="F109">
        <f t="shared" si="57"/>
        <v>49016</v>
      </c>
      <c r="G109">
        <f t="shared" si="57"/>
        <v>49703</v>
      </c>
      <c r="H109">
        <f t="shared" si="57"/>
        <v>50350</v>
      </c>
      <c r="I109">
        <f t="shared" si="57"/>
        <v>50955</v>
      </c>
      <c r="J109">
        <f t="shared" si="57"/>
        <v>51567</v>
      </c>
      <c r="K109">
        <f t="shared" si="57"/>
        <v>52186</v>
      </c>
      <c r="L109" s="59">
        <f t="shared" si="57"/>
        <v>52813</v>
      </c>
    </row>
    <row r="110" spans="1:12">
      <c r="A110" s="57" t="s">
        <v>30</v>
      </c>
      <c r="B110" s="60">
        <v>1</v>
      </c>
      <c r="C110">
        <f>0.929*1</f>
        <v>0.92900000000000005</v>
      </c>
      <c r="D110">
        <f>0.983*1</f>
        <v>0.98299999999999998</v>
      </c>
      <c r="E110">
        <f>1.025*1</f>
        <v>1.0249999999999999</v>
      </c>
      <c r="F110">
        <f>1.036*1</f>
        <v>1.036</v>
      </c>
      <c r="G110">
        <f>1.036*1</f>
        <v>1.036</v>
      </c>
      <c r="H110">
        <f>1.036*1</f>
        <v>1.036</v>
      </c>
      <c r="I110">
        <f>1.006*1</f>
        <v>1.006</v>
      </c>
      <c r="J110">
        <f>0.994*1</f>
        <v>0.99399999999999999</v>
      </c>
      <c r="K110">
        <f>1.017*1</f>
        <v>1.0169999999999999</v>
      </c>
      <c r="L110" s="59">
        <f>1.008*1</f>
        <v>1.008</v>
      </c>
    </row>
    <row r="111" spans="1:12">
      <c r="A111" s="57" t="s">
        <v>31</v>
      </c>
      <c r="B111" s="60">
        <v>1</v>
      </c>
      <c r="C111">
        <f>0.938*1</f>
        <v>0.93799999999999994</v>
      </c>
      <c r="D111">
        <f>0.974*1</f>
        <v>0.97399999999999998</v>
      </c>
      <c r="E111">
        <f>1.001*1</f>
        <v>1.0009999999999999</v>
      </c>
      <c r="F111">
        <f>1.009*1</f>
        <v>1.0089999999999999</v>
      </c>
      <c r="G111">
        <f>1.01*1</f>
        <v>1.01</v>
      </c>
      <c r="H111">
        <f>1.012*1</f>
        <v>1.012</v>
      </c>
      <c r="I111">
        <f>1.002*1</f>
        <v>1.002</v>
      </c>
      <c r="J111">
        <f>0.995*1</f>
        <v>0.995</v>
      </c>
      <c r="K111">
        <f>1.014*1</f>
        <v>1.014</v>
      </c>
      <c r="L111" s="59">
        <f>1.006*1</f>
        <v>1.006</v>
      </c>
    </row>
    <row r="112" spans="1:12">
      <c r="A112" s="57" t="s">
        <v>57</v>
      </c>
      <c r="B112">
        <f>96.629*1</f>
        <v>96.629000000000005</v>
      </c>
      <c r="C112">
        <f>127.8925*1</f>
        <v>127.8925</v>
      </c>
      <c r="D112">
        <f>159.156*1</f>
        <v>159.15600000000001</v>
      </c>
      <c r="E112">
        <f>190.4195*1</f>
        <v>190.4195</v>
      </c>
      <c r="F112">
        <f>221.683*1</f>
        <v>221.68299999999999</v>
      </c>
      <c r="G112">
        <f>252.9465*1</f>
        <v>252.94649999999999</v>
      </c>
      <c r="H112">
        <f>284.21*1</f>
        <v>284.20999999999998</v>
      </c>
      <c r="I112">
        <f>315.4735*1</f>
        <v>315.4735</v>
      </c>
      <c r="J112">
        <f>346.737*1</f>
        <v>346.73700000000002</v>
      </c>
      <c r="K112">
        <f>378.0005*1</f>
        <v>378.00049999999999</v>
      </c>
      <c r="L112" s="59">
        <f>409.264*1</f>
        <v>409.26400000000001</v>
      </c>
    </row>
    <row r="113" spans="1:12">
      <c r="A113" s="57" t="s">
        <v>32</v>
      </c>
      <c r="B113" s="13">
        <f>B107*K5</f>
        <v>-22400000</v>
      </c>
      <c r="C113" s="13">
        <f t="shared" ref="C113:L113" si="58">(C107-B107)*$K$5</f>
        <v>0</v>
      </c>
      <c r="D113" s="13">
        <f t="shared" si="58"/>
        <v>-1600000</v>
      </c>
      <c r="E113" s="13">
        <f t="shared" si="58"/>
        <v>0</v>
      </c>
      <c r="F113" s="13">
        <f t="shared" si="58"/>
        <v>0</v>
      </c>
      <c r="G113" s="13">
        <f t="shared" si="58"/>
        <v>-1600000</v>
      </c>
      <c r="H113" s="13">
        <f t="shared" si="58"/>
        <v>0</v>
      </c>
      <c r="I113" s="13">
        <f t="shared" si="58"/>
        <v>0</v>
      </c>
      <c r="J113" s="13">
        <f t="shared" si="58"/>
        <v>0</v>
      </c>
      <c r="K113" s="13">
        <f t="shared" si="58"/>
        <v>0</v>
      </c>
      <c r="L113" s="52">
        <f t="shared" si="58"/>
        <v>0</v>
      </c>
    </row>
    <row r="114" spans="1:12">
      <c r="A114" s="57" t="s">
        <v>58</v>
      </c>
      <c r="B114" s="58"/>
      <c r="C114" s="53"/>
      <c r="D114" s="53"/>
      <c r="E114" s="53"/>
      <c r="F114" s="58"/>
      <c r="G114" s="53"/>
      <c r="H114" s="53"/>
      <c r="I114" s="53"/>
      <c r="J114" s="53"/>
      <c r="K114" s="53"/>
      <c r="L114" s="52">
        <f>(-1)*D113+D113/L104*(L104-C104)+(-1)*G113+G113/L104*(L104-F104)</f>
        <v>800000</v>
      </c>
    </row>
    <row r="115" spans="1:12">
      <c r="A115" s="57" t="s">
        <v>34</v>
      </c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6"/>
    </row>
    <row r="116" spans="1:12">
      <c r="A116" s="54" t="s">
        <v>13</v>
      </c>
      <c r="B116" s="53"/>
      <c r="C116" s="13">
        <f t="shared" ref="C116:L116" si="59">$K$8*C107</f>
        <v>-3718372</v>
      </c>
      <c r="D116" s="13">
        <f t="shared" si="59"/>
        <v>-3983970</v>
      </c>
      <c r="E116" s="13">
        <f t="shared" si="59"/>
        <v>-3983970</v>
      </c>
      <c r="F116" s="13">
        <f t="shared" si="59"/>
        <v>-3983970</v>
      </c>
      <c r="G116" s="13">
        <f t="shared" si="59"/>
        <v>-4249568</v>
      </c>
      <c r="H116" s="13">
        <f t="shared" si="59"/>
        <v>-4249568</v>
      </c>
      <c r="I116" s="13">
        <f t="shared" si="59"/>
        <v>-4249568</v>
      </c>
      <c r="J116" s="13">
        <f t="shared" si="59"/>
        <v>-4249568</v>
      </c>
      <c r="K116" s="13">
        <f t="shared" si="59"/>
        <v>-4249568</v>
      </c>
      <c r="L116" s="52">
        <f t="shared" si="59"/>
        <v>-4249568</v>
      </c>
    </row>
    <row r="117" spans="1:12">
      <c r="A117" s="54" t="s">
        <v>15</v>
      </c>
      <c r="B117" s="53"/>
      <c r="C117" s="13">
        <f t="shared" ref="C117:L117" si="60">$K$9*C107</f>
        <v>-1680000</v>
      </c>
      <c r="D117" s="13">
        <f t="shared" si="60"/>
        <v>-1800000</v>
      </c>
      <c r="E117" s="13">
        <f t="shared" si="60"/>
        <v>-1800000</v>
      </c>
      <c r="F117" s="13">
        <f t="shared" si="60"/>
        <v>-1800000</v>
      </c>
      <c r="G117" s="13">
        <f t="shared" si="60"/>
        <v>-1920000</v>
      </c>
      <c r="H117" s="13">
        <f t="shared" si="60"/>
        <v>-1920000</v>
      </c>
      <c r="I117" s="13">
        <f t="shared" si="60"/>
        <v>-1920000</v>
      </c>
      <c r="J117" s="13">
        <f t="shared" si="60"/>
        <v>-1920000</v>
      </c>
      <c r="K117" s="13">
        <f t="shared" si="60"/>
        <v>-1920000</v>
      </c>
      <c r="L117" s="52">
        <f t="shared" si="60"/>
        <v>-1920000</v>
      </c>
    </row>
    <row r="118" spans="1:12">
      <c r="A118" s="54" t="s">
        <v>17</v>
      </c>
      <c r="B118" s="53"/>
      <c r="C118" s="13">
        <f t="shared" ref="C118:L118" si="61">$K$10*C108*C111</f>
        <v>-303249.96053799998</v>
      </c>
      <c r="D118" s="13">
        <f t="shared" si="61"/>
        <v>-308221.03672199999</v>
      </c>
      <c r="E118" s="13">
        <f t="shared" si="61"/>
        <v>-317076.62186199997</v>
      </c>
      <c r="F118" s="13">
        <f t="shared" si="61"/>
        <v>-320238.61961999995</v>
      </c>
      <c r="G118" s="13">
        <f t="shared" si="61"/>
        <v>-318670.37826000003</v>
      </c>
      <c r="H118" s="13">
        <f t="shared" si="61"/>
        <v>-318986.51580399997</v>
      </c>
      <c r="I118" s="13">
        <f t="shared" si="61"/>
        <v>-315522.69381600001</v>
      </c>
      <c r="J118" s="13">
        <f t="shared" si="61"/>
        <v>-313318.44345999998</v>
      </c>
      <c r="K118" s="13">
        <f t="shared" si="61"/>
        <v>-319301.408712</v>
      </c>
      <c r="L118" s="52">
        <f t="shared" si="61"/>
        <v>-316782.26544799999</v>
      </c>
    </row>
    <row r="119" spans="1:12">
      <c r="A119" s="54" t="s">
        <v>59</v>
      </c>
      <c r="B119" s="53"/>
      <c r="C119" s="13">
        <f t="shared" ref="C119:L119" si="62">SUM(C116:C118)*0.1</f>
        <v>-570162.19605380006</v>
      </c>
      <c r="D119" s="13">
        <f t="shared" si="62"/>
        <v>-609219.1036722</v>
      </c>
      <c r="E119" s="13">
        <f t="shared" si="62"/>
        <v>-610104.66218620003</v>
      </c>
      <c r="F119" s="13">
        <f t="shared" si="62"/>
        <v>-610420.86196200002</v>
      </c>
      <c r="G119" s="13">
        <f t="shared" si="62"/>
        <v>-648823.83782600006</v>
      </c>
      <c r="H119" s="13">
        <f t="shared" si="62"/>
        <v>-648855.45158040011</v>
      </c>
      <c r="I119" s="13">
        <f t="shared" si="62"/>
        <v>-648509.06938160001</v>
      </c>
      <c r="J119" s="13">
        <f t="shared" si="62"/>
        <v>-648288.64434600004</v>
      </c>
      <c r="K119" s="13">
        <f t="shared" si="62"/>
        <v>-648886.94087120006</v>
      </c>
      <c r="L119" s="52">
        <f t="shared" si="62"/>
        <v>-648635.02654480003</v>
      </c>
    </row>
    <row r="120" spans="1:12">
      <c r="A120" s="54" t="s">
        <v>19</v>
      </c>
      <c r="B120" s="53"/>
      <c r="C120" s="13">
        <f t="shared" ref="C120:L120" si="63">$K$11*C108*C110</f>
        <v>-615388.33282050001</v>
      </c>
      <c r="D120" s="13">
        <f t="shared" si="63"/>
        <v>-637371.24646049994</v>
      </c>
      <c r="E120" s="13">
        <f t="shared" si="63"/>
        <v>-665257.28647499986</v>
      </c>
      <c r="F120" s="13">
        <f t="shared" si="63"/>
        <v>-673717.64795999997</v>
      </c>
      <c r="G120" s="13">
        <f t="shared" si="63"/>
        <v>-669754.60297200002</v>
      </c>
      <c r="H120" s="13">
        <f t="shared" si="63"/>
        <v>-669094.09547399997</v>
      </c>
      <c r="I120" s="13">
        <f t="shared" si="63"/>
        <v>-649077.40299600002</v>
      </c>
      <c r="J120" s="13">
        <f t="shared" si="63"/>
        <v>-641334.92900399992</v>
      </c>
      <c r="K120" s="13">
        <f t="shared" si="63"/>
        <v>-656174.6708219999</v>
      </c>
      <c r="L120" s="52">
        <f t="shared" si="63"/>
        <v>-650367.815328</v>
      </c>
    </row>
    <row r="121" spans="1:12">
      <c r="A121" s="54" t="s">
        <v>36</v>
      </c>
      <c r="B121" s="53"/>
      <c r="C121" s="13">
        <f t="shared" ref="C121:L121" si="64">$K$12*C108*C110</f>
        <v>-1352061.1067486799</v>
      </c>
      <c r="D121" s="13">
        <f t="shared" si="64"/>
        <v>-1400359.4591230799</v>
      </c>
      <c r="E121" s="13">
        <f t="shared" si="64"/>
        <v>-1461627.4879659999</v>
      </c>
      <c r="F121" s="13">
        <f t="shared" si="64"/>
        <v>-1480215.6299616001</v>
      </c>
      <c r="G121" s="13">
        <f t="shared" si="64"/>
        <v>-1471508.4791971201</v>
      </c>
      <c r="H121" s="13">
        <f t="shared" si="64"/>
        <v>-1470057.2874030399</v>
      </c>
      <c r="I121" s="13">
        <f t="shared" si="64"/>
        <v>-1426078.89206816</v>
      </c>
      <c r="J121" s="13">
        <f t="shared" si="64"/>
        <v>-1409068.0106518401</v>
      </c>
      <c r="K121" s="13">
        <f t="shared" si="64"/>
        <v>-1441672.2000331199</v>
      </c>
      <c r="L121" s="52">
        <f t="shared" si="64"/>
        <v>-1428914.03897088</v>
      </c>
    </row>
    <row r="122" spans="1:12">
      <c r="A122" s="54" t="s">
        <v>60</v>
      </c>
      <c r="B122" s="53"/>
      <c r="C122" s="13">
        <f t="shared" ref="C122:L122" si="65">$K$13*C112*C108</f>
        <v>867235.88786049513</v>
      </c>
      <c r="D122" s="13">
        <f t="shared" si="65"/>
        <v>1056381.010277136</v>
      </c>
      <c r="E122" s="13">
        <f t="shared" si="65"/>
        <v>1265131.9262120437</v>
      </c>
      <c r="F122" s="13">
        <f t="shared" si="65"/>
        <v>1475737.7228010232</v>
      </c>
      <c r="G122" s="13">
        <f t="shared" si="65"/>
        <v>1673952.9479477357</v>
      </c>
      <c r="H122" s="13">
        <f t="shared" si="65"/>
        <v>1878994.1025745</v>
      </c>
      <c r="I122" s="13">
        <f t="shared" si="65"/>
        <v>2083627.178236214</v>
      </c>
      <c r="J122" s="13">
        <f t="shared" si="65"/>
        <v>2290115.1345519992</v>
      </c>
      <c r="K122" s="13">
        <f t="shared" si="65"/>
        <v>2496603.0908677848</v>
      </c>
      <c r="L122" s="55">
        <f t="shared" si="65"/>
        <v>2703091.04718357</v>
      </c>
    </row>
    <row r="123" spans="1:12">
      <c r="A123" s="54" t="s">
        <v>37</v>
      </c>
      <c r="B123" s="53"/>
      <c r="C123" s="13">
        <f t="shared" ref="C123:L123" si="66">C109*$K$14</f>
        <v>9800282.2827595994</v>
      </c>
      <c r="D123" s="13">
        <f t="shared" si="66"/>
        <v>9967090.2071656007</v>
      </c>
      <c r="E123" s="13">
        <f t="shared" si="66"/>
        <v>10146567.0878556</v>
      </c>
      <c r="F123" s="13">
        <f t="shared" si="66"/>
        <v>10349692.6869424</v>
      </c>
      <c r="G123" s="13">
        <f t="shared" si="66"/>
        <v>10494752.2363942</v>
      </c>
      <c r="H123" s="13">
        <f t="shared" si="66"/>
        <v>10631365.814990001</v>
      </c>
      <c r="I123" s="13">
        <f t="shared" si="66"/>
        <v>10759111.124187</v>
      </c>
      <c r="J123" s="13">
        <f t="shared" si="66"/>
        <v>10888334.4782838</v>
      </c>
      <c r="K123" s="13">
        <f t="shared" si="66"/>
        <v>11019035.877280401</v>
      </c>
      <c r="L123" s="52">
        <f t="shared" si="66"/>
        <v>11151426.4704482</v>
      </c>
    </row>
    <row r="124" spans="1:12">
      <c r="A124" s="54" t="s">
        <v>38</v>
      </c>
      <c r="B124" s="53"/>
      <c r="C124" s="13">
        <f t="shared" ref="C124:L124" si="67">(-1)*C109*$K$15</f>
        <v>-9437229.9139779992</v>
      </c>
      <c r="D124" s="13">
        <f t="shared" si="67"/>
        <v>-9597858.423308</v>
      </c>
      <c r="E124" s="13">
        <f t="shared" si="67"/>
        <v>-9770686.5662580002</v>
      </c>
      <c r="F124" s="13">
        <f t="shared" si="67"/>
        <v>-9966287.3586320002</v>
      </c>
      <c r="G124" s="13">
        <f t="shared" si="67"/>
        <v>-10105973.163580999</v>
      </c>
      <c r="H124" s="13">
        <f t="shared" si="67"/>
        <v>-10237525.879449999</v>
      </c>
      <c r="I124" s="13">
        <f t="shared" si="67"/>
        <v>-10360538.851785</v>
      </c>
      <c r="J124" s="13">
        <f t="shared" si="67"/>
        <v>-10484975.114708999</v>
      </c>
      <c r="K124" s="13">
        <f t="shared" si="67"/>
        <v>-10610834.668221999</v>
      </c>
      <c r="L124" s="52">
        <f t="shared" si="67"/>
        <v>-10738320.839551</v>
      </c>
    </row>
    <row r="125" spans="1:12">
      <c r="A125" s="54" t="s">
        <v>39</v>
      </c>
      <c r="B125" s="53"/>
      <c r="C125" s="13">
        <f t="shared" ref="C125:L125" si="68">C109*$K$15</f>
        <v>9437229.9139779992</v>
      </c>
      <c r="D125" s="13">
        <f t="shared" si="68"/>
        <v>9597858.423308</v>
      </c>
      <c r="E125" s="13">
        <f t="shared" si="68"/>
        <v>9770686.5662580002</v>
      </c>
      <c r="F125" s="13">
        <f t="shared" si="68"/>
        <v>9966287.3586320002</v>
      </c>
      <c r="G125" s="13">
        <f t="shared" si="68"/>
        <v>10105973.163580999</v>
      </c>
      <c r="H125" s="13">
        <f t="shared" si="68"/>
        <v>10237525.879449999</v>
      </c>
      <c r="I125" s="13">
        <f t="shared" si="68"/>
        <v>10360538.851785</v>
      </c>
      <c r="J125" s="13">
        <f t="shared" si="68"/>
        <v>10484975.114708999</v>
      </c>
      <c r="K125" s="13">
        <f t="shared" si="68"/>
        <v>10610834.668221999</v>
      </c>
      <c r="L125" s="52">
        <f t="shared" si="68"/>
        <v>10738320.839551</v>
      </c>
    </row>
    <row r="126" spans="1:12">
      <c r="A126" s="51" t="s">
        <v>40</v>
      </c>
      <c r="B126" s="50">
        <f t="shared" ref="B126:L126" si="69">SUM(B113:B123)</f>
        <v>-22400000</v>
      </c>
      <c r="C126" s="50">
        <f t="shared" si="69"/>
        <v>2428284.574459115</v>
      </c>
      <c r="D126" s="50">
        <f t="shared" si="69"/>
        <v>684330.37146495655</v>
      </c>
      <c r="E126" s="50">
        <f t="shared" si="69"/>
        <v>2573662.9555784436</v>
      </c>
      <c r="F126" s="50">
        <f t="shared" si="69"/>
        <v>2956867.6502398243</v>
      </c>
      <c r="G126" s="50">
        <f t="shared" si="69"/>
        <v>1290379.8860868141</v>
      </c>
      <c r="H126" s="50">
        <f t="shared" si="69"/>
        <v>3233798.5673030606</v>
      </c>
      <c r="I126" s="50">
        <f t="shared" si="69"/>
        <v>3633982.244161455</v>
      </c>
      <c r="J126" s="50">
        <f t="shared" si="69"/>
        <v>3996871.5853739595</v>
      </c>
      <c r="K126" s="50">
        <f t="shared" si="69"/>
        <v>4280035.7477098657</v>
      </c>
      <c r="L126" s="49">
        <f t="shared" si="69"/>
        <v>5440250.3713400885</v>
      </c>
    </row>
    <row r="127" spans="1:12">
      <c r="A127" s="48" t="s">
        <v>41</v>
      </c>
      <c r="B127" s="37">
        <f>SUM(B113:B119)</f>
        <v>-22400000</v>
      </c>
      <c r="C127" s="37">
        <f t="shared" ref="C127:L127" si="70">SUM(C113:C119,C125)</f>
        <v>3165445.7573861992</v>
      </c>
      <c r="D127" s="37">
        <f t="shared" si="70"/>
        <v>1296448.2829138003</v>
      </c>
      <c r="E127" s="37">
        <f t="shared" si="70"/>
        <v>3059535.2822098006</v>
      </c>
      <c r="F127" s="37">
        <f t="shared" si="70"/>
        <v>3251657.8770500002</v>
      </c>
      <c r="G127" s="37">
        <f t="shared" si="70"/>
        <v>1368910.9474949986</v>
      </c>
      <c r="H127" s="37">
        <f t="shared" si="70"/>
        <v>3100115.9120655991</v>
      </c>
      <c r="I127" s="37">
        <f t="shared" si="70"/>
        <v>3226939.0885874005</v>
      </c>
      <c r="J127" s="37">
        <f t="shared" si="70"/>
        <v>3353800.0269029997</v>
      </c>
      <c r="K127" s="37">
        <f t="shared" si="70"/>
        <v>3473078.3186387997</v>
      </c>
      <c r="L127" s="47">
        <f t="shared" si="70"/>
        <v>4403335.5475581996</v>
      </c>
    </row>
    <row r="128" spans="1:12">
      <c r="A128" s="46" t="s">
        <v>42</v>
      </c>
      <c r="B128" s="28">
        <f>SUM(B120:B121)</f>
        <v>0</v>
      </c>
      <c r="C128" s="28">
        <f t="shared" ref="C128:L128" si="71">SUM(C120:C123,C124)</f>
        <v>-737161.18292708509</v>
      </c>
      <c r="D128" s="28">
        <f t="shared" si="71"/>
        <v>-612117.91144884378</v>
      </c>
      <c r="E128" s="28">
        <f t="shared" si="71"/>
        <v>-485872.32663135603</v>
      </c>
      <c r="F128" s="28">
        <f t="shared" si="71"/>
        <v>-294790.22681017779</v>
      </c>
      <c r="G128" s="28">
        <f t="shared" si="71"/>
        <v>-78531.061408182606</v>
      </c>
      <c r="H128" s="28">
        <f t="shared" si="71"/>
        <v>133682.65523746237</v>
      </c>
      <c r="I128" s="28">
        <f t="shared" si="71"/>
        <v>407043.15557405353</v>
      </c>
      <c r="J128" s="28">
        <f t="shared" si="71"/>
        <v>643071.55847096071</v>
      </c>
      <c r="K128" s="28">
        <f t="shared" si="71"/>
        <v>806957.4290710669</v>
      </c>
      <c r="L128" s="27">
        <f t="shared" si="71"/>
        <v>1036914.8237818908</v>
      </c>
    </row>
    <row r="129" spans="1:12">
      <c r="A129" s="42" t="s">
        <v>43</v>
      </c>
      <c r="B129" s="45">
        <f t="shared" ref="B129:L129" si="72">B126/1.05^B104</f>
        <v>-22400000</v>
      </c>
      <c r="C129" s="45">
        <f t="shared" si="72"/>
        <v>2312651.9756753477</v>
      </c>
      <c r="D129" s="45">
        <f t="shared" si="72"/>
        <v>620707.81992286304</v>
      </c>
      <c r="E129" s="45">
        <f t="shared" si="72"/>
        <v>2223226.8269763035</v>
      </c>
      <c r="F129" s="45">
        <f t="shared" si="72"/>
        <v>2432622.3334843605</v>
      </c>
      <c r="G129" s="45">
        <f t="shared" si="72"/>
        <v>1011046.4054336082</v>
      </c>
      <c r="H129" s="45">
        <f t="shared" si="72"/>
        <v>2413110.2805430116</v>
      </c>
      <c r="I129" s="45">
        <f t="shared" si="72"/>
        <v>2582603.3349499064</v>
      </c>
      <c r="J129" s="45">
        <f t="shared" si="72"/>
        <v>2705240.0139550981</v>
      </c>
      <c r="K129" s="45">
        <f t="shared" si="72"/>
        <v>2758949.2047046861</v>
      </c>
      <c r="L129" s="44">
        <f t="shared" si="72"/>
        <v>3339841.8055457179</v>
      </c>
    </row>
    <row r="130" spans="1:12">
      <c r="A130" s="42" t="s">
        <v>44</v>
      </c>
      <c r="B130" s="41">
        <f t="shared" ref="B130:L130" si="73">B126/1.06^B104</f>
        <v>-22400000</v>
      </c>
      <c r="C130" s="41">
        <f t="shared" si="73"/>
        <v>2290834.5042067124</v>
      </c>
      <c r="D130" s="41">
        <f t="shared" si="73"/>
        <v>609051.59439743368</v>
      </c>
      <c r="E130" s="41">
        <f t="shared" si="73"/>
        <v>2160897.0455295672</v>
      </c>
      <c r="F130" s="41">
        <f t="shared" si="73"/>
        <v>2342116.12878846</v>
      </c>
      <c r="G130" s="41">
        <f t="shared" si="73"/>
        <v>964246.91598034336</v>
      </c>
      <c r="H130" s="41">
        <f t="shared" si="73"/>
        <v>2279700.3856790164</v>
      </c>
      <c r="I130" s="41">
        <f t="shared" si="73"/>
        <v>2416805.7422568365</v>
      </c>
      <c r="J130" s="41">
        <f t="shared" si="73"/>
        <v>2507686.6793282414</v>
      </c>
      <c r="K130" s="41">
        <f t="shared" si="73"/>
        <v>2533346.5829230514</v>
      </c>
      <c r="L130" s="43">
        <f t="shared" si="73"/>
        <v>3037807.3924668361</v>
      </c>
    </row>
    <row r="131" spans="1:12">
      <c r="A131" s="42" t="s">
        <v>45</v>
      </c>
      <c r="B131" s="41">
        <f t="shared" ref="B131:L131" si="74">B126/1.07^B104</f>
        <v>-22400000</v>
      </c>
      <c r="C131" s="41">
        <f t="shared" si="74"/>
        <v>2269424.8359430982</v>
      </c>
      <c r="D131" s="41">
        <f t="shared" si="74"/>
        <v>597720.64937108615</v>
      </c>
      <c r="E131" s="41">
        <f t="shared" si="74"/>
        <v>2100875.6064713183</v>
      </c>
      <c r="F131" s="41">
        <f t="shared" si="74"/>
        <v>2255780.1730261785</v>
      </c>
      <c r="G131" s="41">
        <f t="shared" si="74"/>
        <v>920023.02506360877</v>
      </c>
      <c r="H131" s="41">
        <f t="shared" si="74"/>
        <v>2154816.5287113735</v>
      </c>
      <c r="I131" s="41">
        <f t="shared" si="74"/>
        <v>2263061.5045647332</v>
      </c>
      <c r="J131" s="41">
        <f t="shared" si="74"/>
        <v>2326215.6524649439</v>
      </c>
      <c r="K131" s="41">
        <f t="shared" si="74"/>
        <v>2328055.8626457695</v>
      </c>
      <c r="L131" s="43">
        <f t="shared" si="74"/>
        <v>2765547.4253063696</v>
      </c>
    </row>
    <row r="132" spans="1:12">
      <c r="A132" s="42" t="s">
        <v>46</v>
      </c>
      <c r="B132" s="41">
        <f t="shared" ref="B132:L132" si="75">B126/1.08^B104</f>
        <v>-22400000</v>
      </c>
      <c r="C132" s="41">
        <f t="shared" si="75"/>
        <v>2248411.643017699</v>
      </c>
      <c r="D132" s="41">
        <f t="shared" si="75"/>
        <v>586702.99336844694</v>
      </c>
      <c r="E132" s="41">
        <f t="shared" si="75"/>
        <v>2043056.631657429</v>
      </c>
      <c r="F132" s="41">
        <f t="shared" si="75"/>
        <v>2173385.9936943725</v>
      </c>
      <c r="G132" s="41">
        <f t="shared" si="75"/>
        <v>878210.86826101399</v>
      </c>
      <c r="H132" s="41">
        <f t="shared" si="75"/>
        <v>2037841.6365724877</v>
      </c>
      <c r="I132" s="41">
        <f t="shared" si="75"/>
        <v>2120393.7360213436</v>
      </c>
      <c r="J132" s="41">
        <f t="shared" si="75"/>
        <v>2159385.3529276326</v>
      </c>
      <c r="K132" s="41">
        <f t="shared" si="75"/>
        <v>2141083.4620775823</v>
      </c>
      <c r="L132" s="43">
        <f t="shared" si="75"/>
        <v>2519888.5455550146</v>
      </c>
    </row>
    <row r="133" spans="1:12">
      <c r="A133" s="39" t="s">
        <v>43</v>
      </c>
      <c r="B133" s="38">
        <f t="shared" ref="B133:L133" si="76">B127/1.05^B104</f>
        <v>-22400000</v>
      </c>
      <c r="C133" s="37">
        <f t="shared" si="76"/>
        <v>3014710.2451297133</v>
      </c>
      <c r="D133" s="37">
        <f t="shared" si="76"/>
        <v>1175916.8098991385</v>
      </c>
      <c r="E133" s="37">
        <f t="shared" si="76"/>
        <v>2642941.6108064358</v>
      </c>
      <c r="F133" s="37">
        <f t="shared" si="76"/>
        <v>2675146.9826255525</v>
      </c>
      <c r="G133" s="37">
        <f t="shared" si="76"/>
        <v>1072577.5469274621</v>
      </c>
      <c r="H133" s="37">
        <f t="shared" si="76"/>
        <v>2313354.2249415517</v>
      </c>
      <c r="I133" s="37">
        <f t="shared" si="76"/>
        <v>2293325.3637261754</v>
      </c>
      <c r="J133" s="37">
        <f t="shared" si="76"/>
        <v>2269983.8705808204</v>
      </c>
      <c r="K133" s="37">
        <f t="shared" si="76"/>
        <v>2238777.2509172861</v>
      </c>
      <c r="L133" s="47">
        <f t="shared" si="76"/>
        <v>2703266.0524331355</v>
      </c>
    </row>
    <row r="134" spans="1:12">
      <c r="A134" s="36" t="s">
        <v>44</v>
      </c>
      <c r="B134" s="35">
        <f t="shared" ref="B134:L134" si="77">B127/1.06^B104</f>
        <v>-22400000</v>
      </c>
      <c r="C134" s="32">
        <f t="shared" si="77"/>
        <v>2986269.5824398105</v>
      </c>
      <c r="D134" s="32">
        <f t="shared" si="77"/>
        <v>1153834.3564558562</v>
      </c>
      <c r="E134" s="32">
        <f t="shared" si="77"/>
        <v>2568844.8200610233</v>
      </c>
      <c r="F134" s="32">
        <f t="shared" si="77"/>
        <v>2575617.5994292991</v>
      </c>
      <c r="G134" s="32">
        <f t="shared" si="77"/>
        <v>1022929.8934414553</v>
      </c>
      <c r="H134" s="32">
        <f t="shared" si="77"/>
        <v>2185459.3887954047</v>
      </c>
      <c r="I134" s="32">
        <f t="shared" si="77"/>
        <v>2146098.7960910285</v>
      </c>
      <c r="J134" s="32">
        <f t="shared" si="77"/>
        <v>2104215.6278854925</v>
      </c>
      <c r="K134" s="32">
        <f t="shared" si="77"/>
        <v>2055709.7205217481</v>
      </c>
      <c r="L134" s="31">
        <f t="shared" si="77"/>
        <v>2458799.5707611693</v>
      </c>
    </row>
    <row r="135" spans="1:12">
      <c r="A135" s="36" t="s">
        <v>45</v>
      </c>
      <c r="B135" s="35">
        <f t="shared" ref="B135:L135" si="78">B127/1.07^B104</f>
        <v>-22400000</v>
      </c>
      <c r="C135" s="32">
        <f t="shared" si="78"/>
        <v>2958360.5209216815</v>
      </c>
      <c r="D135" s="32">
        <f t="shared" si="78"/>
        <v>1132368.1395002187</v>
      </c>
      <c r="E135" s="32">
        <f t="shared" si="78"/>
        <v>2497492.1551405136</v>
      </c>
      <c r="F135" s="32">
        <f t="shared" si="78"/>
        <v>2480674.2256180658</v>
      </c>
      <c r="G135" s="32">
        <f t="shared" si="78"/>
        <v>976014.58650782751</v>
      </c>
      <c r="H135" s="32">
        <f t="shared" si="78"/>
        <v>2065738.1309347474</v>
      </c>
      <c r="I135" s="32">
        <f t="shared" si="78"/>
        <v>2009575.4844951013</v>
      </c>
      <c r="J135" s="32">
        <f t="shared" si="78"/>
        <v>1951942.1505480167</v>
      </c>
      <c r="K135" s="32">
        <f t="shared" si="78"/>
        <v>1889124.4881450625</v>
      </c>
      <c r="L135" s="31">
        <f t="shared" si="78"/>
        <v>2238432.5086328508</v>
      </c>
    </row>
    <row r="136" spans="1:12">
      <c r="A136" s="34" t="s">
        <v>46</v>
      </c>
      <c r="B136" s="33">
        <f t="shared" ref="B136:L136" si="79">B127/1.08^B104</f>
        <v>-22400000</v>
      </c>
      <c r="C136" s="32">
        <f t="shared" si="79"/>
        <v>2930968.2938761101</v>
      </c>
      <c r="D136" s="32">
        <f t="shared" si="79"/>
        <v>1111495.4414555901</v>
      </c>
      <c r="E136" s="32">
        <f t="shared" si="79"/>
        <v>2428757.7495568828</v>
      </c>
      <c r="F136" s="32">
        <f t="shared" si="79"/>
        <v>2390065.6107124896</v>
      </c>
      <c r="G136" s="32">
        <f t="shared" si="79"/>
        <v>931657.78910065012</v>
      </c>
      <c r="H136" s="32">
        <f t="shared" si="79"/>
        <v>1953598.8876007539</v>
      </c>
      <c r="I136" s="32">
        <f t="shared" si="79"/>
        <v>1882887.9642866922</v>
      </c>
      <c r="J136" s="32">
        <f t="shared" si="79"/>
        <v>1811953.7993775799</v>
      </c>
      <c r="K136" s="32">
        <f t="shared" si="79"/>
        <v>1737403.8416657238</v>
      </c>
      <c r="L136" s="31">
        <f t="shared" si="79"/>
        <v>2039596.3514807655</v>
      </c>
    </row>
    <row r="137" spans="1:12">
      <c r="A137" s="30" t="s">
        <v>43</v>
      </c>
      <c r="B137" s="29">
        <f t="shared" ref="B137:L137" si="80">B128/1.05^B104</f>
        <v>0</v>
      </c>
      <c r="C137" s="28">
        <f t="shared" si="80"/>
        <v>-702058.26945436676</v>
      </c>
      <c r="D137" s="28">
        <f t="shared" si="80"/>
        <v>-555208.98997627548</v>
      </c>
      <c r="E137" s="28">
        <f t="shared" si="80"/>
        <v>-419714.78383013152</v>
      </c>
      <c r="F137" s="28">
        <f t="shared" si="80"/>
        <v>-242524.64914119345</v>
      </c>
      <c r="G137" s="28">
        <f t="shared" si="80"/>
        <v>-61531.141493852454</v>
      </c>
      <c r="H137" s="28">
        <f t="shared" si="80"/>
        <v>99756.055601460539</v>
      </c>
      <c r="I137" s="28">
        <f t="shared" si="80"/>
        <v>289277.9712237303</v>
      </c>
      <c r="J137" s="28">
        <f t="shared" si="80"/>
        <v>435256.14337427868</v>
      </c>
      <c r="K137" s="28">
        <f t="shared" si="80"/>
        <v>520171.95378740045</v>
      </c>
      <c r="L137" s="27">
        <f t="shared" si="80"/>
        <v>636575.75311258365</v>
      </c>
    </row>
    <row r="138" spans="1:12">
      <c r="A138" s="24" t="s">
        <v>44</v>
      </c>
      <c r="B138" s="26">
        <f t="shared" ref="B138:L138" si="81">B128/1.06^B104</f>
        <v>0</v>
      </c>
      <c r="C138" s="22">
        <f t="shared" si="81"/>
        <v>-695435.07823309908</v>
      </c>
      <c r="D138" s="22">
        <f t="shared" si="81"/>
        <v>-544782.76205842267</v>
      </c>
      <c r="E138" s="22">
        <f t="shared" si="81"/>
        <v>-407947.77453145542</v>
      </c>
      <c r="F138" s="22">
        <f t="shared" si="81"/>
        <v>-233501.47064084062</v>
      </c>
      <c r="G138" s="22">
        <f t="shared" si="81"/>
        <v>-58682.977461110648</v>
      </c>
      <c r="H138" s="22">
        <f t="shared" si="81"/>
        <v>94240.996883612388</v>
      </c>
      <c r="I138" s="22">
        <f t="shared" si="81"/>
        <v>270706.94616580749</v>
      </c>
      <c r="J138" s="22">
        <f t="shared" si="81"/>
        <v>403471.05144274951</v>
      </c>
      <c r="K138" s="22">
        <f t="shared" si="81"/>
        <v>477636.8624013036</v>
      </c>
      <c r="L138" s="25">
        <f t="shared" si="81"/>
        <v>579007.82170566765</v>
      </c>
    </row>
    <row r="139" spans="1:12">
      <c r="A139" s="24" t="s">
        <v>45</v>
      </c>
      <c r="B139" s="26">
        <f t="shared" ref="B139:L139" si="82">B128/1.07^B104</f>
        <v>0</v>
      </c>
      <c r="C139" s="22">
        <f t="shared" si="82"/>
        <v>-688935.68497858418</v>
      </c>
      <c r="D139" s="22">
        <f t="shared" si="82"/>
        <v>-534647.49012913252</v>
      </c>
      <c r="E139" s="22">
        <f t="shared" si="82"/>
        <v>-396616.54866919445</v>
      </c>
      <c r="F139" s="22">
        <f t="shared" si="82"/>
        <v>-224894.05259188864</v>
      </c>
      <c r="G139" s="22">
        <f t="shared" si="82"/>
        <v>-55991.561444217463</v>
      </c>
      <c r="H139" s="22">
        <f t="shared" si="82"/>
        <v>89078.397776626836</v>
      </c>
      <c r="I139" s="22">
        <f t="shared" si="82"/>
        <v>253486.02006963128</v>
      </c>
      <c r="J139" s="22">
        <f t="shared" si="82"/>
        <v>374273.50191692758</v>
      </c>
      <c r="K139" s="22">
        <f t="shared" si="82"/>
        <v>438931.37450070761</v>
      </c>
      <c r="L139" s="25">
        <f t="shared" si="82"/>
        <v>527114.91667351988</v>
      </c>
    </row>
    <row r="140" spans="1:12" ht="15.75" thickBot="1">
      <c r="A140" s="24" t="s">
        <v>46</v>
      </c>
      <c r="B140" s="23">
        <f t="shared" ref="B140:L140" si="83">B128/1.08^B104</f>
        <v>0</v>
      </c>
      <c r="C140" s="22">
        <f t="shared" si="83"/>
        <v>-682556.65085841203</v>
      </c>
      <c r="D140" s="22">
        <f t="shared" si="83"/>
        <v>-524792.44808714313</v>
      </c>
      <c r="E140" s="22">
        <f t="shared" si="83"/>
        <v>-385701.11789945321</v>
      </c>
      <c r="F140" s="22">
        <f t="shared" si="83"/>
        <v>-216679.61701811804</v>
      </c>
      <c r="G140" s="21">
        <f t="shared" si="83"/>
        <v>-53446.920839634899</v>
      </c>
      <c r="H140" s="21">
        <f t="shared" si="83"/>
        <v>84242.748971734371</v>
      </c>
      <c r="I140" s="21">
        <f t="shared" si="83"/>
        <v>237505.77173465071</v>
      </c>
      <c r="J140" s="21">
        <f t="shared" si="83"/>
        <v>347431.55355005304</v>
      </c>
      <c r="K140" s="21">
        <f t="shared" si="83"/>
        <v>403679.62041185884</v>
      </c>
      <c r="L140" s="20">
        <f t="shared" si="83"/>
        <v>480292.19407424971</v>
      </c>
    </row>
    <row r="141" spans="1:12">
      <c r="A141" s="19" t="s">
        <v>47</v>
      </c>
      <c r="B141" s="18">
        <f>SUM(B129:L129)</f>
        <v>1.1909040622413158E-3</v>
      </c>
      <c r="C141" s="17" t="s">
        <v>47</v>
      </c>
      <c r="D141" s="16">
        <f>SUM(B133:L133)</f>
        <v>-4.2012730613350868E-2</v>
      </c>
      <c r="E141" s="15" t="s">
        <v>47</v>
      </c>
      <c r="F141" s="14">
        <f>SUM(B137:L137)</f>
        <v>4.3203634209930897E-2</v>
      </c>
      <c r="G141" s="13"/>
    </row>
    <row r="142" spans="1:12">
      <c r="A142" s="12" t="s">
        <v>48</v>
      </c>
      <c r="B142" s="11">
        <f>SUM(B130:L130)</f>
        <v>-1257507.0284435018</v>
      </c>
      <c r="C142" s="10" t="s">
        <v>48</v>
      </c>
      <c r="D142" s="9">
        <f>SUM(B134:L134)</f>
        <v>-1142220.6441177148</v>
      </c>
      <c r="E142" s="8" t="s">
        <v>48</v>
      </c>
      <c r="F142" s="7">
        <f>SUM(B138:L138)</f>
        <v>-115286.38432578777</v>
      </c>
    </row>
    <row r="143" spans="1:12">
      <c r="A143" s="12" t="s">
        <v>49</v>
      </c>
      <c r="B143" s="11">
        <f>SUM(B131:L131)</f>
        <v>-2418478.7364315186</v>
      </c>
      <c r="C143" s="10" t="s">
        <v>49</v>
      </c>
      <c r="D143" s="9">
        <f>SUM(B135:L135)</f>
        <v>-2200277.6095559141</v>
      </c>
      <c r="E143" s="8" t="s">
        <v>49</v>
      </c>
      <c r="F143" s="7">
        <f>SUM(B139:L139)</f>
        <v>-218201.12687560415</v>
      </c>
    </row>
    <row r="144" spans="1:12" ht="15.75" thickBot="1">
      <c r="A144" s="6" t="s">
        <v>50</v>
      </c>
      <c r="B144" s="5">
        <f>SUM(B132:L132)</f>
        <v>-3491639.1368469796</v>
      </c>
      <c r="C144" s="4" t="s">
        <v>50</v>
      </c>
      <c r="D144" s="3">
        <f>SUM(B136:L136)</f>
        <v>-3181614.2708867602</v>
      </c>
      <c r="E144" s="2" t="s">
        <v>50</v>
      </c>
      <c r="F144" s="1">
        <f>SUM(B140:L140)</f>
        <v>-310024.86596021487</v>
      </c>
    </row>
    <row r="147" spans="1:12">
      <c r="A147" s="128" t="s">
        <v>61</v>
      </c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30"/>
    </row>
    <row r="148" spans="1:12">
      <c r="A148" s="131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3"/>
    </row>
    <row r="149" spans="1:12">
      <c r="A149" s="67" t="s">
        <v>25</v>
      </c>
      <c r="B149" s="66">
        <v>2024</v>
      </c>
      <c r="C149" s="65">
        <v>2025</v>
      </c>
      <c r="D149" s="65">
        <v>2026</v>
      </c>
      <c r="E149" s="65">
        <v>2027</v>
      </c>
      <c r="F149" s="65">
        <v>2028</v>
      </c>
      <c r="G149" s="65">
        <v>2029</v>
      </c>
      <c r="H149" s="65">
        <v>2030</v>
      </c>
      <c r="I149" s="65">
        <v>2031</v>
      </c>
      <c r="J149" s="65">
        <v>2032</v>
      </c>
      <c r="K149" s="65">
        <v>2033</v>
      </c>
      <c r="L149" s="64">
        <v>2034</v>
      </c>
    </row>
    <row r="150" spans="1:12">
      <c r="A150" s="57" t="s">
        <v>26</v>
      </c>
      <c r="B150" s="60">
        <v>0</v>
      </c>
      <c r="C150">
        <v>1</v>
      </c>
      <c r="D150" s="60">
        <v>2</v>
      </c>
      <c r="E150">
        <v>3</v>
      </c>
      <c r="F150" s="60">
        <v>4</v>
      </c>
      <c r="G150">
        <v>5</v>
      </c>
      <c r="H150" s="60">
        <v>6</v>
      </c>
      <c r="I150">
        <v>7</v>
      </c>
      <c r="J150" s="60">
        <v>8</v>
      </c>
      <c r="K150">
        <v>9</v>
      </c>
      <c r="L150" s="63">
        <v>10</v>
      </c>
    </row>
    <row r="151" spans="1:12">
      <c r="A151" s="57" t="s">
        <v>54</v>
      </c>
      <c r="B151" s="60">
        <v>12</v>
      </c>
      <c r="C151">
        <f t="shared" ref="C151:L151" si="84">B151*C154</f>
        <v>12.468</v>
      </c>
      <c r="D151">
        <f t="shared" si="84"/>
        <v>12.679955999999999</v>
      </c>
      <c r="E151">
        <f t="shared" si="84"/>
        <v>12.908195207999999</v>
      </c>
      <c r="F151">
        <f t="shared" si="84"/>
        <v>13.166359112159999</v>
      </c>
      <c r="G151">
        <f t="shared" si="84"/>
        <v>13.350688139730238</v>
      </c>
      <c r="H151">
        <f t="shared" si="84"/>
        <v>13.52424708554673</v>
      </c>
      <c r="I151">
        <f t="shared" si="84"/>
        <v>13.68653805057329</v>
      </c>
      <c r="J151">
        <f t="shared" si="84"/>
        <v>13.85077650718017</v>
      </c>
      <c r="K151">
        <f t="shared" si="84"/>
        <v>14.016985825266332</v>
      </c>
      <c r="L151" s="59">
        <f t="shared" si="84"/>
        <v>14.185189655169529</v>
      </c>
    </row>
    <row r="152" spans="1:12">
      <c r="A152" s="57" t="s">
        <v>55</v>
      </c>
      <c r="B152" s="60">
        <f t="shared" ref="B152:L152" si="85">ROUNDUP(B151,0)</f>
        <v>12</v>
      </c>
      <c r="C152" s="60">
        <f t="shared" si="85"/>
        <v>13</v>
      </c>
      <c r="D152" s="60">
        <f t="shared" si="85"/>
        <v>13</v>
      </c>
      <c r="E152" s="60">
        <f t="shared" si="85"/>
        <v>13</v>
      </c>
      <c r="F152" s="60">
        <f t="shared" si="85"/>
        <v>14</v>
      </c>
      <c r="G152" s="60">
        <f t="shared" si="85"/>
        <v>14</v>
      </c>
      <c r="H152" s="60">
        <f t="shared" si="85"/>
        <v>14</v>
      </c>
      <c r="I152" s="60">
        <f t="shared" si="85"/>
        <v>14</v>
      </c>
      <c r="J152" s="60">
        <f t="shared" si="85"/>
        <v>14</v>
      </c>
      <c r="K152" s="60">
        <f t="shared" si="85"/>
        <v>15</v>
      </c>
      <c r="L152" s="63">
        <f t="shared" si="85"/>
        <v>15</v>
      </c>
    </row>
    <row r="153" spans="1:12">
      <c r="A153" s="57" t="s">
        <v>56</v>
      </c>
      <c r="B153" s="62">
        <f t="shared" ref="B153:L153" si="86">ROUNDUP((20/30)*B152,0)</f>
        <v>8</v>
      </c>
      <c r="C153" s="62">
        <f t="shared" si="86"/>
        <v>9</v>
      </c>
      <c r="D153" s="62">
        <f t="shared" si="86"/>
        <v>9</v>
      </c>
      <c r="E153" s="62">
        <f t="shared" si="86"/>
        <v>9</v>
      </c>
      <c r="F153" s="62">
        <f t="shared" si="86"/>
        <v>10</v>
      </c>
      <c r="G153" s="62">
        <f t="shared" si="86"/>
        <v>10</v>
      </c>
      <c r="H153" s="62">
        <f t="shared" si="86"/>
        <v>10</v>
      </c>
      <c r="I153" s="62">
        <f t="shared" si="86"/>
        <v>10</v>
      </c>
      <c r="J153" s="62">
        <f t="shared" si="86"/>
        <v>10</v>
      </c>
      <c r="K153" s="62">
        <f t="shared" si="86"/>
        <v>10</v>
      </c>
      <c r="L153" s="61">
        <f t="shared" si="86"/>
        <v>10</v>
      </c>
    </row>
    <row r="154" spans="1:12">
      <c r="A154" s="57" t="s">
        <v>28</v>
      </c>
      <c r="B154">
        <v>1</v>
      </c>
      <c r="C154">
        <v>1.0389999999999999</v>
      </c>
      <c r="D154">
        <v>1.0169999999999999</v>
      </c>
      <c r="E154">
        <v>1.018</v>
      </c>
      <c r="F154">
        <v>1.02</v>
      </c>
      <c r="G154">
        <v>1.014</v>
      </c>
      <c r="H154">
        <v>1.0129999999999999</v>
      </c>
      <c r="I154">
        <v>1.012</v>
      </c>
      <c r="J154">
        <v>1.012</v>
      </c>
      <c r="K154">
        <v>1.012</v>
      </c>
      <c r="L154" s="59">
        <v>1.012</v>
      </c>
    </row>
    <row r="155" spans="1:12">
      <c r="A155" s="57" t="s">
        <v>52</v>
      </c>
      <c r="B155">
        <f>ROUNDUP(11028.72549,0)</f>
        <v>11029</v>
      </c>
      <c r="C155">
        <f t="shared" ref="C155:L155" si="87">ROUNDUP(B155*C154,0)</f>
        <v>11460</v>
      </c>
      <c r="D155">
        <f t="shared" si="87"/>
        <v>11655</v>
      </c>
      <c r="E155">
        <f t="shared" si="87"/>
        <v>11865</v>
      </c>
      <c r="F155">
        <f t="shared" si="87"/>
        <v>12103</v>
      </c>
      <c r="G155">
        <f t="shared" si="87"/>
        <v>12273</v>
      </c>
      <c r="H155">
        <f t="shared" si="87"/>
        <v>12433</v>
      </c>
      <c r="I155">
        <f t="shared" si="87"/>
        <v>12583</v>
      </c>
      <c r="J155">
        <f t="shared" si="87"/>
        <v>12734</v>
      </c>
      <c r="K155">
        <f t="shared" si="87"/>
        <v>12887</v>
      </c>
      <c r="L155" s="59">
        <f t="shared" si="87"/>
        <v>13042</v>
      </c>
    </row>
    <row r="156" spans="1:12">
      <c r="A156" s="57" t="s">
        <v>30</v>
      </c>
      <c r="B156" s="60">
        <v>1</v>
      </c>
      <c r="C156">
        <v>0.92900000000000005</v>
      </c>
      <c r="D156">
        <v>0.98299999999999998</v>
      </c>
      <c r="E156">
        <v>1.0249999999999999</v>
      </c>
      <c r="F156">
        <v>1.036</v>
      </c>
      <c r="G156">
        <v>1.036</v>
      </c>
      <c r="H156">
        <v>1.036</v>
      </c>
      <c r="I156">
        <v>1.006</v>
      </c>
      <c r="J156">
        <v>0.99399999999999999</v>
      </c>
      <c r="K156">
        <v>1.0169999999999999</v>
      </c>
      <c r="L156" s="59">
        <v>1.008</v>
      </c>
    </row>
    <row r="157" spans="1:12">
      <c r="A157" s="57" t="s">
        <v>31</v>
      </c>
      <c r="B157" s="60">
        <v>1</v>
      </c>
      <c r="C157">
        <v>0.93799999999999994</v>
      </c>
      <c r="D157">
        <v>0.97399999999999998</v>
      </c>
      <c r="E157">
        <v>1.0009999999999999</v>
      </c>
      <c r="F157">
        <v>1.0089999999999999</v>
      </c>
      <c r="G157">
        <v>1.01</v>
      </c>
      <c r="H157">
        <v>1.012</v>
      </c>
      <c r="I157">
        <v>1.002</v>
      </c>
      <c r="J157">
        <v>0.995</v>
      </c>
      <c r="K157">
        <v>1.014</v>
      </c>
      <c r="L157" s="59">
        <v>1.006</v>
      </c>
    </row>
    <row r="158" spans="1:12">
      <c r="A158" s="57" t="s">
        <v>57</v>
      </c>
      <c r="B158">
        <v>96.629000000000005</v>
      </c>
      <c r="C158">
        <v>127.8925</v>
      </c>
      <c r="D158">
        <v>159.15600000000001</v>
      </c>
      <c r="E158">
        <v>190.4195</v>
      </c>
      <c r="F158">
        <v>221.68299999999999</v>
      </c>
      <c r="G158">
        <v>252.94649999999999</v>
      </c>
      <c r="H158">
        <v>284.20999999999998</v>
      </c>
      <c r="I158">
        <v>315.4735</v>
      </c>
      <c r="J158">
        <v>346.73700000000002</v>
      </c>
      <c r="K158">
        <v>378.00049999999999</v>
      </c>
      <c r="L158" s="59">
        <v>409.26400000000001</v>
      </c>
    </row>
    <row r="159" spans="1:12">
      <c r="A159" s="57" t="s">
        <v>32</v>
      </c>
      <c r="B159" s="13">
        <f>B153*O5</f>
        <v>-25440000</v>
      </c>
      <c r="C159" s="13">
        <f t="shared" ref="C159:L159" si="88">(C153-B153)*$O$5</f>
        <v>-3180000</v>
      </c>
      <c r="D159" s="13">
        <f t="shared" si="88"/>
        <v>0</v>
      </c>
      <c r="E159" s="13">
        <f t="shared" si="88"/>
        <v>0</v>
      </c>
      <c r="F159" s="13">
        <f t="shared" si="88"/>
        <v>-3180000</v>
      </c>
      <c r="G159" s="13">
        <f t="shared" si="88"/>
        <v>0</v>
      </c>
      <c r="H159" s="13">
        <f t="shared" si="88"/>
        <v>0</v>
      </c>
      <c r="I159" s="13">
        <f t="shared" si="88"/>
        <v>0</v>
      </c>
      <c r="J159" s="13">
        <f t="shared" si="88"/>
        <v>0</v>
      </c>
      <c r="K159" s="13">
        <f t="shared" si="88"/>
        <v>0</v>
      </c>
      <c r="L159" s="52">
        <f t="shared" si="88"/>
        <v>0</v>
      </c>
    </row>
    <row r="160" spans="1:12">
      <c r="A160" s="57" t="s">
        <v>58</v>
      </c>
      <c r="B160" s="58"/>
      <c r="C160" s="53"/>
      <c r="D160" s="53"/>
      <c r="E160" s="53"/>
      <c r="F160" s="58"/>
      <c r="G160" s="53"/>
      <c r="H160" s="53"/>
      <c r="I160" s="53"/>
      <c r="J160" s="53"/>
      <c r="K160" s="53"/>
      <c r="L160" s="52">
        <f>(-1)*C159+C159/L150*(L150-B150)+(-1)*F159+F159/L150*(L150-E150)</f>
        <v>954000</v>
      </c>
    </row>
    <row r="161" spans="1:12">
      <c r="A161" s="57" t="s">
        <v>34</v>
      </c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6"/>
    </row>
    <row r="162" spans="1:12">
      <c r="A162" s="54" t="s">
        <v>13</v>
      </c>
      <c r="B162" s="53"/>
      <c r="C162" s="13">
        <f t="shared" ref="C162:L162" si="89">$O$8*C153</f>
        <v>-2390382</v>
      </c>
      <c r="D162" s="13">
        <f t="shared" si="89"/>
        <v>-2390382</v>
      </c>
      <c r="E162" s="13">
        <f t="shared" si="89"/>
        <v>-2390382</v>
      </c>
      <c r="F162" s="13">
        <f t="shared" si="89"/>
        <v>-2655980</v>
      </c>
      <c r="G162" s="13">
        <f t="shared" si="89"/>
        <v>-2655980</v>
      </c>
      <c r="H162" s="13">
        <f t="shared" si="89"/>
        <v>-2655980</v>
      </c>
      <c r="I162" s="13">
        <f t="shared" si="89"/>
        <v>-2655980</v>
      </c>
      <c r="J162" s="13">
        <f t="shared" si="89"/>
        <v>-2655980</v>
      </c>
      <c r="K162" s="13">
        <f t="shared" si="89"/>
        <v>-2655980</v>
      </c>
      <c r="L162" s="52">
        <f t="shared" si="89"/>
        <v>-2655980</v>
      </c>
    </row>
    <row r="163" spans="1:12">
      <c r="A163" s="54" t="s">
        <v>15</v>
      </c>
      <c r="B163" s="53"/>
      <c r="C163" s="13">
        <f t="shared" ref="C163:L163" si="90">$O$9*C153</f>
        <v>-2146500</v>
      </c>
      <c r="D163" s="13">
        <f t="shared" si="90"/>
        <v>-2146500</v>
      </c>
      <c r="E163" s="13">
        <f t="shared" si="90"/>
        <v>-2146500</v>
      </c>
      <c r="F163" s="13">
        <f t="shared" si="90"/>
        <v>-2385000</v>
      </c>
      <c r="G163" s="13">
        <f t="shared" si="90"/>
        <v>-2385000</v>
      </c>
      <c r="H163" s="13">
        <f t="shared" si="90"/>
        <v>-2385000</v>
      </c>
      <c r="I163" s="13">
        <f t="shared" si="90"/>
        <v>-2385000</v>
      </c>
      <c r="J163" s="13">
        <f t="shared" si="90"/>
        <v>-2385000</v>
      </c>
      <c r="K163" s="13">
        <f t="shared" si="90"/>
        <v>-2385000</v>
      </c>
      <c r="L163" s="52">
        <f t="shared" si="90"/>
        <v>-2385000</v>
      </c>
    </row>
    <row r="164" spans="1:12">
      <c r="A164" s="54" t="s">
        <v>17</v>
      </c>
      <c r="B164" s="53"/>
      <c r="C164" s="13">
        <f t="shared" ref="C164:L164" si="91">$O$10*C154*C157</f>
        <v>-74690.989897999985</v>
      </c>
      <c r="D164" s="13">
        <f t="shared" si="91"/>
        <v>-75915.374561999997</v>
      </c>
      <c r="E164" s="13">
        <f t="shared" si="91"/>
        <v>-78096.520501999999</v>
      </c>
      <c r="F164" s="13">
        <f t="shared" si="91"/>
        <v>-78875.326019999993</v>
      </c>
      <c r="G164" s="13">
        <f t="shared" si="91"/>
        <v>-78489.065459999998</v>
      </c>
      <c r="H164" s="13">
        <f t="shared" si="91"/>
        <v>-78566.930683999992</v>
      </c>
      <c r="I164" s="13">
        <f t="shared" si="91"/>
        <v>-77713.785336000001</v>
      </c>
      <c r="J164" s="13">
        <f t="shared" si="91"/>
        <v>-77170.874660000001</v>
      </c>
      <c r="K164" s="13">
        <f t="shared" si="91"/>
        <v>-78644.489352000004</v>
      </c>
      <c r="L164" s="52">
        <f t="shared" si="91"/>
        <v>-78024.020008000007</v>
      </c>
    </row>
    <row r="165" spans="1:12">
      <c r="A165" s="54" t="s">
        <v>59</v>
      </c>
      <c r="B165" s="53"/>
      <c r="C165" s="13">
        <f t="shared" ref="C165:L165" si="92">SUM(C162:C164)*0.1</f>
        <v>-461157.29898980004</v>
      </c>
      <c r="D165" s="13">
        <f t="shared" si="92"/>
        <v>-461279.7374562</v>
      </c>
      <c r="E165" s="13">
        <f t="shared" si="92"/>
        <v>-461497.85205020005</v>
      </c>
      <c r="F165" s="13">
        <f t="shared" si="92"/>
        <v>-511985.53260199999</v>
      </c>
      <c r="G165" s="13">
        <f t="shared" si="92"/>
        <v>-511946.90654600004</v>
      </c>
      <c r="H165" s="13">
        <f t="shared" si="92"/>
        <v>-511954.69306840003</v>
      </c>
      <c r="I165" s="13">
        <f t="shared" si="92"/>
        <v>-511869.37853360001</v>
      </c>
      <c r="J165" s="13">
        <f t="shared" si="92"/>
        <v>-511815.08746600006</v>
      </c>
      <c r="K165" s="13">
        <f t="shared" si="92"/>
        <v>-511962.44893519999</v>
      </c>
      <c r="L165" s="52">
        <f t="shared" si="92"/>
        <v>-511900.40200080001</v>
      </c>
    </row>
    <row r="166" spans="1:12">
      <c r="A166" s="54" t="s">
        <v>19</v>
      </c>
      <c r="B166" s="53"/>
      <c r="C166" s="13">
        <f t="shared" ref="C166:L166" si="93">$O$11*C154*C156</f>
        <v>-361742.76852306002</v>
      </c>
      <c r="D166" s="13">
        <f t="shared" si="93"/>
        <v>-374664.95052785997</v>
      </c>
      <c r="E166" s="13">
        <f t="shared" si="93"/>
        <v>-391057.15814699995</v>
      </c>
      <c r="F166" s="13">
        <f t="shared" si="93"/>
        <v>-396030.39930720004</v>
      </c>
      <c r="G166" s="13">
        <f t="shared" si="93"/>
        <v>-393700.80872304004</v>
      </c>
      <c r="H166" s="13">
        <f t="shared" si="93"/>
        <v>-393312.54362567997</v>
      </c>
      <c r="I166" s="13">
        <f t="shared" si="93"/>
        <v>-381546.16235472006</v>
      </c>
      <c r="J166" s="13">
        <f t="shared" si="93"/>
        <v>-376994.91588528</v>
      </c>
      <c r="K166" s="13">
        <f t="shared" si="93"/>
        <v>-385718.13828503998</v>
      </c>
      <c r="L166" s="52">
        <f t="shared" si="93"/>
        <v>-382304.70343296003</v>
      </c>
    </row>
    <row r="167" spans="1:12">
      <c r="A167" s="54" t="s">
        <v>36</v>
      </c>
      <c r="B167" s="53"/>
      <c r="C167" s="13">
        <f t="shared" ref="C167:L167" si="94">$O$12*C154*C156</f>
        <v>-1004444.34912597</v>
      </c>
      <c r="D167" s="13">
        <f t="shared" si="94"/>
        <v>-1040325.1291235698</v>
      </c>
      <c r="E167" s="13">
        <f t="shared" si="94"/>
        <v>-1085841.0640514998</v>
      </c>
      <c r="F167" s="13">
        <f t="shared" si="94"/>
        <v>-1099650.1693464001</v>
      </c>
      <c r="G167" s="13">
        <f t="shared" si="94"/>
        <v>-1093181.6389384801</v>
      </c>
      <c r="H167" s="13">
        <f t="shared" si="94"/>
        <v>-1092103.5505371599</v>
      </c>
      <c r="I167" s="13">
        <f t="shared" si="94"/>
        <v>-1059432.06072264</v>
      </c>
      <c r="J167" s="13">
        <f t="shared" si="94"/>
        <v>-1046794.7001573599</v>
      </c>
      <c r="K167" s="13">
        <f t="shared" si="94"/>
        <v>-1071016.3079074798</v>
      </c>
      <c r="L167" s="52">
        <f t="shared" si="94"/>
        <v>-1061538.2874835199</v>
      </c>
    </row>
    <row r="168" spans="1:12">
      <c r="A168" s="54" t="s">
        <v>62</v>
      </c>
      <c r="B168" s="53"/>
      <c r="C168" s="13">
        <f t="shared" ref="C168:L168" si="95">$O$13*C158*C154</f>
        <v>1119810.0054219346</v>
      </c>
      <c r="D168" s="13">
        <f t="shared" si="95"/>
        <v>1364041.8269179827</v>
      </c>
      <c r="E168" s="13">
        <f t="shared" si="95"/>
        <v>1633589.4408683248</v>
      </c>
      <c r="F168" s="13">
        <f t="shared" si="95"/>
        <v>1905532.1516364627</v>
      </c>
      <c r="G168" s="13">
        <f t="shared" si="95"/>
        <v>2161475.656112324</v>
      </c>
      <c r="H168" s="13">
        <f t="shared" si="95"/>
        <v>2426233.0764270746</v>
      </c>
      <c r="I168" s="13">
        <f t="shared" si="95"/>
        <v>2690463.5687001441</v>
      </c>
      <c r="J168" s="13">
        <f t="shared" si="95"/>
        <v>2957089.1577910092</v>
      </c>
      <c r="K168" s="13">
        <f t="shared" si="95"/>
        <v>3223714.7468818733</v>
      </c>
      <c r="L168" s="55">
        <f t="shared" si="95"/>
        <v>3490340.3359727385</v>
      </c>
    </row>
    <row r="169" spans="1:12">
      <c r="A169" s="54" t="s">
        <v>37</v>
      </c>
      <c r="B169" s="53"/>
      <c r="C169" s="13">
        <f t="shared" ref="C169:L169" si="96">C155*$O$14</f>
        <v>8094625.8934800001</v>
      </c>
      <c r="D169" s="13">
        <f t="shared" si="96"/>
        <v>8232361.6743900003</v>
      </c>
      <c r="E169" s="13">
        <f t="shared" si="96"/>
        <v>8380692.5153700002</v>
      </c>
      <c r="F169" s="13">
        <f t="shared" si="96"/>
        <v>8548800.8018140011</v>
      </c>
      <c r="G169" s="13">
        <f t="shared" si="96"/>
        <v>8668878.1492740009</v>
      </c>
      <c r="H169" s="13">
        <f t="shared" si="96"/>
        <v>8781892.123354001</v>
      </c>
      <c r="I169" s="13">
        <f t="shared" si="96"/>
        <v>8887842.7240540013</v>
      </c>
      <c r="J169" s="13">
        <f t="shared" si="96"/>
        <v>8994499.6620920002</v>
      </c>
      <c r="K169" s="13">
        <f t="shared" si="96"/>
        <v>9102569.2748060003</v>
      </c>
      <c r="L169" s="52">
        <f t="shared" si="96"/>
        <v>9212051.5621960014</v>
      </c>
    </row>
    <row r="170" spans="1:12">
      <c r="A170" s="54" t="s">
        <v>38</v>
      </c>
      <c r="B170" s="53"/>
      <c r="C170" s="13">
        <f t="shared" ref="C170:L170" si="97">(-1)*C155*$O$15</f>
        <v>-8791420.102500001</v>
      </c>
      <c r="D170" s="13">
        <f t="shared" si="97"/>
        <v>-8941012.3293750007</v>
      </c>
      <c r="E170" s="13">
        <f t="shared" si="97"/>
        <v>-9102111.6506249998</v>
      </c>
      <c r="F170" s="13">
        <f t="shared" si="97"/>
        <v>-9284690.8813749999</v>
      </c>
      <c r="G170" s="13">
        <f t="shared" si="97"/>
        <v>-9415104.617625</v>
      </c>
      <c r="H170" s="13">
        <f t="shared" si="97"/>
        <v>-9537846.9576249998</v>
      </c>
      <c r="I170" s="13">
        <f t="shared" si="97"/>
        <v>-9652917.9013749994</v>
      </c>
      <c r="J170" s="13">
        <f t="shared" si="97"/>
        <v>-9768755.9847500008</v>
      </c>
      <c r="K170" s="13">
        <f t="shared" si="97"/>
        <v>-9886128.3473749999</v>
      </c>
      <c r="L170" s="52">
        <f t="shared" si="97"/>
        <v>-10005034.989250001</v>
      </c>
    </row>
    <row r="171" spans="1:12">
      <c r="A171" s="54" t="s">
        <v>39</v>
      </c>
      <c r="B171" s="53"/>
      <c r="C171" s="13">
        <f t="shared" ref="C171:L171" si="98">C155*$O$15</f>
        <v>8791420.102500001</v>
      </c>
      <c r="D171" s="13">
        <f t="shared" si="98"/>
        <v>8941012.3293750007</v>
      </c>
      <c r="E171" s="13">
        <f t="shared" si="98"/>
        <v>9102111.6506249998</v>
      </c>
      <c r="F171" s="13">
        <f t="shared" si="98"/>
        <v>9284690.8813749999</v>
      </c>
      <c r="G171" s="13">
        <f t="shared" si="98"/>
        <v>9415104.617625</v>
      </c>
      <c r="H171" s="13">
        <f t="shared" si="98"/>
        <v>9537846.9576249998</v>
      </c>
      <c r="I171" s="13">
        <f t="shared" si="98"/>
        <v>9652917.9013749994</v>
      </c>
      <c r="J171" s="13">
        <f t="shared" si="98"/>
        <v>9768755.9847500008</v>
      </c>
      <c r="K171" s="13">
        <f t="shared" si="98"/>
        <v>9886128.3473749999</v>
      </c>
      <c r="L171" s="52">
        <f t="shared" si="98"/>
        <v>10005034.989250001</v>
      </c>
    </row>
    <row r="172" spans="1:12">
      <c r="A172" s="51" t="s">
        <v>40</v>
      </c>
      <c r="B172" s="50">
        <f>SUM(B159:B168)</f>
        <v>-25440000</v>
      </c>
      <c r="C172" s="50">
        <f t="shared" ref="C172:L172" si="99">SUM(C159:C169)</f>
        <v>-404481.50763489585</v>
      </c>
      <c r="D172" s="50">
        <f t="shared" si="99"/>
        <v>3107336.309638354</v>
      </c>
      <c r="E172" s="50">
        <f t="shared" si="99"/>
        <v>3460907.3614876252</v>
      </c>
      <c r="F172" s="50">
        <f t="shared" si="99"/>
        <v>146811.5261748638</v>
      </c>
      <c r="G172" s="50">
        <f t="shared" si="99"/>
        <v>3712055.3857188039</v>
      </c>
      <c r="H172" s="50">
        <f t="shared" si="99"/>
        <v>4091207.4818658363</v>
      </c>
      <c r="I172" s="50">
        <f t="shared" si="99"/>
        <v>4506764.9058071859</v>
      </c>
      <c r="J172" s="50">
        <f t="shared" si="99"/>
        <v>4897833.2417143695</v>
      </c>
      <c r="K172" s="50">
        <f t="shared" si="99"/>
        <v>5237962.6372081535</v>
      </c>
      <c r="L172" s="49">
        <f t="shared" si="99"/>
        <v>6581644.4852434592</v>
      </c>
    </row>
    <row r="173" spans="1:12">
      <c r="A173" s="48" t="s">
        <v>41</v>
      </c>
      <c r="B173" s="37">
        <f>SUM(B159:B165)</f>
        <v>-25440000</v>
      </c>
      <c r="C173" s="37">
        <f t="shared" ref="C173:L173" si="100">SUM(C159:C165,C171)</f>
        <v>538689.81361220125</v>
      </c>
      <c r="D173" s="37">
        <f t="shared" si="100"/>
        <v>3866935.217356801</v>
      </c>
      <c r="E173" s="37">
        <f t="shared" si="100"/>
        <v>4025635.2780727996</v>
      </c>
      <c r="F173" s="37">
        <f t="shared" si="100"/>
        <v>472850.02275300026</v>
      </c>
      <c r="G173" s="37">
        <f t="shared" si="100"/>
        <v>3783688.6456189994</v>
      </c>
      <c r="H173" s="37">
        <f t="shared" si="100"/>
        <v>3906345.3338725995</v>
      </c>
      <c r="I173" s="37">
        <f t="shared" si="100"/>
        <v>4022354.7375053996</v>
      </c>
      <c r="J173" s="37">
        <f t="shared" si="100"/>
        <v>4138790.0226240009</v>
      </c>
      <c r="K173" s="37">
        <f t="shared" si="100"/>
        <v>4254541.4090877995</v>
      </c>
      <c r="L173" s="47">
        <f t="shared" si="100"/>
        <v>5328130.5672412002</v>
      </c>
    </row>
    <row r="174" spans="1:12">
      <c r="A174" s="46" t="s">
        <v>42</v>
      </c>
      <c r="B174" s="28">
        <f>SUM(B166:B167)</f>
        <v>0</v>
      </c>
      <c r="C174" s="28">
        <f t="shared" ref="C174:L174" si="101">SUM(C166:C169,C170)</f>
        <v>-943171.32124709617</v>
      </c>
      <c r="D174" s="28">
        <f t="shared" si="101"/>
        <v>-759598.90771844797</v>
      </c>
      <c r="E174" s="28">
        <f t="shared" si="101"/>
        <v>-564727.91658517532</v>
      </c>
      <c r="F174" s="28">
        <f t="shared" si="101"/>
        <v>-326038.49657813646</v>
      </c>
      <c r="G174" s="28">
        <f t="shared" si="101"/>
        <v>-71633.259900195524</v>
      </c>
      <c r="H174" s="28">
        <f t="shared" si="101"/>
        <v>184862.14799323492</v>
      </c>
      <c r="I174" s="28">
        <f t="shared" si="101"/>
        <v>484410.16830178536</v>
      </c>
      <c r="J174" s="28">
        <f t="shared" si="101"/>
        <v>759043.2190903686</v>
      </c>
      <c r="K174" s="28">
        <f t="shared" si="101"/>
        <v>983421.22812035494</v>
      </c>
      <c r="L174" s="27">
        <f t="shared" si="101"/>
        <v>1253513.918002259</v>
      </c>
    </row>
    <row r="175" spans="1:12">
      <c r="A175" s="42" t="s">
        <v>43</v>
      </c>
      <c r="B175" s="45">
        <f t="shared" ref="B175:L175" si="102">B172/1.05^B150</f>
        <v>-25440000</v>
      </c>
      <c r="C175" s="45">
        <f t="shared" si="102"/>
        <v>-385220.48346180556</v>
      </c>
      <c r="D175" s="45">
        <f t="shared" si="102"/>
        <v>2818445.6323250374</v>
      </c>
      <c r="E175" s="45">
        <f t="shared" si="102"/>
        <v>2989661.9038873771</v>
      </c>
      <c r="F175" s="45">
        <f t="shared" si="102"/>
        <v>120782.20591203361</v>
      </c>
      <c r="G175" s="45">
        <f t="shared" si="102"/>
        <v>2908492.5260908511</v>
      </c>
      <c r="H175" s="45">
        <f t="shared" si="102"/>
        <v>3052922.0138032539</v>
      </c>
      <c r="I175" s="45">
        <f t="shared" si="102"/>
        <v>3202873.6778428024</v>
      </c>
      <c r="J175" s="45">
        <f t="shared" si="102"/>
        <v>3315046.3266448504</v>
      </c>
      <c r="K175" s="45">
        <f t="shared" si="102"/>
        <v>3376437.4187600631</v>
      </c>
      <c r="L175" s="44">
        <f t="shared" si="102"/>
        <v>4040558.7795844083</v>
      </c>
    </row>
    <row r="176" spans="1:12">
      <c r="A176" s="42" t="s">
        <v>44</v>
      </c>
      <c r="B176" s="41">
        <f t="shared" ref="B176:L176" si="103">B172/1.06^B150</f>
        <v>-25440000</v>
      </c>
      <c r="C176" s="41">
        <f t="shared" si="103"/>
        <v>-381586.3279574489</v>
      </c>
      <c r="D176" s="41">
        <f t="shared" si="103"/>
        <v>2765518.2535051205</v>
      </c>
      <c r="E176" s="41">
        <f t="shared" si="103"/>
        <v>2905844.5574934548</v>
      </c>
      <c r="F176" s="41">
        <f t="shared" si="103"/>
        <v>116288.47957341239</v>
      </c>
      <c r="G176" s="41">
        <f t="shared" si="103"/>
        <v>2773863.7251098393</v>
      </c>
      <c r="H176" s="41">
        <f t="shared" si="103"/>
        <v>2884139.8374669868</v>
      </c>
      <c r="I176" s="41">
        <f t="shared" si="103"/>
        <v>2997256.0600305661</v>
      </c>
      <c r="J176" s="41">
        <f t="shared" si="103"/>
        <v>3072961.1686208379</v>
      </c>
      <c r="K176" s="41">
        <f t="shared" si="103"/>
        <v>3100342.0369911836</v>
      </c>
      <c r="L176" s="43">
        <f t="shared" si="103"/>
        <v>3675155.9040721371</v>
      </c>
    </row>
    <row r="177" spans="1:12">
      <c r="A177" s="42" t="s">
        <v>45</v>
      </c>
      <c r="B177" s="41">
        <f t="shared" ref="B177:L177" si="104">B172/1.07^B150</f>
        <v>-25440000</v>
      </c>
      <c r="C177" s="41">
        <f t="shared" si="104"/>
        <v>-378020.10059336061</v>
      </c>
      <c r="D177" s="41">
        <f t="shared" si="104"/>
        <v>2714067.8746076985</v>
      </c>
      <c r="E177" s="41">
        <f t="shared" si="104"/>
        <v>2825131.3312982684</v>
      </c>
      <c r="F177" s="41">
        <f t="shared" si="104"/>
        <v>112001.81039219353</v>
      </c>
      <c r="G177" s="41">
        <f t="shared" si="104"/>
        <v>2646644.1874954249</v>
      </c>
      <c r="H177" s="41">
        <f t="shared" si="104"/>
        <v>2726144.2915612357</v>
      </c>
      <c r="I177" s="41">
        <f t="shared" si="104"/>
        <v>2806586.6818259587</v>
      </c>
      <c r="J177" s="41">
        <f t="shared" si="104"/>
        <v>2850583.5393190598</v>
      </c>
      <c r="K177" s="41">
        <f t="shared" si="104"/>
        <v>2849104.6207725648</v>
      </c>
      <c r="L177" s="43">
        <f t="shared" si="104"/>
        <v>3345774.3151558815</v>
      </c>
    </row>
    <row r="178" spans="1:12">
      <c r="A178" s="42" t="s">
        <v>46</v>
      </c>
      <c r="B178" s="41">
        <f t="shared" ref="B178:L178" si="105">B172/1.08^B150</f>
        <v>-25440000</v>
      </c>
      <c r="C178" s="41">
        <f t="shared" si="105"/>
        <v>-374519.91447675542</v>
      </c>
      <c r="D178" s="41">
        <f t="shared" si="105"/>
        <v>2664040.0459862431</v>
      </c>
      <c r="E178" s="41">
        <f t="shared" si="105"/>
        <v>2747379.8467329238</v>
      </c>
      <c r="F178" s="41">
        <f t="shared" si="105"/>
        <v>107910.85447313279</v>
      </c>
      <c r="G178" s="41">
        <f t="shared" si="105"/>
        <v>2526362.5219788649</v>
      </c>
      <c r="H178" s="41">
        <f t="shared" si="105"/>
        <v>2578154.6923487596</v>
      </c>
      <c r="I178" s="41">
        <f t="shared" si="105"/>
        <v>2629654.0362429484</v>
      </c>
      <c r="J178" s="41">
        <f t="shared" si="105"/>
        <v>2646146.9019777183</v>
      </c>
      <c r="K178" s="41">
        <f t="shared" si="105"/>
        <v>2620285.3991365521</v>
      </c>
      <c r="L178" s="40">
        <f t="shared" si="105"/>
        <v>3048574.8664532439</v>
      </c>
    </row>
    <row r="179" spans="1:12">
      <c r="A179" s="39" t="s">
        <v>43</v>
      </c>
      <c r="B179" s="38">
        <f t="shared" ref="B179:L179" si="106">B173/1.05^B150</f>
        <v>-25440000</v>
      </c>
      <c r="C179" s="37">
        <f t="shared" si="106"/>
        <v>513037.91772590595</v>
      </c>
      <c r="D179" s="37">
        <f t="shared" si="106"/>
        <v>3507424.2334302049</v>
      </c>
      <c r="E179" s="37">
        <f t="shared" si="106"/>
        <v>3477495.1111739976</v>
      </c>
      <c r="F179" s="37">
        <f t="shared" si="106"/>
        <v>389014.883924291</v>
      </c>
      <c r="G179" s="37">
        <f t="shared" si="106"/>
        <v>2964619.0596120902</v>
      </c>
      <c r="H179" s="37">
        <f t="shared" si="106"/>
        <v>2914975.0327153816</v>
      </c>
      <c r="I179" s="37">
        <f t="shared" si="106"/>
        <v>2858612.4151055329</v>
      </c>
      <c r="J179" s="37">
        <f t="shared" si="106"/>
        <v>2801295.9984835247</v>
      </c>
      <c r="K179" s="37">
        <f t="shared" si="106"/>
        <v>2742515.3267158265</v>
      </c>
      <c r="L179" s="31">
        <f t="shared" si="106"/>
        <v>3271009.9718250167</v>
      </c>
    </row>
    <row r="180" spans="1:12">
      <c r="A180" s="36" t="s">
        <v>44</v>
      </c>
      <c r="B180" s="35">
        <f t="shared" ref="B180:L180" si="107">B173/1.06^B150</f>
        <v>-25440000</v>
      </c>
      <c r="C180" s="32">
        <f t="shared" si="107"/>
        <v>508197.93737000116</v>
      </c>
      <c r="D180" s="32">
        <f t="shared" si="107"/>
        <v>3441558.5772132436</v>
      </c>
      <c r="E180" s="32">
        <f t="shared" si="107"/>
        <v>3380001.0059250239</v>
      </c>
      <c r="F180" s="32">
        <f t="shared" si="107"/>
        <v>374541.50668460527</v>
      </c>
      <c r="G180" s="32">
        <f t="shared" si="107"/>
        <v>2827392.2640192988</v>
      </c>
      <c r="H180" s="32">
        <f t="shared" si="107"/>
        <v>2753819.3177108355</v>
      </c>
      <c r="I180" s="32">
        <f t="shared" si="107"/>
        <v>2675095.63169047</v>
      </c>
      <c r="J180" s="32">
        <f t="shared" si="107"/>
        <v>2596728.062580416</v>
      </c>
      <c r="K180" s="32">
        <f t="shared" si="107"/>
        <v>2518256.5230639363</v>
      </c>
      <c r="L180" s="31">
        <f t="shared" si="107"/>
        <v>2975200.2794692703</v>
      </c>
    </row>
    <row r="181" spans="1:12">
      <c r="A181" s="36" t="s">
        <v>45</v>
      </c>
      <c r="B181" s="35">
        <f t="shared" ref="B181:L181" si="108">B173/1.07^B150</f>
        <v>-25440000</v>
      </c>
      <c r="C181" s="32">
        <f t="shared" si="108"/>
        <v>503448.42393663665</v>
      </c>
      <c r="D181" s="32">
        <f t="shared" si="108"/>
        <v>3377530.9785630195</v>
      </c>
      <c r="E181" s="32">
        <f t="shared" si="108"/>
        <v>3286117.5306277405</v>
      </c>
      <c r="F181" s="32">
        <f t="shared" si="108"/>
        <v>360735.01837482728</v>
      </c>
      <c r="G181" s="32">
        <f t="shared" si="108"/>
        <v>2697717.7117956257</v>
      </c>
      <c r="H181" s="32">
        <f t="shared" si="108"/>
        <v>2602962.8367679249</v>
      </c>
      <c r="I181" s="32">
        <f t="shared" si="108"/>
        <v>2504920.3745497498</v>
      </c>
      <c r="J181" s="32">
        <f t="shared" si="108"/>
        <v>2408813.4750501099</v>
      </c>
      <c r="K181" s="32">
        <f t="shared" si="108"/>
        <v>2314188.6316243615</v>
      </c>
      <c r="L181" s="31">
        <f t="shared" si="108"/>
        <v>2708551.4022584166</v>
      </c>
    </row>
    <row r="182" spans="1:12">
      <c r="A182" s="34" t="s">
        <v>46</v>
      </c>
      <c r="B182" s="33">
        <f t="shared" ref="B182:L182" si="109">B173/1.08^B150</f>
        <v>-25440000</v>
      </c>
      <c r="C182" s="32">
        <f t="shared" si="109"/>
        <v>498786.86445574189</v>
      </c>
      <c r="D182" s="32">
        <f t="shared" si="109"/>
        <v>3315273.6774320994</v>
      </c>
      <c r="E182" s="32">
        <f t="shared" si="109"/>
        <v>3195679.0743223839</v>
      </c>
      <c r="F182" s="32">
        <f t="shared" si="109"/>
        <v>347558.88261893735</v>
      </c>
      <c r="G182" s="32">
        <f t="shared" si="109"/>
        <v>2575114.9150156896</v>
      </c>
      <c r="H182" s="32">
        <f t="shared" si="109"/>
        <v>2461660.1815230525</v>
      </c>
      <c r="I182" s="32">
        <f t="shared" si="109"/>
        <v>2347005.3556715422</v>
      </c>
      <c r="J182" s="32">
        <f t="shared" si="109"/>
        <v>2236059.4687109762</v>
      </c>
      <c r="K182" s="32">
        <f t="shared" si="109"/>
        <v>2128329.9455141937</v>
      </c>
      <c r="L182" s="31">
        <f t="shared" si="109"/>
        <v>2467955.382411079</v>
      </c>
    </row>
    <row r="183" spans="1:12">
      <c r="A183" s="30" t="s">
        <v>43</v>
      </c>
      <c r="B183" s="29">
        <f t="shared" ref="B183:L183" si="110">B174/1.05^B150</f>
        <v>0</v>
      </c>
      <c r="C183" s="28">
        <f t="shared" si="110"/>
        <v>-898258.40118771058</v>
      </c>
      <c r="D183" s="28">
        <f t="shared" si="110"/>
        <v>-688978.60110516823</v>
      </c>
      <c r="E183" s="28">
        <f t="shared" si="110"/>
        <v>-487833.20728662156</v>
      </c>
      <c r="F183" s="28">
        <f t="shared" si="110"/>
        <v>-268232.67801225738</v>
      </c>
      <c r="G183" s="28">
        <f t="shared" si="110"/>
        <v>-56126.533521238984</v>
      </c>
      <c r="H183" s="28">
        <f t="shared" si="110"/>
        <v>137946.98108787075</v>
      </c>
      <c r="I183" s="28">
        <f t="shared" si="110"/>
        <v>344261.26273726881</v>
      </c>
      <c r="J183" s="28">
        <f t="shared" si="110"/>
        <v>513750.32816132612</v>
      </c>
      <c r="K183" s="28">
        <f t="shared" si="110"/>
        <v>633922.09204423719</v>
      </c>
      <c r="L183" s="27">
        <f t="shared" si="110"/>
        <v>769548.80775939138</v>
      </c>
    </row>
    <row r="184" spans="1:12">
      <c r="A184" s="24" t="s">
        <v>44</v>
      </c>
      <c r="B184" s="26">
        <f t="shared" ref="B184:L184" si="111">B174/1.06^B150</f>
        <v>0</v>
      </c>
      <c r="C184" s="22">
        <f t="shared" si="111"/>
        <v>-889784.26532744919</v>
      </c>
      <c r="D184" s="22">
        <f t="shared" si="111"/>
        <v>-676040.32370812376</v>
      </c>
      <c r="E184" s="22">
        <f t="shared" si="111"/>
        <v>-474156.44843157032</v>
      </c>
      <c r="F184" s="22">
        <f t="shared" si="111"/>
        <v>-258253.02711119287</v>
      </c>
      <c r="G184" s="22">
        <f t="shared" si="111"/>
        <v>-53528.538909459487</v>
      </c>
      <c r="H184" s="22">
        <f t="shared" si="111"/>
        <v>130320.5197561503</v>
      </c>
      <c r="I184" s="22">
        <f t="shared" si="111"/>
        <v>322160.42834009539</v>
      </c>
      <c r="J184" s="22">
        <f t="shared" si="111"/>
        <v>476233.1060404217</v>
      </c>
      <c r="K184" s="22">
        <f t="shared" si="111"/>
        <v>582085.51392724831</v>
      </c>
      <c r="L184" s="25">
        <f t="shared" si="111"/>
        <v>699955.62460286682</v>
      </c>
    </row>
    <row r="185" spans="1:12">
      <c r="A185" s="24" t="s">
        <v>45</v>
      </c>
      <c r="B185" s="26">
        <f t="shared" ref="B185:L185" si="112">B174/1.07^B150</f>
        <v>0</v>
      </c>
      <c r="C185" s="22">
        <f t="shared" si="112"/>
        <v>-881468.52452999633</v>
      </c>
      <c r="D185" s="22">
        <f t="shared" si="112"/>
        <v>-663463.10395532183</v>
      </c>
      <c r="E185" s="22">
        <f t="shared" si="112"/>
        <v>-460986.19932947273</v>
      </c>
      <c r="F185" s="22">
        <f t="shared" si="112"/>
        <v>-248733.20798263373</v>
      </c>
      <c r="G185" s="22">
        <f t="shared" si="112"/>
        <v>-51073.524300201068</v>
      </c>
      <c r="H185" s="22">
        <f t="shared" si="112"/>
        <v>123181.4547933094</v>
      </c>
      <c r="I185" s="22">
        <f t="shared" si="112"/>
        <v>301666.30727620819</v>
      </c>
      <c r="J185" s="22">
        <f t="shared" si="112"/>
        <v>441770.06426894973</v>
      </c>
      <c r="K185" s="22">
        <f t="shared" si="112"/>
        <v>534915.98914820387</v>
      </c>
      <c r="L185" s="25">
        <f t="shared" si="112"/>
        <v>637222.91289746505</v>
      </c>
    </row>
    <row r="186" spans="1:12" ht="15.75" thickBot="1">
      <c r="A186" s="24" t="s">
        <v>46</v>
      </c>
      <c r="B186" s="23">
        <f t="shared" ref="B186:L186" si="113">B174/1.08^B150</f>
        <v>0</v>
      </c>
      <c r="C186" s="22">
        <f t="shared" si="113"/>
        <v>-873306.77893249644</v>
      </c>
      <c r="D186" s="22">
        <f t="shared" si="113"/>
        <v>-651233.63144585723</v>
      </c>
      <c r="E186" s="22">
        <f t="shared" si="113"/>
        <v>-448299.22758946114</v>
      </c>
      <c r="F186" s="22">
        <f t="shared" si="113"/>
        <v>-239648.02814580456</v>
      </c>
      <c r="G186" s="21">
        <f t="shared" si="113"/>
        <v>-48752.393036824811</v>
      </c>
      <c r="H186" s="21">
        <f t="shared" si="113"/>
        <v>116494.51082570611</v>
      </c>
      <c r="I186" s="21">
        <f t="shared" si="113"/>
        <v>282648.68057140551</v>
      </c>
      <c r="J186" s="21">
        <f t="shared" si="113"/>
        <v>410087.43326674221</v>
      </c>
      <c r="K186" s="21">
        <f t="shared" si="113"/>
        <v>491955.4536223585</v>
      </c>
      <c r="L186" s="20">
        <f t="shared" si="113"/>
        <v>580619.48404216522</v>
      </c>
    </row>
    <row r="187" spans="1:12">
      <c r="A187" s="19" t="s">
        <v>47</v>
      </c>
      <c r="B187" s="18">
        <f>SUM(B175:L175)</f>
        <v>1.3888743706047535E-3</v>
      </c>
      <c r="C187" s="17" t="s">
        <v>47</v>
      </c>
      <c r="D187" s="16">
        <f>SUM(B179:L179)</f>
        <v>-4.9288225825875998E-2</v>
      </c>
      <c r="E187" s="15" t="s">
        <v>47</v>
      </c>
      <c r="F187" s="14">
        <f>SUM(B183:L183)</f>
        <v>5.0677097286097705E-2</v>
      </c>
      <c r="G187" s="13"/>
    </row>
    <row r="188" spans="1:12">
      <c r="A188" s="12" t="s">
        <v>48</v>
      </c>
      <c r="B188" s="11">
        <f>SUM(B176:L176)</f>
        <v>-1530216.3050939064</v>
      </c>
      <c r="C188" s="10" t="s">
        <v>48</v>
      </c>
      <c r="D188" s="9">
        <f>SUM(B180:L180)</f>
        <v>-1389208.8942729002</v>
      </c>
      <c r="E188" s="8" t="s">
        <v>48</v>
      </c>
      <c r="F188" s="7">
        <f>SUM(B184:L184)</f>
        <v>-141007.41082101315</v>
      </c>
    </row>
    <row r="189" spans="1:12">
      <c r="A189" s="12" t="s">
        <v>49</v>
      </c>
      <c r="B189" s="11">
        <f>SUM(B177:L177)</f>
        <v>-2941981.4481650768</v>
      </c>
      <c r="C189" s="10" t="s">
        <v>49</v>
      </c>
      <c r="D189" s="9">
        <f>SUM(B181:L181)</f>
        <v>-2675013.6164515875</v>
      </c>
      <c r="E189" s="8" t="s">
        <v>49</v>
      </c>
      <c r="F189" s="7">
        <f>SUM(B185:L185)</f>
        <v>-266967.83171348937</v>
      </c>
    </row>
    <row r="190" spans="1:12" ht="15.75" thickBot="1">
      <c r="A190" s="6" t="s">
        <v>50</v>
      </c>
      <c r="B190" s="5">
        <f>SUM(B178:L178)</f>
        <v>-4246010.7491463665</v>
      </c>
      <c r="C190" s="4" t="s">
        <v>50</v>
      </c>
      <c r="D190" s="3">
        <f>SUM(B182:L182)</f>
        <v>-3866576.2523243031</v>
      </c>
      <c r="E190" s="2" t="s">
        <v>50</v>
      </c>
      <c r="F190" s="1">
        <f>SUM(B186:L186)</f>
        <v>-379434.49682206637</v>
      </c>
    </row>
  </sheetData>
  <mergeCells count="8">
    <mergeCell ref="M1:O2"/>
    <mergeCell ref="A17:L18"/>
    <mergeCell ref="A59:L60"/>
    <mergeCell ref="A101:L102"/>
    <mergeCell ref="A147:L148"/>
    <mergeCell ref="A1:C2"/>
    <mergeCell ref="E1:G2"/>
    <mergeCell ref="I1:K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0CD6-D311-4A52-AB42-51C2026CF7A0}">
  <dimension ref="B2:Q21"/>
  <sheetViews>
    <sheetView tabSelected="1" zoomScale="85" zoomScaleNormal="85" workbookViewId="0">
      <selection activeCell="D3" sqref="D3"/>
    </sheetView>
  </sheetViews>
  <sheetFormatPr defaultRowHeight="15"/>
  <cols>
    <col min="2" max="2" width="38.42578125" bestFit="1" customWidth="1"/>
    <col min="3" max="4" width="16.5703125" bestFit="1" customWidth="1"/>
    <col min="5" max="5" width="16.7109375" bestFit="1" customWidth="1"/>
    <col min="6" max="6" width="38.42578125" bestFit="1" customWidth="1"/>
    <col min="7" max="7" width="15" bestFit="1" customWidth="1"/>
    <col min="8" max="8" width="15.7109375" bestFit="1" customWidth="1"/>
    <col min="9" max="9" width="11.85546875" bestFit="1" customWidth="1"/>
    <col min="10" max="10" width="12.140625" bestFit="1" customWidth="1"/>
    <col min="13" max="13" width="38.42578125" bestFit="1" customWidth="1"/>
    <col min="14" max="14" width="15" bestFit="1" customWidth="1"/>
    <col min="15" max="15" width="15.7109375" bestFit="1" customWidth="1"/>
    <col min="16" max="16" width="11.85546875" bestFit="1" customWidth="1"/>
    <col min="17" max="17" width="12.140625" bestFit="1" customWidth="1"/>
  </cols>
  <sheetData>
    <row r="2" spans="2:17" ht="26.25">
      <c r="B2" s="120" t="s">
        <v>63</v>
      </c>
    </row>
    <row r="5" spans="2:17">
      <c r="D5" s="119"/>
      <c r="E5" s="119"/>
      <c r="M5" t="s">
        <v>64</v>
      </c>
    </row>
    <row r="6" spans="2:17">
      <c r="F6" s="119"/>
    </row>
    <row r="7" spans="2:17" ht="15.75" thickBot="1">
      <c r="B7" s="121"/>
      <c r="C7" s="65" t="s">
        <v>65</v>
      </c>
      <c r="D7" s="122">
        <v>-0.1</v>
      </c>
      <c r="E7" s="122">
        <v>0.1</v>
      </c>
      <c r="F7" s="122"/>
      <c r="G7" s="65" t="s">
        <v>66</v>
      </c>
      <c r="H7" s="65" t="s">
        <v>67</v>
      </c>
      <c r="I7" s="65" t="s">
        <v>68</v>
      </c>
      <c r="J7" s="65" t="s">
        <v>69</v>
      </c>
      <c r="K7" s="64"/>
      <c r="M7" s="119" t="s">
        <v>70</v>
      </c>
      <c r="N7" t="s">
        <v>66</v>
      </c>
      <c r="O7" t="s">
        <v>67</v>
      </c>
      <c r="P7" t="s">
        <v>68</v>
      </c>
      <c r="Q7" t="s">
        <v>69</v>
      </c>
    </row>
    <row r="8" spans="2:17" ht="15.75" thickBot="1">
      <c r="B8" s="54" t="s">
        <v>71</v>
      </c>
      <c r="C8" s="18">
        <v>-80774882.632154047</v>
      </c>
      <c r="D8" s="18">
        <v>-76742054.347431615</v>
      </c>
      <c r="E8" s="18">
        <v>-84807710.916876495</v>
      </c>
      <c r="F8" t="s">
        <v>71</v>
      </c>
      <c r="G8" s="18">
        <f>D8-C8</f>
        <v>4032828.2847224325</v>
      </c>
      <c r="H8" s="18">
        <f>E8-C8</f>
        <v>-4032828.2847224474</v>
      </c>
      <c r="I8" s="123">
        <f>100-100/C8*D8</f>
        <v>4.9926761306330718</v>
      </c>
      <c r="J8" s="123">
        <f>100-100/C8*E8</f>
        <v>-4.992676130633086</v>
      </c>
      <c r="K8" s="124"/>
      <c r="M8" t="s">
        <v>72</v>
      </c>
      <c r="N8" s="18">
        <v>32163357.135977365</v>
      </c>
      <c r="O8" s="18">
        <v>-65154596.33804518</v>
      </c>
      <c r="P8" s="97">
        <v>39.818512993015602</v>
      </c>
      <c r="Q8" s="97">
        <v>-80.661951110169895</v>
      </c>
    </row>
    <row r="9" spans="2:17" ht="15.75" thickBot="1">
      <c r="B9" s="54" t="s">
        <v>73</v>
      </c>
      <c r="C9" s="18">
        <v>-80774882.632154047</v>
      </c>
      <c r="D9" s="18">
        <v>-75095370.805915564</v>
      </c>
      <c r="E9" s="18">
        <v>-89721073.105154142</v>
      </c>
      <c r="F9" t="s">
        <v>73</v>
      </c>
      <c r="G9" s="18">
        <f t="shared" ref="G9:G19" si="0">D9-C9</f>
        <v>5679511.8262384832</v>
      </c>
      <c r="H9" s="18">
        <f t="shared" ref="H9:H19" si="1">E9-C9</f>
        <v>-8946190.4730000943</v>
      </c>
      <c r="I9" s="123">
        <f t="shared" ref="I9:I19" si="2">100-100/C9*D9</f>
        <v>7.0312845295025426</v>
      </c>
      <c r="J9" s="123">
        <f t="shared" ref="J9:J19" si="3">100-100/C9*E9</f>
        <v>-11.07546081340746</v>
      </c>
      <c r="K9" s="124"/>
      <c r="M9" t="s">
        <v>73</v>
      </c>
      <c r="N9" s="18">
        <v>5679511.8262384832</v>
      </c>
      <c r="O9" s="18">
        <v>-8946190.4730000943</v>
      </c>
      <c r="P9" s="97">
        <v>7.0312845295025399</v>
      </c>
      <c r="Q9" s="97">
        <v>-11.075460813407499</v>
      </c>
    </row>
    <row r="10" spans="2:17" ht="15.75" thickBot="1">
      <c r="B10" s="54" t="s">
        <v>74</v>
      </c>
      <c r="C10" s="18">
        <v>-80774882.632154047</v>
      </c>
      <c r="D10" s="18">
        <v>-77296760.75180544</v>
      </c>
      <c r="E10" s="18">
        <v>-84253004.51250267</v>
      </c>
      <c r="F10" s="54" t="s">
        <v>74</v>
      </c>
      <c r="G10" s="18">
        <f t="shared" si="0"/>
        <v>3478121.8803486079</v>
      </c>
      <c r="H10" s="18">
        <f t="shared" si="1"/>
        <v>-3478121.8803486228</v>
      </c>
      <c r="I10" s="123">
        <f t="shared" si="2"/>
        <v>4.3059448271659591</v>
      </c>
      <c r="J10" s="123">
        <f t="shared" si="3"/>
        <v>-4.3059448271659733</v>
      </c>
      <c r="K10" s="124"/>
      <c r="M10" s="54" t="s">
        <v>71</v>
      </c>
      <c r="N10" s="18">
        <v>4032828.2847224325</v>
      </c>
      <c r="O10" s="18">
        <v>-4032828.2847224474</v>
      </c>
      <c r="P10" s="97">
        <v>4.99267613063307</v>
      </c>
      <c r="Q10" s="97">
        <v>-4.9926761306330896</v>
      </c>
    </row>
    <row r="11" spans="2:17" ht="15.75" thickBot="1">
      <c r="B11" s="54" t="s">
        <v>75</v>
      </c>
      <c r="C11" s="18">
        <v>-80774882.632154047</v>
      </c>
      <c r="D11" s="18">
        <v>-79203430.1903366</v>
      </c>
      <c r="E11" s="18">
        <v>-82346335.07397151</v>
      </c>
      <c r="F11" s="54" t="s">
        <v>75</v>
      </c>
      <c r="G11" s="18">
        <f t="shared" si="0"/>
        <v>1571452.4418174475</v>
      </c>
      <c r="H11" s="18">
        <f t="shared" si="1"/>
        <v>-1571452.4418174624</v>
      </c>
      <c r="I11" s="123">
        <f t="shared" si="2"/>
        <v>1.9454716498614886</v>
      </c>
      <c r="J11" s="123">
        <f t="shared" si="3"/>
        <v>-1.9454716498615028</v>
      </c>
      <c r="K11" s="124"/>
      <c r="M11" s="54" t="s">
        <v>74</v>
      </c>
      <c r="N11" s="18">
        <v>3478121.8803486079</v>
      </c>
      <c r="O11" s="18">
        <v>-3478121.8803486228</v>
      </c>
      <c r="P11" s="97">
        <v>4.3059448271659502</v>
      </c>
      <c r="Q11" s="97">
        <v>-4.3059448271659697</v>
      </c>
    </row>
    <row r="12" spans="2:17" ht="15.75" thickBot="1">
      <c r="B12" s="54" t="s">
        <v>76</v>
      </c>
      <c r="C12" s="18">
        <v>-80774882.632154047</v>
      </c>
      <c r="D12" s="18">
        <v>-80507575.833767995</v>
      </c>
      <c r="E12" s="18">
        <v>-81042189.430540115</v>
      </c>
      <c r="F12" s="54" t="s">
        <v>76</v>
      </c>
      <c r="G12" s="18">
        <f t="shared" si="0"/>
        <v>267306.79838605225</v>
      </c>
      <c r="H12" s="18">
        <f t="shared" si="1"/>
        <v>-267306.79838606715</v>
      </c>
      <c r="I12" s="123">
        <f t="shared" si="2"/>
        <v>0.33092811734974248</v>
      </c>
      <c r="J12" s="123">
        <f t="shared" si="3"/>
        <v>-0.33092811734975669</v>
      </c>
      <c r="K12" s="124"/>
      <c r="M12" s="54" t="s">
        <v>77</v>
      </c>
      <c r="N12" s="18">
        <v>1609673.3555738628</v>
      </c>
      <c r="O12" s="18">
        <v>-1609673.3555738628</v>
      </c>
      <c r="P12" s="97">
        <v>1.9927894700933899</v>
      </c>
      <c r="Q12" s="97">
        <v>-1.9927894700933899</v>
      </c>
    </row>
    <row r="13" spans="2:17" ht="15.75" thickBot="1">
      <c r="B13" s="54" t="s">
        <v>78</v>
      </c>
      <c r="C13" s="18">
        <v>-80774882.632154047</v>
      </c>
      <c r="D13" s="18">
        <v>-48611525.496176682</v>
      </c>
      <c r="E13" s="18">
        <v>-145929478.97019923</v>
      </c>
      <c r="F13" s="54" t="s">
        <v>72</v>
      </c>
      <c r="G13" s="18">
        <f t="shared" si="0"/>
        <v>32163357.135977365</v>
      </c>
      <c r="H13" s="18">
        <f t="shared" si="1"/>
        <v>-65154596.33804518</v>
      </c>
      <c r="I13" s="123">
        <f t="shared" si="2"/>
        <v>39.818512993015609</v>
      </c>
      <c r="J13" s="123">
        <f t="shared" si="3"/>
        <v>-80.661951110169838</v>
      </c>
      <c r="K13" s="124"/>
      <c r="M13" s="54" t="s">
        <v>75</v>
      </c>
      <c r="N13" s="18">
        <v>1571452.4418174475</v>
      </c>
      <c r="O13" s="18">
        <v>-1571452.4418174624</v>
      </c>
      <c r="P13" s="97">
        <v>1.9454716498614899</v>
      </c>
      <c r="Q13" s="97">
        <v>-1.9454716498615101</v>
      </c>
    </row>
    <row r="14" spans="2:17" ht="15.75" thickBot="1">
      <c r="B14" s="54" t="s">
        <v>79</v>
      </c>
      <c r="C14" s="18">
        <v>-80774882.632154047</v>
      </c>
      <c r="D14" s="18">
        <v>-80507575.833767995</v>
      </c>
      <c r="E14" s="18">
        <v>-81042189.430540115</v>
      </c>
      <c r="F14" s="54" t="s">
        <v>79</v>
      </c>
      <c r="G14" s="18">
        <f t="shared" si="0"/>
        <v>267306.79838605225</v>
      </c>
      <c r="H14" s="18">
        <f t="shared" si="1"/>
        <v>-267306.79838606715</v>
      </c>
      <c r="I14" s="123">
        <f t="shared" si="2"/>
        <v>0.33092811734974248</v>
      </c>
      <c r="J14" s="123">
        <f t="shared" si="3"/>
        <v>-0.33092811734975669</v>
      </c>
      <c r="K14" s="124"/>
      <c r="M14" s="54" t="s">
        <v>80</v>
      </c>
      <c r="N14" s="18">
        <v>1106191.95333305</v>
      </c>
      <c r="O14" s="18">
        <v>-1106191.95333305</v>
      </c>
      <c r="P14" s="97">
        <v>1.3694751602061901</v>
      </c>
      <c r="Q14" s="97">
        <v>-1.3694751602061901</v>
      </c>
    </row>
    <row r="15" spans="2:17" ht="15.75" thickBot="1">
      <c r="B15" s="54" t="s">
        <v>81</v>
      </c>
      <c r="C15" s="18">
        <v>-80774882.632154047</v>
      </c>
      <c r="D15" s="18">
        <v>-79165209.276580185</v>
      </c>
      <c r="E15" s="18">
        <v>-82384555.98772791</v>
      </c>
      <c r="F15" s="54" t="s">
        <v>81</v>
      </c>
      <c r="G15" s="18">
        <f t="shared" si="0"/>
        <v>1609673.3555738628</v>
      </c>
      <c r="H15" s="18">
        <f t="shared" si="1"/>
        <v>-1609673.3555738628</v>
      </c>
      <c r="I15" s="123">
        <f t="shared" si="2"/>
        <v>1.992789470093399</v>
      </c>
      <c r="J15" s="123">
        <f t="shared" si="3"/>
        <v>-1.9927894700933848</v>
      </c>
      <c r="K15" s="124"/>
      <c r="M15" s="54" t="s">
        <v>82</v>
      </c>
      <c r="N15" s="18">
        <v>503481.40224081278</v>
      </c>
      <c r="O15" s="18">
        <v>-503481.40224079788</v>
      </c>
      <c r="P15" s="97">
        <v>0.62331430988720704</v>
      </c>
      <c r="Q15" s="97">
        <v>-0.62331430988718906</v>
      </c>
    </row>
    <row r="16" spans="2:17" ht="15.75" thickBot="1">
      <c r="B16" s="110" t="s">
        <v>83</v>
      </c>
      <c r="C16" s="18">
        <v>-80774882.632154047</v>
      </c>
      <c r="D16" s="18">
        <v>-80271401.229913235</v>
      </c>
      <c r="E16" s="18">
        <v>-81278364.034394845</v>
      </c>
      <c r="F16" s="110" t="s">
        <v>82</v>
      </c>
      <c r="G16" s="18">
        <f t="shared" si="0"/>
        <v>503481.40224081278</v>
      </c>
      <c r="H16" s="18">
        <f t="shared" si="1"/>
        <v>-503481.40224079788</v>
      </c>
      <c r="I16" s="123">
        <f t="shared" si="2"/>
        <v>0.62331430988720626</v>
      </c>
      <c r="J16" s="123">
        <f t="shared" si="3"/>
        <v>-0.62331430988719205</v>
      </c>
      <c r="K16" s="124"/>
      <c r="M16" s="110" t="s">
        <v>76</v>
      </c>
      <c r="N16" s="18">
        <v>267306.79838605225</v>
      </c>
      <c r="O16" s="18">
        <v>-267306.79838606715</v>
      </c>
      <c r="P16" s="97">
        <v>0.33092811734974298</v>
      </c>
      <c r="Q16" s="97">
        <v>-0.33092811734976202</v>
      </c>
    </row>
    <row r="17" spans="2:17" ht="15.75" thickBot="1">
      <c r="B17" s="110" t="s">
        <v>80</v>
      </c>
      <c r="C17" s="18">
        <v>-80774882.632154003</v>
      </c>
      <c r="D17" s="18">
        <v>-79668690.678820997</v>
      </c>
      <c r="E17" s="18">
        <v>-81881074.585487098</v>
      </c>
      <c r="F17" s="110" t="s">
        <v>80</v>
      </c>
      <c r="G17" s="18">
        <f t="shared" si="0"/>
        <v>1106191.9533330053</v>
      </c>
      <c r="H17" s="18">
        <f t="shared" si="1"/>
        <v>-1106191.9533330947</v>
      </c>
      <c r="I17" s="123">
        <f t="shared" si="2"/>
        <v>1.3694751602061359</v>
      </c>
      <c r="J17" s="123">
        <f t="shared" si="3"/>
        <v>-1.3694751602062354</v>
      </c>
      <c r="K17" s="124"/>
      <c r="M17" s="110" t="s">
        <v>79</v>
      </c>
      <c r="N17" s="18">
        <v>267306.79838605202</v>
      </c>
      <c r="O17" s="18">
        <v>-267306.79838606715</v>
      </c>
      <c r="P17" s="97">
        <v>0.33092811734974298</v>
      </c>
      <c r="Q17" s="97">
        <v>-0.33092811734976202</v>
      </c>
    </row>
    <row r="18" spans="2:17" ht="15.75" thickBot="1">
      <c r="B18" s="54" t="s">
        <v>84</v>
      </c>
      <c r="C18" s="18">
        <v>-80774882.632154047</v>
      </c>
      <c r="D18" s="18">
        <v>-82085324.687969625</v>
      </c>
      <c r="E18" s="18">
        <v>-79464440.576338485</v>
      </c>
      <c r="F18" s="54" t="s">
        <v>84</v>
      </c>
      <c r="G18" s="18">
        <f t="shared" si="0"/>
        <v>-1310442.0558155775</v>
      </c>
      <c r="H18" s="18">
        <f t="shared" si="1"/>
        <v>1310442.0558155626</v>
      </c>
      <c r="I18" s="123">
        <f t="shared" si="2"/>
        <v>-1.6223385452421866</v>
      </c>
      <c r="J18" s="123">
        <f t="shared" si="3"/>
        <v>1.6223385452421724</v>
      </c>
      <c r="K18" s="124"/>
      <c r="M18" s="54" t="s">
        <v>84</v>
      </c>
      <c r="N18" s="18">
        <v>-1310442.0558155775</v>
      </c>
      <c r="O18" s="18">
        <v>1310442.0558155626</v>
      </c>
      <c r="P18" s="97">
        <v>-1.6223385452421899</v>
      </c>
      <c r="Q18" s="97">
        <v>1.6223385452421799</v>
      </c>
    </row>
    <row r="19" spans="2:17">
      <c r="B19" s="104" t="s">
        <v>85</v>
      </c>
      <c r="C19" s="125">
        <v>-80774882.632154047</v>
      </c>
      <c r="D19" s="125">
        <v>-82151119.618728846</v>
      </c>
      <c r="E19" s="125">
        <v>-79446476.750871569</v>
      </c>
      <c r="F19" s="104" t="s">
        <v>85</v>
      </c>
      <c r="G19" s="125">
        <f t="shared" si="0"/>
        <v>-1376236.9865747988</v>
      </c>
      <c r="H19" s="125">
        <f t="shared" si="1"/>
        <v>1328405.8812824786</v>
      </c>
      <c r="I19" s="126">
        <f t="shared" si="2"/>
        <v>-1.7037932358777113</v>
      </c>
      <c r="J19" s="126">
        <f t="shared" si="3"/>
        <v>1.6445779158008804</v>
      </c>
      <c r="K19" s="127"/>
      <c r="L19" s="59"/>
      <c r="M19" s="54" t="s">
        <v>86</v>
      </c>
      <c r="N19" s="18">
        <v>-1376236.9865747988</v>
      </c>
      <c r="O19" s="18">
        <v>1328405.8812824786</v>
      </c>
      <c r="P19" s="97">
        <v>-1.7037932358777099</v>
      </c>
      <c r="Q19" s="97">
        <v>1.64457791580087</v>
      </c>
    </row>
    <row r="21" spans="2:17">
      <c r="C21" s="13"/>
      <c r="D21" s="13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f73c37-3b70-45e7-bd3b-b0bd1fc56326">
      <Terms xmlns="http://schemas.microsoft.com/office/infopath/2007/PartnerControls"/>
    </lcf76f155ced4ddcb4097134ff3c332f>
    <TaxCatchAll xmlns="3ab3e476-11d1-458f-9d5a-7a72ccf4f4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B48555BD07C34E9AA6A433F04E9F38" ma:contentTypeVersion="11" ma:contentTypeDescription="Ein neues Dokument erstellen." ma:contentTypeScope="" ma:versionID="41bee256e8d29b8837d1275d5e8af23a">
  <xsd:schema xmlns:xsd="http://www.w3.org/2001/XMLSchema" xmlns:xs="http://www.w3.org/2001/XMLSchema" xmlns:p="http://schemas.microsoft.com/office/2006/metadata/properties" xmlns:ns2="a3f73c37-3b70-45e7-bd3b-b0bd1fc56326" xmlns:ns3="3ab3e476-11d1-458f-9d5a-7a72ccf4f44b" targetNamespace="http://schemas.microsoft.com/office/2006/metadata/properties" ma:root="true" ma:fieldsID="1ca68e9c55580c2f2e666286bc502f08" ns2:_="" ns3:_="">
    <xsd:import namespace="a3f73c37-3b70-45e7-bd3b-b0bd1fc56326"/>
    <xsd:import namespace="3ab3e476-11d1-458f-9d5a-7a72ccf4f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73c37-3b70-45e7-bd3b-b0bd1fc56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3e476-11d1-458f-9d5a-7a72ccf4f4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05ad0e-0332-494c-a5bd-7ee8cc3b6e58}" ma:internalName="TaxCatchAll" ma:showField="CatchAllData" ma:web="3ab3e476-11d1-458f-9d5a-7a72ccf4f4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F0F40-CF8F-40C3-A914-F26956C48D85}"/>
</file>

<file path=customXml/itemProps2.xml><?xml version="1.0" encoding="utf-8"?>
<ds:datastoreItem xmlns:ds="http://schemas.openxmlformats.org/officeDocument/2006/customXml" ds:itemID="{8167D095-0A9E-4274-B37D-F34BBBF0F827}"/>
</file>

<file path=customXml/itemProps3.xml><?xml version="1.0" encoding="utf-8"?>
<ds:datastoreItem xmlns:ds="http://schemas.openxmlformats.org/officeDocument/2006/customXml" ds:itemID="{D80729AF-35AA-4D68-973A-BF70FD409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Guffanti Valerio (guffaval)</dc:creator>
  <cp:keywords/>
  <dc:description/>
  <cp:lastModifiedBy>Kühne Luca Robin (kuehnlu2)</cp:lastModifiedBy>
  <cp:revision/>
  <dcterms:created xsi:type="dcterms:W3CDTF">2025-06-05T14:00:54Z</dcterms:created>
  <dcterms:modified xsi:type="dcterms:W3CDTF">2025-06-06T07:07:57Z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0x010100ECB48555BD07C34E9AA6A433F04E9F38</vt:lpwstr>
  </property>
  <property fmtid="{D5CDD505-2E9C-101B-9397-08002B2CF9AE}" pid="3" name="MediaServiceImageTags">
    <vt:lpwstr/>
  </property>
</Properties>
</file>