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0954659\PycharmProjects\DrinDrin---Mix-energetico\dati_casoStudioItalia\"/>
    </mc:Choice>
  </mc:AlternateContent>
  <xr:revisionPtr revIDLastSave="0" documentId="13_ncr:1_{1A08D224-1818-4F22-8512-699BE7D050EF}" xr6:coauthVersionLast="47" xr6:coauthVersionMax="47" xr10:uidLastSave="{00000000-0000-0000-0000-000000000000}"/>
  <bookViews>
    <workbookView xWindow="-108" yWindow="-108" windowWidth="23256" windowHeight="12456" tabRatio="797" activeTab="3" xr2:uid="{B845255D-815F-49EA-8438-49CAB31B3547}"/>
  </bookViews>
  <sheets>
    <sheet name="discount_rate" sheetId="7" r:id="rId1"/>
    <sheet name="OPEX" sheetId="6" r:id="rId2"/>
    <sheet name="CAPEX" sheetId="1" r:id="rId3"/>
    <sheet name="Fuel_cost" sheetId="5" r:id="rId4"/>
    <sheet name="Transmission_abroad" sheetId="4" r:id="rId5"/>
    <sheet name="raw_data_commodity" sheetId="2" r:id="rId6"/>
    <sheet name="raw_data_tech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8" i="6"/>
  <c r="B7" i="6"/>
  <c r="B6" i="6"/>
  <c r="B9" i="6"/>
  <c r="B3" i="6"/>
  <c r="B5" i="1"/>
  <c r="I19" i="3"/>
  <c r="I18" i="3"/>
  <c r="I22" i="3"/>
  <c r="I25" i="3"/>
  <c r="D34" i="3"/>
  <c r="I34" i="3" s="1"/>
  <c r="D33" i="3"/>
  <c r="I33" i="3" s="1"/>
  <c r="I11" i="3" l="1"/>
  <c r="I8" i="3"/>
  <c r="I5" i="3"/>
  <c r="I4" i="3"/>
  <c r="I24" i="3"/>
  <c r="I23" i="3"/>
  <c r="I21" i="3"/>
  <c r="I20" i="3"/>
  <c r="G17" i="2" l="1"/>
  <c r="G18" i="2"/>
  <c r="G16" i="2"/>
  <c r="I32" i="3"/>
  <c r="I31" i="3"/>
  <c r="I30" i="3"/>
  <c r="I26" i="3" l="1"/>
  <c r="I27" i="3"/>
  <c r="I28" i="3"/>
  <c r="I29" i="3"/>
  <c r="I14" i="3"/>
  <c r="I15" i="3"/>
  <c r="I16" i="3"/>
  <c r="I17" i="3"/>
  <c r="I13" i="3"/>
  <c r="I3" i="3"/>
  <c r="I6" i="3"/>
  <c r="I7" i="3"/>
  <c r="I9" i="3"/>
  <c r="I10" i="3"/>
  <c r="I12" i="3"/>
  <c r="I2" i="3"/>
  <c r="G2" i="2"/>
  <c r="G3" i="2"/>
  <c r="G4" i="2"/>
  <c r="G5" i="2"/>
  <c r="G6" i="2"/>
  <c r="G7" i="2"/>
  <c r="G8" i="2"/>
  <c r="M5" i="2" l="1"/>
  <c r="G10" i="2" l="1"/>
  <c r="G13" i="2"/>
  <c r="G11" i="2"/>
  <c r="G14" i="2"/>
  <c r="G15" i="2"/>
  <c r="G9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B4" authorId="0" shapeId="0" xr:uid="{BA01F196-2495-4430-832C-D7D0131A597F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Valore proposto da Lorenzo, non dato IAEA</t>
        </r>
      </text>
    </comment>
    <comment ref="A7" authorId="0" shapeId="0" xr:uid="{6042687D-A9B5-4779-9A54-E22AF9FBB252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Tutti I tipi</t>
        </r>
      </text>
    </comment>
    <comment ref="A9" authorId="0" shapeId="0" xr:uid="{ACE5EF51-CB51-4DAB-B6B4-87E92D626050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in MWh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F2" authorId="0" shapeId="0" xr:uid="{F8A21B29-A55C-40FB-85BB-5003BBC2961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3" authorId="0" shapeId="0" xr:uid="{3DF5F49D-28A5-4E85-A45D-63D24C8533ED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4" authorId="0" shapeId="0" xr:uid="{0A822877-4EA8-43DA-81FF-4BE357D7609F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5" authorId="0" shapeId="0" xr:uid="{8B999BFB-05E6-48CE-AC0A-32E692B1A9D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6" authorId="0" shapeId="0" xr:uid="{08953F1C-2B5C-4237-AF37-8A03AABAC566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7" authorId="0" shapeId="0" xr:uid="{9611ACF5-D7D0-4416-B766-4F113160A59E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8" authorId="0" shapeId="0" xr:uid="{D7C951DD-479A-40B4-B216-10E08A4A8B25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</commentList>
</comments>
</file>

<file path=xl/sharedStrings.xml><?xml version="1.0" encoding="utf-8"?>
<sst xmlns="http://schemas.openxmlformats.org/spreadsheetml/2006/main" count="458" uniqueCount="124">
  <si>
    <t>CAPEX solare</t>
  </si>
  <si>
    <t xml:space="preserve">costo combustibile nucleare </t>
  </si>
  <si>
    <t xml:space="preserve"> EUR/MWh</t>
  </si>
  <si>
    <t>unit</t>
  </si>
  <si>
    <t>CAPEX eolico</t>
  </si>
  <si>
    <t>CAPEX nucleare</t>
  </si>
  <si>
    <t xml:space="preserve">CAPEX batterie Li-ion </t>
  </si>
  <si>
    <t>EUR/MW</t>
  </si>
  <si>
    <t>reference</t>
  </si>
  <si>
    <t>EUR/MWh</t>
  </si>
  <si>
    <t>costo combustibile gas</t>
  </si>
  <si>
    <t>costo combustibile carbone</t>
  </si>
  <si>
    <t>Year</t>
  </si>
  <si>
    <t>($2010/mt)</t>
  </si>
  <si>
    <t>World Bank</t>
  </si>
  <si>
    <t>($2010/mmbtu)</t>
  </si>
  <si>
    <t>Conversion</t>
  </si>
  <si>
    <t>Multiplier</t>
  </si>
  <si>
    <t>Reference</t>
  </si>
  <si>
    <t>Harmonised Index of Consumer Prices (HICP)</t>
  </si>
  <si>
    <t>Natural gas, Europe</t>
  </si>
  <si>
    <t>Coal, Australian</t>
  </si>
  <si>
    <t>€2020/$2010</t>
  </si>
  <si>
    <t>MWh/mmbtu</t>
  </si>
  <si>
    <t>MWh/kcal</t>
  </si>
  <si>
    <t>Standard heating value of thermal coal (kcal/kg)</t>
  </si>
  <si>
    <t>(€2020/MWh)</t>
  </si>
  <si>
    <t>€2020/$2020</t>
  </si>
  <si>
    <t>(M$2020/GW)</t>
  </si>
  <si>
    <t>TEMOA-Italy</t>
  </si>
  <si>
    <t>Unit</t>
  </si>
  <si>
    <t>Value</t>
  </si>
  <si>
    <t>Comment</t>
  </si>
  <si>
    <t>Entry voice</t>
  </si>
  <si>
    <t>Model unit</t>
  </si>
  <si>
    <t>Model input value</t>
  </si>
  <si>
    <t>Dati elaborati da NREL</t>
  </si>
  <si>
    <t>(€2020/MW)</t>
  </si>
  <si>
    <t>Tech type</t>
  </si>
  <si>
    <t>Utility scale</t>
  </si>
  <si>
    <t>Onshore</t>
  </si>
  <si>
    <t>Offshore</t>
  </si>
  <si>
    <t>Offshore acque profonde</t>
  </si>
  <si>
    <t>Comment 2</t>
  </si>
  <si>
    <t>Comment 1</t>
  </si>
  <si>
    <t>Include il decommissioning</t>
  </si>
  <si>
    <t>comment</t>
  </si>
  <si>
    <t>Average annual value, 2024</t>
  </si>
  <si>
    <t>(M$2025/GW)</t>
  </si>
  <si>
    <t>IAEA</t>
  </si>
  <si>
    <t>Overnight cost suggerito da Lorenzo Mazzocco, portato dal 2020 al 2025 tramite inflazione di circa il 33% (vedi messaggio discord su Coordinamento energia)</t>
  </si>
  <si>
    <t>EPR</t>
  </si>
  <si>
    <t>2020 (EPR Francia)</t>
  </si>
  <si>
    <t>EPR Francia</t>
  </si>
  <si>
    <t>2h</t>
  </si>
  <si>
    <t>4h</t>
  </si>
  <si>
    <t>Due componenti di costo considerate: power capital cost (€/MW) e energy capital cost (€/MWh). Quest'ultimo moltiplicato per uno "storage duration" di 2 ore. Per ulteriori info, vedere questo paper</t>
  </si>
  <si>
    <t>Due componenti di costo considerate: power capital cost (€/MW) e energy capital cost (€/MWh). Quest'ultimo moltiplicato per uno "storage duration" di 4 ore. Per ulteriori info, vedere questo paper</t>
  </si>
  <si>
    <t>(c$2021/kWh)</t>
  </si>
  <si>
    <t>World Nuclear Association</t>
  </si>
  <si>
    <t>€2020/$2021</t>
  </si>
  <si>
    <t>SMR</t>
  </si>
  <si>
    <t>AP1000</t>
  </si>
  <si>
    <t>EIA</t>
  </si>
  <si>
    <t>NREL</t>
  </si>
  <si>
    <t>2020-2040</t>
  </si>
  <si>
    <t>($2020/MWh)</t>
  </si>
  <si>
    <t>Average between values found (2020-2021)</t>
  </si>
  <si>
    <t>World Nuclear Association, EIA, NREL</t>
  </si>
  <si>
    <t>CAPEX</t>
  </si>
  <si>
    <t>Hydro_Reservoir</t>
  </si>
  <si>
    <t>GasTurbine_simple</t>
  </si>
  <si>
    <t>Photovoltaic</t>
  </si>
  <si>
    <t>CoalPlant</t>
  </si>
  <si>
    <t>Storage_Battery</t>
  </si>
  <si>
    <t>PumpedHydro_Closed</t>
  </si>
  <si>
    <t>NuclearPlant</t>
  </si>
  <si>
    <t>electricity map</t>
  </si>
  <si>
    <t>Include francia, svizzera, slovenia, austria</t>
  </si>
  <si>
    <t>WindTurbine_Onshore_4000</t>
  </si>
  <si>
    <t>OPEX</t>
  </si>
  <si>
    <t>fraction of capex</t>
  </si>
  <si>
    <t>fuel_cost</t>
  </si>
  <si>
    <t>costo_combustibile_gas</t>
  </si>
  <si>
    <t xml:space="preserve">costo_combustibile_nucleare </t>
  </si>
  <si>
    <t>costo_combustibile_carbone</t>
  </si>
  <si>
    <t>capacity</t>
  </si>
  <si>
    <t>price</t>
  </si>
  <si>
    <t>CALA</t>
  </si>
  <si>
    <t>CNOR</t>
  </si>
  <si>
    <t>CSUD</t>
  </si>
  <si>
    <t>NORD</t>
  </si>
  <si>
    <t>SARD</t>
  </si>
  <si>
    <t>SICI</t>
  </si>
  <si>
    <t>SUD</t>
  </si>
  <si>
    <t>emission_factor_t/MWh</t>
  </si>
  <si>
    <t>CAPEX idroelettrico</t>
  </si>
  <si>
    <t>CAPEX PHS</t>
  </si>
  <si>
    <t>CAPEX carbone</t>
  </si>
  <si>
    <t>Ciclo a vapore</t>
  </si>
  <si>
    <t>CAPEX gas</t>
  </si>
  <si>
    <t>Ciclo combinato</t>
  </si>
  <si>
    <t>General</t>
  </si>
  <si>
    <t>Utility</t>
  </si>
  <si>
    <t>Mixed investment costs based on average of 50% 'solar-rooftop' and 50% 'solar-utility'</t>
  </si>
  <si>
    <t>PyPSA/technology-data</t>
  </si>
  <si>
    <t>(M$2015/GW)</t>
  </si>
  <si>
    <t>€2020/€2015</t>
  </si>
  <si>
    <t>Durata dovrebbe essere di 2 h</t>
  </si>
  <si>
    <t>2 h - utility</t>
  </si>
  <si>
    <t>2 h - home</t>
  </si>
  <si>
    <t>(M€2015/GW)</t>
  </si>
  <si>
    <t>Gas turbine, simple cycle</t>
  </si>
  <si>
    <t>(M€2010/GW)</t>
  </si>
  <si>
    <t>€2010/€2015</t>
  </si>
  <si>
    <t>2025-Mixed investment costs based on average of 50% 'solar-rooftop' and 50% 'solar-utility'</t>
  </si>
  <si>
    <t>2025, 2 h, Average utility-home</t>
  </si>
  <si>
    <t>2025, Gas turbine, simple cycle</t>
  </si>
  <si>
    <t>Dati elaborati da Danish Energy Agency</t>
  </si>
  <si>
    <t>(€2015/MWh)</t>
  </si>
  <si>
    <t>discount_rate</t>
  </si>
  <si>
    <t>Paper di supporto</t>
  </si>
  <si>
    <t>assumed same as coal</t>
  </si>
  <si>
    <t>assumed same as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</si>
</sst>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i/>
      <u/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i/>
      <u/>
      <sz val="11"/>
      <name val="Aptos Narrow"/>
      <family val="2"/>
      <scheme val="minor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5" fillId="0" borderId="0" xfId="2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6" fillId="0" borderId="0" xfId="2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5" fillId="0" borderId="0" xfId="2" applyAlignment="1">
      <alignment vertical="center" wrapText="1"/>
    </xf>
    <xf numFmtId="0" fontId="10" fillId="0" borderId="0" xfId="2" applyFont="1" applyAlignment="1">
      <alignment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5" fillId="0" borderId="0" xfId="2"/>
    <xf numFmtId="0" fontId="0" fillId="0" borderId="0" xfId="0" applyAlignment="1">
      <alignment horizontal="right" vertical="center" wrapText="1"/>
    </xf>
    <xf numFmtId="0" fontId="11" fillId="0" borderId="0" xfId="2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6" fillId="0" borderId="0" xfId="2" applyFont="1" applyFill="1" applyAlignment="1">
      <alignment vertical="center" wrapText="1"/>
    </xf>
    <xf numFmtId="0" fontId="5" fillId="0" borderId="0" xfId="2" applyFill="1" applyAlignment="1">
      <alignment vertical="center" wrapText="1"/>
    </xf>
    <xf numFmtId="1" fontId="13" fillId="0" borderId="0" xfId="0" applyNumberFormat="1" applyFont="1" applyAlignment="1">
      <alignment horizontal="right" vertical="center"/>
    </xf>
    <xf numFmtId="0" fontId="16" fillId="0" borderId="0" xfId="2" applyFont="1" applyAlignment="1">
      <alignment vertical="center"/>
    </xf>
    <xf numFmtId="0" fontId="13" fillId="0" borderId="0" xfId="2" applyFon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" fontId="10" fillId="0" borderId="0" xfId="0" applyNumberFormat="1" applyFont="1" applyAlignment="1">
      <alignment vertical="center"/>
    </xf>
    <xf numFmtId="0" fontId="17" fillId="0" borderId="0" xfId="2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8" fillId="0" borderId="0" xfId="2" applyFont="1" applyFill="1" applyAlignment="1">
      <alignment vertical="center" wrapText="1"/>
    </xf>
    <xf numFmtId="166" fontId="0" fillId="0" borderId="0" xfId="0" applyNumberFormat="1" applyAlignment="1">
      <alignment vertical="center"/>
    </xf>
    <xf numFmtId="0" fontId="16" fillId="0" borderId="0" xfId="2" applyFont="1" applyAlignment="1">
      <alignment horizontal="center" vertical="center" wrapText="1"/>
    </xf>
    <xf numFmtId="0" fontId="16" fillId="0" borderId="0" xfId="2" applyFont="1" applyAlignment="1">
      <alignment vertical="center" wrapText="1"/>
    </xf>
    <xf numFmtId="166" fontId="13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</cellXfs>
  <cellStyles count="3">
    <cellStyle name="Hyperlink" xfId="2" builtinId="8"/>
    <cellStyle name="Normal" xfId="0" builtinId="0"/>
    <cellStyle name="Normal 2" xfId="1" xr:uid="{E74E4B4E-3625-467E-8352-5D2088EA6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06261924020166" TargetMode="External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" TargetMode="External"/><Relationship Id="rId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github.com/PyPSA/technology-data" TargetMode="External"/><Relationship Id="rId6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github.com/PyPSA/technology-data" TargetMode="External"/><Relationship Id="rId4" Type="http://schemas.openxmlformats.org/officeDocument/2006/relationships/hyperlink" Target="https://github.com/PyPSA/technology-dat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ea.blob.core.windows.net/assets/ae17da3d-e8a5-4163-a3ec-2e6fb0b5677d/Projected-Costs-of-Generating-Electricity-2020.pdf" TargetMode="External"/><Relationship Id="rId3" Type="http://schemas.openxmlformats.org/officeDocument/2006/relationships/hyperlink" Target="https://github.com/PyPSA/technology-data" TargetMode="External"/><Relationship Id="rId7" Type="http://schemas.openxmlformats.org/officeDocument/2006/relationships/hyperlink" Target="https://github.com/PyPSA/technology-data" TargetMode="External"/><Relationship Id="rId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github.com/PyPSA/technology-data" TargetMode="External"/><Relationship Id="rId6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github.com/PyPSA/technology-data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PyPSA/technology-data" TargetMode="External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bank.org/en/research/commodity-markets" TargetMode="External"/><Relationship Id="rId13" Type="http://schemas.openxmlformats.org/officeDocument/2006/relationships/hyperlink" Target="https://atb.nrel.gov/electricity/2022/about" TargetMode="External"/><Relationship Id="rId3" Type="http://schemas.openxmlformats.org/officeDocument/2006/relationships/hyperlink" Target="https://www.worldbank.org/en/research/commodity-markets" TargetMode="External"/><Relationship Id="rId7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www.eia.gov/energyexplained/nuclear/data-and-statistics.php" TargetMode="External"/><Relationship Id="rId2" Type="http://schemas.openxmlformats.org/officeDocument/2006/relationships/hyperlink" Target="https://www.worldbank.org/en/research/commodity-markets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www.ecb.europa.eu/stats/macroeconomic_and_sectoral/hicp/html/index.en.html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world-nuclear.org/information-library/economic-aspects/economics-of-nuclear-power" TargetMode="External"/><Relationship Id="rId4" Type="http://schemas.openxmlformats.org/officeDocument/2006/relationships/hyperlink" Target="https://www.worldbank.org/en/research/commodity-markets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www.ecb.europa.eu/stats/macroeconomic_and_sectoral/hicp/html/index.en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atb.nrel.gov/electricity/2022/about" TargetMode="External"/><Relationship Id="rId18" Type="http://schemas.openxmlformats.org/officeDocument/2006/relationships/hyperlink" Target="https://www.worldbank.org/en/research/commodity-markets" TargetMode="External"/><Relationship Id="rId26" Type="http://schemas.openxmlformats.org/officeDocument/2006/relationships/hyperlink" Target="https://www.worldbank.org/en/research/commodity-markets" TargetMode="External"/><Relationship Id="rId39" Type="http://schemas.openxmlformats.org/officeDocument/2006/relationships/hyperlink" Target="https://atb.nrel.gov/electricity/2022/about" TargetMode="External"/><Relationship Id="rId21" Type="http://schemas.openxmlformats.org/officeDocument/2006/relationships/hyperlink" Target="https://atb.nrel.gov/electricity/2022/about" TargetMode="External"/><Relationship Id="rId34" Type="http://schemas.openxmlformats.org/officeDocument/2006/relationships/hyperlink" Target="https://www.worldbank.org/en/research/commodity-markets" TargetMode="External"/><Relationship Id="rId42" Type="http://schemas.openxmlformats.org/officeDocument/2006/relationships/hyperlink" Target="https://www.sciencedirect.com/science/article/pii/S2352152X24034005" TargetMode="External"/><Relationship Id="rId47" Type="http://schemas.openxmlformats.org/officeDocument/2006/relationships/hyperlink" Target="https://atb.nrel.gov/electricity/2022/about" TargetMode="External"/><Relationship Id="rId50" Type="http://schemas.openxmlformats.org/officeDocument/2006/relationships/hyperlink" Target="https://atb.nrel.gov/electricity/2022/about" TargetMode="External"/><Relationship Id="rId55" Type="http://schemas.openxmlformats.org/officeDocument/2006/relationships/hyperlink" Target="https://github.com/PyPSA/technology-data/blob/master/inputs/technology_data_catalogue_for_energy_storage.xlsx" TargetMode="External"/><Relationship Id="rId63" Type="http://schemas.openxmlformats.org/officeDocument/2006/relationships/hyperlink" Target="https://www.ecb.europa.eu/stats/macroeconomic_and_sectoral/hicp/html/index.en.html" TargetMode="External"/><Relationship Id="rId7" Type="http://schemas.openxmlformats.org/officeDocument/2006/relationships/hyperlink" Target="https://www.worldbank.org/en/research/commodity-markets" TargetMode="External"/><Relationship Id="rId2" Type="http://schemas.openxmlformats.org/officeDocument/2006/relationships/hyperlink" Target="https://atb.nrel.gov/electricity/2022/about" TargetMode="External"/><Relationship Id="rId16" Type="http://schemas.openxmlformats.org/officeDocument/2006/relationships/hyperlink" Target="https://atb.nrel.gov/electricity/2022/about" TargetMode="External"/><Relationship Id="rId29" Type="http://schemas.openxmlformats.org/officeDocument/2006/relationships/hyperlink" Target="https://www.sciencedirect.com/science/article/pii/S2352152X24034005" TargetMode="External"/><Relationship Id="rId11" Type="http://schemas.openxmlformats.org/officeDocument/2006/relationships/hyperlink" Target="https://atb.nrel.gov/electricity/2022/about" TargetMode="External"/><Relationship Id="rId24" Type="http://schemas.openxmlformats.org/officeDocument/2006/relationships/hyperlink" Target="https://www.worldbank.org/en/research/commodity-markets" TargetMode="External"/><Relationship Id="rId32" Type="http://schemas.openxmlformats.org/officeDocument/2006/relationships/hyperlink" Target="https://iea.blob.core.windows.net/assets/ae17da3d-e8a5-4163-a3ec-2e6fb0b5677d/Projected-Costs-of-Generating-Electricity-2020.pdf" TargetMode="External"/><Relationship Id="rId37" Type="http://schemas.openxmlformats.org/officeDocument/2006/relationships/hyperlink" Target="https://www.worldbank.org/en/research/commodity-markets" TargetMode="External"/><Relationship Id="rId40" Type="http://schemas.openxmlformats.org/officeDocument/2006/relationships/hyperlink" Target="https://atb.nrel.gov/electricity/2022/about" TargetMode="External"/><Relationship Id="rId45" Type="http://schemas.openxmlformats.org/officeDocument/2006/relationships/hyperlink" Target="https://www.worldbank.org/en/research/commodity-markets" TargetMode="External"/><Relationship Id="rId53" Type="http://schemas.openxmlformats.org/officeDocument/2006/relationships/hyperlink" Target="https://github.com/PyPSA/technology-data" TargetMode="External"/><Relationship Id="rId58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www.worldbank.org/en/research/commodity-markets" TargetMode="External"/><Relationship Id="rId61" Type="http://schemas.openxmlformats.org/officeDocument/2006/relationships/hyperlink" Target="https://github.com/PyPSA/technology-data" TargetMode="External"/><Relationship Id="rId1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atb.nrel.gov/electricity/2022/about" TargetMode="External"/><Relationship Id="rId22" Type="http://schemas.openxmlformats.org/officeDocument/2006/relationships/hyperlink" Target="https://www.worldbank.org/en/research/commodity-markets" TargetMode="External"/><Relationship Id="rId27" Type="http://schemas.openxmlformats.org/officeDocument/2006/relationships/hyperlink" Target="https://atb.nrel.gov/electricity/2022/about" TargetMode="External"/><Relationship Id="rId30" Type="http://schemas.openxmlformats.org/officeDocument/2006/relationships/hyperlink" Target="https://www.sciencedirect.com/science/article/pii/S2352152X24034005" TargetMode="External"/><Relationship Id="rId35" Type="http://schemas.openxmlformats.org/officeDocument/2006/relationships/hyperlink" Target="https://atb.nrel.gov/electricity/2022/about" TargetMode="External"/><Relationship Id="rId43" Type="http://schemas.openxmlformats.org/officeDocument/2006/relationships/hyperlink" Target="https://www.worldbank.org/en/research/commodity-markets" TargetMode="External"/><Relationship Id="rId48" Type="http://schemas.openxmlformats.org/officeDocument/2006/relationships/hyperlink" Target="https://atb.nrel.gov/electricity/2022/about" TargetMode="External"/><Relationship Id="rId56" Type="http://schemas.openxmlformats.org/officeDocument/2006/relationships/hyperlink" Target="https://github.com/PyPSA/technology-data" TargetMode="External"/><Relationship Id="rId8" Type="http://schemas.openxmlformats.org/officeDocument/2006/relationships/hyperlink" Target="https://www.worldbank.org/en/research/commodity-markets" TargetMode="External"/><Relationship Id="rId51" Type="http://schemas.openxmlformats.org/officeDocument/2006/relationships/hyperlink" Target="https://github.com/PyPSA/technology-data" TargetMode="External"/><Relationship Id="rId3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atb.nrel.gov/electricity/2022/about" TargetMode="External"/><Relationship Id="rId17" Type="http://schemas.openxmlformats.org/officeDocument/2006/relationships/hyperlink" Target="https://www.worldbank.org/en/research/commodity-markets" TargetMode="External"/><Relationship Id="rId25" Type="http://schemas.openxmlformats.org/officeDocument/2006/relationships/hyperlink" Target="https://atb.nrel.gov/electricity/2022/about" TargetMode="External"/><Relationship Id="rId33" Type="http://schemas.openxmlformats.org/officeDocument/2006/relationships/hyperlink" Target="https://discord.com/channels/1294670469055643710/1309503227431092244/1351953237351338015" TargetMode="External"/><Relationship Id="rId38" Type="http://schemas.openxmlformats.org/officeDocument/2006/relationships/hyperlink" Target="https://www.worldbank.org/en/research/commodity-markets" TargetMode="External"/><Relationship Id="rId46" Type="http://schemas.openxmlformats.org/officeDocument/2006/relationships/hyperlink" Target="https://www.worldbank.org/en/research/commodity-markets" TargetMode="External"/><Relationship Id="rId59" Type="http://schemas.openxmlformats.org/officeDocument/2006/relationships/hyperlink" Target="https://github.com/PyPSA/technology-data" TargetMode="External"/><Relationship Id="rId20" Type="http://schemas.openxmlformats.org/officeDocument/2006/relationships/hyperlink" Target="https://www.worldbank.org/en/research/commodity-markets" TargetMode="External"/><Relationship Id="rId41" Type="http://schemas.openxmlformats.org/officeDocument/2006/relationships/hyperlink" Target="https://www.sciencedirect.com/science/article/pii/S2352152X24034005" TargetMode="External"/><Relationship Id="rId54" Type="http://schemas.openxmlformats.org/officeDocument/2006/relationships/hyperlink" Target="https://github.com/PyPSA/technology-data" TargetMode="External"/><Relationship Id="rId6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5" Type="http://schemas.openxmlformats.org/officeDocument/2006/relationships/hyperlink" Target="https://atb.nrel.gov/electricity/2022/about" TargetMode="External"/><Relationship Id="rId23" Type="http://schemas.openxmlformats.org/officeDocument/2006/relationships/hyperlink" Target="https://atb.nrel.gov/electricity/2022/about" TargetMode="External"/><Relationship Id="rId28" Type="http://schemas.openxmlformats.org/officeDocument/2006/relationships/hyperlink" Target="https://atb.nrel.gov/electricity/2022/about" TargetMode="External"/><Relationship Id="rId36" Type="http://schemas.openxmlformats.org/officeDocument/2006/relationships/hyperlink" Target="https://www.sciencedirect.com/science/article/pii/S2352152X24034005" TargetMode="External"/><Relationship Id="rId49" Type="http://schemas.openxmlformats.org/officeDocument/2006/relationships/hyperlink" Target="https://atb.nrel.gov/electricity/2022/about" TargetMode="External"/><Relationship Id="rId57" Type="http://schemas.openxmlformats.org/officeDocument/2006/relationships/hyperlink" Target="https://github.com/PyPSA/technology-data/blob/master/inputs/technology_data_catalogue_for_energy_storage.xlsx" TargetMode="External"/><Relationship Id="rId10" Type="http://schemas.openxmlformats.org/officeDocument/2006/relationships/hyperlink" Target="https://www.worldbank.org/en/research/commodity-markets" TargetMode="External"/><Relationship Id="rId31" Type="http://schemas.openxmlformats.org/officeDocument/2006/relationships/hyperlink" Target="https://www.ecb.europa.eu/stats/macroeconomic_and_sectoral/hicp/html/index.en.html" TargetMode="External"/><Relationship Id="rId44" Type="http://schemas.openxmlformats.org/officeDocument/2006/relationships/hyperlink" Target="https://www.worldbank.org/en/research/commodity-markets" TargetMode="External"/><Relationship Id="rId52" Type="http://schemas.openxmlformats.org/officeDocument/2006/relationships/hyperlink" Target="https://github.com/PyPSA/technology-data" TargetMode="External"/><Relationship Id="rId60" Type="http://schemas.openxmlformats.org/officeDocument/2006/relationships/hyperlink" Target="https://github.com/PyPSA/technology-data" TargetMode="External"/><Relationship Id="rId4" Type="http://schemas.openxmlformats.org/officeDocument/2006/relationships/hyperlink" Target="https://atb.nrel.gov/electricity/2022/about" TargetMode="External"/><Relationship Id="rId9" Type="http://schemas.openxmlformats.org/officeDocument/2006/relationships/hyperlink" Target="https://www.worldbank.org/en/research/commodity-mar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661C-C997-4238-A47F-A35B6AA9581D}">
  <dimension ref="A1:E9"/>
  <sheetViews>
    <sheetView workbookViewId="0">
      <selection activeCell="E2" sqref="E2"/>
    </sheetView>
  </sheetViews>
  <sheetFormatPr defaultRowHeight="14.4" x14ac:dyDescent="0.3"/>
  <cols>
    <col min="1" max="1" width="32.5546875" bestFit="1" customWidth="1"/>
    <col min="2" max="2" width="11.88671875" bestFit="1" customWidth="1"/>
    <col min="3" max="3" width="14.33203125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120</v>
      </c>
      <c r="C1" t="s">
        <v>3</v>
      </c>
      <c r="D1" t="s">
        <v>8</v>
      </c>
      <c r="E1" t="s">
        <v>46</v>
      </c>
    </row>
    <row r="2" spans="1:5" x14ac:dyDescent="0.3">
      <c r="A2" t="s">
        <v>72</v>
      </c>
      <c r="B2" s="8">
        <v>5.7000000000000002E-2</v>
      </c>
      <c r="C2" s="8" t="s">
        <v>81</v>
      </c>
      <c r="D2" s="6" t="s">
        <v>29</v>
      </c>
      <c r="E2" s="7" t="s">
        <v>121</v>
      </c>
    </row>
    <row r="3" spans="1:5" x14ac:dyDescent="0.3">
      <c r="A3" t="s">
        <v>79</v>
      </c>
      <c r="B3" s="8">
        <v>7.5999999999999998E-2</v>
      </c>
      <c r="C3" s="8" t="s">
        <v>81</v>
      </c>
      <c r="D3" s="6" t="s">
        <v>29</v>
      </c>
      <c r="E3" s="7" t="s">
        <v>121</v>
      </c>
    </row>
    <row r="4" spans="1:5" ht="18.75" customHeight="1" x14ac:dyDescent="0.3">
      <c r="A4" s="8" t="s">
        <v>76</v>
      </c>
      <c r="B4" s="8">
        <v>0.1</v>
      </c>
      <c r="C4" s="8" t="s">
        <v>81</v>
      </c>
      <c r="D4" s="6" t="s">
        <v>29</v>
      </c>
      <c r="E4" s="7"/>
    </row>
    <row r="5" spans="1:5" ht="18.75" customHeight="1" x14ac:dyDescent="0.3">
      <c r="A5" t="s">
        <v>74</v>
      </c>
      <c r="B5" s="8">
        <v>0.08</v>
      </c>
      <c r="C5" s="8" t="s">
        <v>81</v>
      </c>
      <c r="D5" s="6" t="s">
        <v>29</v>
      </c>
      <c r="E5" s="7"/>
    </row>
    <row r="6" spans="1:5" ht="16.5" customHeight="1" x14ac:dyDescent="0.3">
      <c r="A6" t="s">
        <v>70</v>
      </c>
      <c r="B6" s="8">
        <v>5.1999999999999998E-2</v>
      </c>
      <c r="C6" s="8" t="s">
        <v>81</v>
      </c>
      <c r="D6" s="6" t="s">
        <v>29</v>
      </c>
      <c r="E6" s="7" t="s">
        <v>121</v>
      </c>
    </row>
    <row r="7" spans="1:5" ht="19.5" customHeight="1" x14ac:dyDescent="0.3">
      <c r="A7" t="s">
        <v>71</v>
      </c>
      <c r="B7" s="8">
        <v>2.7E-2</v>
      </c>
      <c r="C7" s="8" t="s">
        <v>81</v>
      </c>
      <c r="D7" s="6" t="s">
        <v>29</v>
      </c>
      <c r="E7" s="7" t="s">
        <v>121</v>
      </c>
    </row>
    <row r="8" spans="1:5" ht="15" customHeight="1" x14ac:dyDescent="0.3">
      <c r="A8" t="s">
        <v>73</v>
      </c>
      <c r="B8" s="8">
        <v>6.2E-2</v>
      </c>
      <c r="C8" s="8" t="s">
        <v>81</v>
      </c>
      <c r="D8" s="6" t="s">
        <v>29</v>
      </c>
      <c r="E8" s="7" t="s">
        <v>121</v>
      </c>
    </row>
    <row r="9" spans="1:5" x14ac:dyDescent="0.3">
      <c r="A9" t="s">
        <v>75</v>
      </c>
      <c r="B9" s="8">
        <v>5.1999999999999998E-2</v>
      </c>
      <c r="C9" s="8" t="s">
        <v>81</v>
      </c>
      <c r="D9" s="6" t="s">
        <v>29</v>
      </c>
      <c r="E9" s="7" t="s">
        <v>121</v>
      </c>
    </row>
  </sheetData>
  <hyperlinks>
    <hyperlink ref="D2" r:id="rId1" display="World Bank" xr:uid="{325A9913-111A-4B4C-A5B3-6737C44DB97B}"/>
    <hyperlink ref="D3:D9" r:id="rId2" display="World Bank" xr:uid="{F3F18F13-983F-41F1-9B38-27EAD29EB214}"/>
    <hyperlink ref="E2" r:id="rId3" xr:uid="{F506094E-FA0C-4C64-8DA9-24EF0CE906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8001-B177-42A1-9F09-DD1B7293885B}">
  <dimension ref="A1:E9"/>
  <sheetViews>
    <sheetView workbookViewId="0">
      <selection activeCell="G5" sqref="G5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4.33203125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80</v>
      </c>
      <c r="C1" t="s">
        <v>3</v>
      </c>
      <c r="D1" t="s">
        <v>8</v>
      </c>
      <c r="E1" t="s">
        <v>46</v>
      </c>
    </row>
    <row r="2" spans="1:5" ht="43.2" x14ac:dyDescent="0.3">
      <c r="A2" t="s">
        <v>72</v>
      </c>
      <c r="B2" s="52">
        <f>1.7275/100</f>
        <v>1.7274999999999999E-2</v>
      </c>
      <c r="C2" s="8" t="s">
        <v>81</v>
      </c>
      <c r="D2" s="6" t="s">
        <v>105</v>
      </c>
      <c r="E2" s="46" t="s">
        <v>115</v>
      </c>
    </row>
    <row r="3" spans="1:5" ht="28.8" x14ac:dyDescent="0.3">
      <c r="A3" t="s">
        <v>79</v>
      </c>
      <c r="B3" s="52">
        <f>1.2347/100</f>
        <v>1.2346999999999999E-2</v>
      </c>
      <c r="C3" s="8" t="s">
        <v>81</v>
      </c>
      <c r="D3" s="6" t="s">
        <v>105</v>
      </c>
      <c r="E3" s="26">
        <v>2025</v>
      </c>
    </row>
    <row r="4" spans="1:5" ht="18.75" customHeight="1" x14ac:dyDescent="0.3">
      <c r="A4" s="8" t="s">
        <v>76</v>
      </c>
      <c r="B4" s="55">
        <v>3.3000000000000002E-2</v>
      </c>
      <c r="C4" s="8" t="s">
        <v>81</v>
      </c>
      <c r="D4" s="6"/>
      <c r="E4" s="26" t="s">
        <v>122</v>
      </c>
    </row>
    <row r="5" spans="1:5" ht="18.75" customHeight="1" x14ac:dyDescent="0.3">
      <c r="A5" t="s">
        <v>74</v>
      </c>
      <c r="B5" s="55">
        <v>1.7000000000000001E-2</v>
      </c>
      <c r="C5" s="8" t="s">
        <v>81</v>
      </c>
      <c r="D5" s="6"/>
      <c r="E5" s="26" t="s">
        <v>123</v>
      </c>
    </row>
    <row r="6" spans="1:5" ht="16.5" customHeight="1" x14ac:dyDescent="0.3">
      <c r="A6" t="s">
        <v>70</v>
      </c>
      <c r="B6" s="52">
        <f>1/100</f>
        <v>0.01</v>
      </c>
      <c r="C6" s="8" t="s">
        <v>81</v>
      </c>
      <c r="D6" s="6" t="s">
        <v>105</v>
      </c>
      <c r="E6" s="47">
        <v>2025</v>
      </c>
    </row>
    <row r="7" spans="1:5" ht="19.5" customHeight="1" x14ac:dyDescent="0.3">
      <c r="A7" t="s">
        <v>71</v>
      </c>
      <c r="B7" s="52">
        <f>3.313/100</f>
        <v>3.313E-2</v>
      </c>
      <c r="C7" s="8" t="s">
        <v>81</v>
      </c>
      <c r="D7" s="6" t="s">
        <v>105</v>
      </c>
      <c r="E7" s="26" t="s">
        <v>117</v>
      </c>
    </row>
    <row r="8" spans="1:5" ht="15" customHeight="1" x14ac:dyDescent="0.3">
      <c r="A8" t="s">
        <v>73</v>
      </c>
      <c r="B8" s="52">
        <f>1.6316/100</f>
        <v>1.6316000000000001E-2</v>
      </c>
      <c r="C8" s="8" t="s">
        <v>81</v>
      </c>
      <c r="D8" s="6" t="s">
        <v>105</v>
      </c>
      <c r="E8" s="26">
        <v>2025</v>
      </c>
    </row>
    <row r="9" spans="1:5" ht="28.8" x14ac:dyDescent="0.3">
      <c r="A9" t="s">
        <v>75</v>
      </c>
      <c r="B9" s="52">
        <f>0.43/100</f>
        <v>4.3E-3</v>
      </c>
      <c r="C9" s="8" t="s">
        <v>81</v>
      </c>
      <c r="D9" s="6" t="s">
        <v>105</v>
      </c>
      <c r="E9" s="47">
        <v>2025</v>
      </c>
    </row>
  </sheetData>
  <hyperlinks>
    <hyperlink ref="D2" r:id="rId1" xr:uid="{45FFE6C8-BB08-4880-94D9-EDA810A88275}"/>
    <hyperlink ref="D3" r:id="rId2" xr:uid="{218A3F33-E049-447D-A203-05D8EF114C08}"/>
    <hyperlink ref="D7" r:id="rId3" xr:uid="{303CBD72-DF1C-479C-A96E-85F23E49E626}"/>
    <hyperlink ref="D8" r:id="rId4" xr:uid="{35012D9B-0404-4C14-AD2C-45339E554D22}"/>
    <hyperlink ref="D6" r:id="rId5" xr:uid="{F10656D8-D406-484F-9D16-6B079A7CA6A3}"/>
    <hyperlink ref="D9" r:id="rId6" xr:uid="{A02F5EEA-4641-4413-B905-FCFAE765F9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2154-4B0A-49B9-8FF3-F49D60098BF7}">
  <dimension ref="A1:E9"/>
  <sheetViews>
    <sheetView workbookViewId="0">
      <selection activeCell="F9" sqref="F9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69</v>
      </c>
      <c r="C1" t="s">
        <v>3</v>
      </c>
      <c r="D1" t="s">
        <v>8</v>
      </c>
      <c r="E1" t="s">
        <v>46</v>
      </c>
    </row>
    <row r="2" spans="1:5" ht="43.2" x14ac:dyDescent="0.3">
      <c r="A2" t="s">
        <v>72</v>
      </c>
      <c r="B2" s="23">
        <v>676570.29999999993</v>
      </c>
      <c r="C2" s="8" t="s">
        <v>7</v>
      </c>
      <c r="D2" s="6" t="s">
        <v>105</v>
      </c>
      <c r="E2" s="46" t="s">
        <v>115</v>
      </c>
    </row>
    <row r="3" spans="1:5" ht="28.8" x14ac:dyDescent="0.3">
      <c r="A3" t="s">
        <v>79</v>
      </c>
      <c r="B3" s="8">
        <v>1208275.5560000001</v>
      </c>
      <c r="C3" s="8" t="s">
        <v>7</v>
      </c>
      <c r="D3" s="6" t="s">
        <v>105</v>
      </c>
      <c r="E3" s="26">
        <v>2025</v>
      </c>
    </row>
    <row r="4" spans="1:5" ht="18.75" customHeight="1" x14ac:dyDescent="0.3">
      <c r="A4" s="8" t="s">
        <v>76</v>
      </c>
      <c r="B4" s="56">
        <v>7500000</v>
      </c>
      <c r="C4" s="8" t="s">
        <v>7</v>
      </c>
      <c r="D4" s="6" t="s">
        <v>49</v>
      </c>
      <c r="E4" s="26" t="s">
        <v>52</v>
      </c>
    </row>
    <row r="5" spans="1:5" ht="25.2" customHeight="1" x14ac:dyDescent="0.3">
      <c r="A5" t="s">
        <v>74</v>
      </c>
      <c r="B5" s="10">
        <f>506759.606*0.3</f>
        <v>152027.8818</v>
      </c>
      <c r="C5" s="8" t="s">
        <v>9</v>
      </c>
      <c r="D5" s="6" t="s">
        <v>105</v>
      </c>
      <c r="E5" s="26" t="s">
        <v>116</v>
      </c>
    </row>
    <row r="6" spans="1:5" ht="34.799999999999997" customHeight="1" x14ac:dyDescent="0.3">
      <c r="A6" t="s">
        <v>70</v>
      </c>
      <c r="B6" s="8">
        <v>2593292.1779999998</v>
      </c>
      <c r="C6" s="8" t="s">
        <v>7</v>
      </c>
      <c r="D6" s="6" t="s">
        <v>105</v>
      </c>
      <c r="E6" s="47">
        <v>2025</v>
      </c>
    </row>
    <row r="7" spans="1:5" ht="34.799999999999997" customHeight="1" x14ac:dyDescent="0.3">
      <c r="A7" t="s">
        <v>71</v>
      </c>
      <c r="B7" s="32">
        <v>644986.04399999999</v>
      </c>
      <c r="C7" s="8" t="s">
        <v>7</v>
      </c>
      <c r="D7" s="6" t="s">
        <v>105</v>
      </c>
      <c r="E7" s="26" t="s">
        <v>117</v>
      </c>
    </row>
    <row r="8" spans="1:5" ht="31.2" customHeight="1" x14ac:dyDescent="0.3">
      <c r="A8" t="s">
        <v>73</v>
      </c>
      <c r="B8" s="32">
        <v>2109090.4800000004</v>
      </c>
      <c r="C8" s="8" t="s">
        <v>7</v>
      </c>
      <c r="D8" s="6" t="s">
        <v>105</v>
      </c>
      <c r="E8" s="26">
        <v>2025</v>
      </c>
    </row>
    <row r="9" spans="1:5" ht="28.8" x14ac:dyDescent="0.3">
      <c r="A9" t="s">
        <v>75</v>
      </c>
      <c r="B9" s="18">
        <v>60498.506250000006</v>
      </c>
      <c r="C9" s="8" t="s">
        <v>9</v>
      </c>
      <c r="D9" s="6" t="s">
        <v>105</v>
      </c>
      <c r="E9" s="47">
        <v>2025</v>
      </c>
    </row>
  </sheetData>
  <hyperlinks>
    <hyperlink ref="D2" r:id="rId1" xr:uid="{D3DAE58A-78C9-42A3-AACE-003B92F3B755}"/>
    <hyperlink ref="D3" r:id="rId2" xr:uid="{4F66A19D-E563-4CE0-A0F8-405FBE5A76EE}"/>
    <hyperlink ref="D5" r:id="rId3" xr:uid="{27416DF2-25A2-40A4-ADBE-E01677AB7CAF}"/>
    <hyperlink ref="D7" r:id="rId4" xr:uid="{0EC7236B-99A1-46EF-8EA3-6832779019E9}"/>
    <hyperlink ref="D8" r:id="rId5" xr:uid="{34FFE429-8ADC-4F03-A78F-036552A631F1}"/>
    <hyperlink ref="D6" r:id="rId6" xr:uid="{E8D8F775-B077-49C3-91F8-A7497013BEB0}"/>
    <hyperlink ref="D9" r:id="rId7" xr:uid="{4A9E0CE3-D16C-464A-84CE-CA642CBCF8D2}"/>
    <hyperlink ref="D4" r:id="rId8" xr:uid="{76843948-9A3E-4EB0-A540-24DF6B66F999}"/>
  </hyperlinks>
  <pageMargins left="0.7" right="0.7" top="0.75" bottom="0.75" header="0.3" footer="0.3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F9B7-E410-4418-9AFE-4DC5A9893242}">
  <dimension ref="A1:E4"/>
  <sheetViews>
    <sheetView tabSelected="1" workbookViewId="0">
      <selection activeCell="A3" sqref="A3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82</v>
      </c>
      <c r="C1" t="s">
        <v>3</v>
      </c>
      <c r="D1" t="s">
        <v>8</v>
      </c>
      <c r="E1" t="s">
        <v>46</v>
      </c>
    </row>
    <row r="2" spans="1:5" x14ac:dyDescent="0.3">
      <c r="A2" s="8" t="s">
        <v>83</v>
      </c>
      <c r="B2" s="23">
        <v>27.538556570687646</v>
      </c>
      <c r="C2" s="8" t="s">
        <v>2</v>
      </c>
      <c r="D2" s="22" t="s">
        <v>14</v>
      </c>
      <c r="E2" t="s">
        <v>47</v>
      </c>
    </row>
    <row r="3" spans="1:5" x14ac:dyDescent="0.3">
      <c r="A3" s="8" t="s">
        <v>85</v>
      </c>
      <c r="B3" s="23">
        <v>10.331146370574086</v>
      </c>
      <c r="C3" s="8" t="s">
        <v>2</v>
      </c>
      <c r="D3" s="22" t="s">
        <v>14</v>
      </c>
      <c r="E3" t="s">
        <v>47</v>
      </c>
    </row>
    <row r="4" spans="1:5" ht="42" customHeight="1" x14ac:dyDescent="0.3">
      <c r="A4" s="8" t="s">
        <v>84</v>
      </c>
      <c r="B4" s="23">
        <v>4.8</v>
      </c>
      <c r="C4" s="8" t="s">
        <v>2</v>
      </c>
      <c r="D4" s="31" t="s">
        <v>68</v>
      </c>
      <c r="E4" t="s">
        <v>67</v>
      </c>
    </row>
  </sheetData>
  <hyperlinks>
    <hyperlink ref="D2" r:id="rId1" xr:uid="{899EB925-18FE-4D0F-90A7-19454D63E70C}"/>
    <hyperlink ref="D3" r:id="rId2" xr:uid="{8C713812-7D41-41B1-95A2-AD8C3456DC0C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73EF-BD6E-41C4-818D-318BE958C680}">
  <dimension ref="A1:F8"/>
  <sheetViews>
    <sheetView workbookViewId="0">
      <selection activeCell="E7" sqref="E7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6" ht="16.5" customHeight="1" x14ac:dyDescent="0.3">
      <c r="B1" t="s">
        <v>86</v>
      </c>
      <c r="C1" t="s">
        <v>87</v>
      </c>
      <c r="D1" t="s">
        <v>95</v>
      </c>
      <c r="E1" t="s">
        <v>8</v>
      </c>
      <c r="F1" t="s">
        <v>46</v>
      </c>
    </row>
    <row r="2" spans="1:6" x14ac:dyDescent="0.3">
      <c r="A2" s="34" t="s">
        <v>91</v>
      </c>
      <c r="B2" s="8">
        <v>10138</v>
      </c>
      <c r="C2" s="8">
        <v>100</v>
      </c>
      <c r="D2">
        <v>0.1</v>
      </c>
      <c r="E2" s="6" t="s">
        <v>77</v>
      </c>
      <c r="F2" s="8" t="s">
        <v>78</v>
      </c>
    </row>
    <row r="3" spans="1:6" x14ac:dyDescent="0.3">
      <c r="A3" s="34" t="s">
        <v>88</v>
      </c>
      <c r="B3" s="33">
        <v>1</v>
      </c>
      <c r="C3" s="33">
        <v>1</v>
      </c>
      <c r="D3" s="33">
        <v>1</v>
      </c>
      <c r="E3" s="8"/>
    </row>
    <row r="4" spans="1:6" x14ac:dyDescent="0.3">
      <c r="A4" s="34" t="s">
        <v>89</v>
      </c>
      <c r="B4" s="33">
        <v>1</v>
      </c>
      <c r="C4" s="33">
        <v>1</v>
      </c>
      <c r="D4" s="33">
        <v>1</v>
      </c>
      <c r="E4" s="8"/>
    </row>
    <row r="5" spans="1:6" x14ac:dyDescent="0.3">
      <c r="A5" s="34" t="s">
        <v>90</v>
      </c>
      <c r="B5" s="33">
        <v>1</v>
      </c>
      <c r="C5" s="33">
        <v>1</v>
      </c>
      <c r="D5" s="33">
        <v>1</v>
      </c>
    </row>
    <row r="6" spans="1:6" x14ac:dyDescent="0.3">
      <c r="A6" s="34" t="s">
        <v>94</v>
      </c>
      <c r="B6" s="33">
        <v>1</v>
      </c>
      <c r="C6" s="33">
        <v>1</v>
      </c>
      <c r="D6" s="33">
        <v>1</v>
      </c>
    </row>
    <row r="7" spans="1:6" x14ac:dyDescent="0.3">
      <c r="A7" s="34" t="s">
        <v>92</v>
      </c>
      <c r="B7" s="33">
        <v>1</v>
      </c>
      <c r="C7" s="33">
        <v>1</v>
      </c>
      <c r="D7" s="33">
        <v>1</v>
      </c>
    </row>
    <row r="8" spans="1:6" x14ac:dyDescent="0.3">
      <c r="A8" s="34" t="s">
        <v>93</v>
      </c>
      <c r="B8" s="33">
        <v>1</v>
      </c>
      <c r="C8" s="33">
        <v>1</v>
      </c>
      <c r="D8" s="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6216-DB6B-4ED6-9AA4-BC1B162122E7}">
  <dimension ref="A1:Y27"/>
  <sheetViews>
    <sheetView workbookViewId="0">
      <selection activeCell="G16" sqref="G16:G18"/>
    </sheetView>
  </sheetViews>
  <sheetFormatPr defaultRowHeight="14.4" x14ac:dyDescent="0.3"/>
  <cols>
    <col min="1" max="1" width="26.109375" bestFit="1" customWidth="1"/>
    <col min="2" max="2" width="14.109375" bestFit="1" customWidth="1"/>
    <col min="3" max="3" width="12.44140625" customWidth="1"/>
    <col min="4" max="4" width="13.88671875" customWidth="1"/>
    <col min="5" max="5" width="22.5546875" bestFit="1" customWidth="1"/>
    <col min="6" max="6" width="18.6640625" bestFit="1" customWidth="1"/>
    <col min="7" max="7" width="12.6640625" bestFit="1" customWidth="1"/>
    <col min="8" max="8" width="15.44140625" customWidth="1"/>
    <col min="9" max="9" width="18.109375" customWidth="1"/>
    <col min="12" max="12" width="16.44140625" customWidth="1"/>
    <col min="13" max="13" width="9.6640625" bestFit="1" customWidth="1"/>
    <col min="14" max="14" width="10.44140625" bestFit="1" customWidth="1"/>
    <col min="15" max="15" width="23.44140625" bestFit="1" customWidth="1"/>
  </cols>
  <sheetData>
    <row r="1" spans="1:25" ht="42" customHeight="1" x14ac:dyDescent="0.3">
      <c r="A1" s="2" t="s">
        <v>33</v>
      </c>
      <c r="B1" s="2" t="s">
        <v>12</v>
      </c>
      <c r="C1" s="2" t="s">
        <v>31</v>
      </c>
      <c r="D1" s="2" t="s">
        <v>30</v>
      </c>
      <c r="E1" s="2" t="s">
        <v>18</v>
      </c>
      <c r="F1" s="2" t="s">
        <v>32</v>
      </c>
      <c r="G1" s="4" t="s">
        <v>35</v>
      </c>
      <c r="H1" s="4" t="s">
        <v>34</v>
      </c>
      <c r="J1" s="2"/>
      <c r="K1" s="2"/>
    </row>
    <row r="2" spans="1:25" x14ac:dyDescent="0.3">
      <c r="A2" s="20" t="s">
        <v>10</v>
      </c>
      <c r="B2" s="20">
        <v>2018</v>
      </c>
      <c r="C2" s="21">
        <v>7.5414094383199997</v>
      </c>
      <c r="D2" s="19" t="s">
        <v>15</v>
      </c>
      <c r="E2" s="22" t="s">
        <v>14</v>
      </c>
      <c r="F2" s="3" t="s">
        <v>20</v>
      </c>
      <c r="G2" s="9">
        <f t="shared" ref="G2:G8" si="0">C2*$M$3/$M$4</f>
        <v>21.805545521741941</v>
      </c>
      <c r="H2" t="s">
        <v>26</v>
      </c>
      <c r="J2" s="2"/>
      <c r="K2" s="2"/>
      <c r="L2" s="2" t="s">
        <v>16</v>
      </c>
      <c r="M2" s="2" t="s">
        <v>17</v>
      </c>
      <c r="N2" s="2" t="s">
        <v>18</v>
      </c>
    </row>
    <row r="3" spans="1:25" x14ac:dyDescent="0.3">
      <c r="A3" s="20" t="s">
        <v>10</v>
      </c>
      <c r="B3" s="20">
        <v>2019</v>
      </c>
      <c r="C3" s="21">
        <v>4.8274540271299999</v>
      </c>
      <c r="D3" s="19" t="s">
        <v>15</v>
      </c>
      <c r="E3" s="22" t="s">
        <v>14</v>
      </c>
      <c r="F3" s="3" t="s">
        <v>20</v>
      </c>
      <c r="G3" s="9">
        <f t="shared" si="0"/>
        <v>13.958301747657082</v>
      </c>
      <c r="H3" t="s">
        <v>26</v>
      </c>
      <c r="J3" s="8"/>
      <c r="K3" s="8"/>
      <c r="L3" s="15" t="s">
        <v>22</v>
      </c>
      <c r="M3" s="11">
        <v>0.85</v>
      </c>
      <c r="N3" s="7" t="s">
        <v>19</v>
      </c>
      <c r="W3" s="2"/>
      <c r="Y3" s="6"/>
    </row>
    <row r="4" spans="1:25" x14ac:dyDescent="0.3">
      <c r="A4" s="20" t="s">
        <v>10</v>
      </c>
      <c r="B4" s="20">
        <v>2020</v>
      </c>
      <c r="C4" s="21">
        <v>3.3115669452400409</v>
      </c>
      <c r="D4" s="19" t="s">
        <v>15</v>
      </c>
      <c r="E4" s="22" t="s">
        <v>14</v>
      </c>
      <c r="F4" s="3" t="s">
        <v>20</v>
      </c>
      <c r="G4" s="9">
        <f t="shared" si="0"/>
        <v>9.5752026677938797</v>
      </c>
      <c r="H4" t="s">
        <v>26</v>
      </c>
      <c r="L4" s="15" t="s">
        <v>23</v>
      </c>
      <c r="M4" s="12">
        <v>0.29397099999999998</v>
      </c>
      <c r="N4" s="8"/>
      <c r="W4" s="2"/>
      <c r="Y4" s="4"/>
    </row>
    <row r="5" spans="1:25" x14ac:dyDescent="0.3">
      <c r="A5" s="20" t="s">
        <v>10</v>
      </c>
      <c r="B5" s="20">
        <v>2021</v>
      </c>
      <c r="C5" s="21">
        <v>14.731149861407678</v>
      </c>
      <c r="D5" s="19" t="s">
        <v>15</v>
      </c>
      <c r="E5" s="22" t="s">
        <v>14</v>
      </c>
      <c r="F5" s="3" t="s">
        <v>20</v>
      </c>
      <c r="G5" s="9">
        <f t="shared" si="0"/>
        <v>42.594260597802254</v>
      </c>
      <c r="H5" t="s">
        <v>26</v>
      </c>
      <c r="L5" s="15" t="s">
        <v>24</v>
      </c>
      <c r="M5" s="14">
        <f>1.622*10^-6</f>
        <v>1.6220000000000001E-6</v>
      </c>
      <c r="W5" s="2"/>
      <c r="Y5" s="5"/>
    </row>
    <row r="6" spans="1:25" ht="49.8" customHeight="1" x14ac:dyDescent="0.3">
      <c r="A6" s="20" t="s">
        <v>10</v>
      </c>
      <c r="B6" s="20">
        <v>2022</v>
      </c>
      <c r="C6" s="21">
        <v>34.346664233461041</v>
      </c>
      <c r="D6" s="19" t="s">
        <v>15</v>
      </c>
      <c r="E6" s="22" t="s">
        <v>14</v>
      </c>
      <c r="F6" s="3" t="s">
        <v>20</v>
      </c>
      <c r="G6" s="9">
        <f t="shared" si="0"/>
        <v>99.311376286919071</v>
      </c>
      <c r="H6" t="s">
        <v>26</v>
      </c>
      <c r="L6" s="16" t="s">
        <v>25</v>
      </c>
      <c r="M6" s="11">
        <v>6000</v>
      </c>
      <c r="N6" s="6" t="s">
        <v>14</v>
      </c>
      <c r="Y6" s="10"/>
    </row>
    <row r="7" spans="1:25" x14ac:dyDescent="0.3">
      <c r="A7" s="20" t="s">
        <v>10</v>
      </c>
      <c r="B7" s="20">
        <v>2023</v>
      </c>
      <c r="C7" s="21">
        <v>11.492903809114813</v>
      </c>
      <c r="D7" s="19" t="s">
        <v>15</v>
      </c>
      <c r="E7" s="22" t="s">
        <v>14</v>
      </c>
      <c r="F7" s="3" t="s">
        <v>20</v>
      </c>
      <c r="G7" s="9">
        <f t="shared" si="0"/>
        <v>33.23106101536407</v>
      </c>
      <c r="H7" t="s">
        <v>26</v>
      </c>
      <c r="L7" s="15" t="s">
        <v>60</v>
      </c>
      <c r="M7" s="11">
        <v>0.82</v>
      </c>
      <c r="N7" s="7" t="s">
        <v>19</v>
      </c>
      <c r="Y7" s="10"/>
    </row>
    <row r="8" spans="1:25" x14ac:dyDescent="0.3">
      <c r="A8" s="20" t="s">
        <v>10</v>
      </c>
      <c r="B8" s="20">
        <v>2024</v>
      </c>
      <c r="C8" s="21">
        <v>9.52416119251955</v>
      </c>
      <c r="D8" s="19" t="s">
        <v>15</v>
      </c>
      <c r="E8" s="22" t="s">
        <v>14</v>
      </c>
      <c r="F8" s="3" t="s">
        <v>20</v>
      </c>
      <c r="G8" s="9">
        <f t="shared" si="0"/>
        <v>27.538556570687646</v>
      </c>
      <c r="H8" t="s">
        <v>26</v>
      </c>
      <c r="L8" s="15" t="s">
        <v>27</v>
      </c>
      <c r="M8" s="11">
        <v>0.88</v>
      </c>
      <c r="N8" s="7" t="s">
        <v>19</v>
      </c>
      <c r="Y8" s="10"/>
    </row>
    <row r="9" spans="1:25" x14ac:dyDescent="0.3">
      <c r="A9" s="20" t="s">
        <v>11</v>
      </c>
      <c r="B9" s="20">
        <v>2018</v>
      </c>
      <c r="C9" s="21">
        <v>105.06823090515999</v>
      </c>
      <c r="D9" s="19" t="s">
        <v>13</v>
      </c>
      <c r="E9" s="22" t="s">
        <v>14</v>
      </c>
      <c r="F9" s="3" t="s">
        <v>21</v>
      </c>
      <c r="G9" s="9">
        <f t="shared" ref="G9:G15" si="1">C9*$M$3/$M$6/$M$5/1000</f>
        <v>9.1767361559171796</v>
      </c>
      <c r="H9" t="s">
        <v>26</v>
      </c>
      <c r="M9" s="13"/>
      <c r="Y9" s="10"/>
    </row>
    <row r="10" spans="1:25" x14ac:dyDescent="0.3">
      <c r="A10" s="20" t="s">
        <v>11</v>
      </c>
      <c r="B10" s="20">
        <v>2019</v>
      </c>
      <c r="C10" s="21">
        <v>78.292956708220004</v>
      </c>
      <c r="D10" s="19" t="s">
        <v>13</v>
      </c>
      <c r="E10" s="22" t="s">
        <v>14</v>
      </c>
      <c r="F10" s="3" t="s">
        <v>21</v>
      </c>
      <c r="G10" s="9">
        <f t="shared" si="1"/>
        <v>6.8381641185765512</v>
      </c>
      <c r="H10" t="s">
        <v>26</v>
      </c>
      <c r="M10" s="13"/>
      <c r="Y10" s="10"/>
    </row>
    <row r="11" spans="1:25" x14ac:dyDescent="0.3">
      <c r="A11" s="20" t="s">
        <v>11</v>
      </c>
      <c r="B11" s="20">
        <v>2020</v>
      </c>
      <c r="C11" s="21">
        <v>62.08886618998978</v>
      </c>
      <c r="D11" s="19" t="s">
        <v>13</v>
      </c>
      <c r="E11" s="22" t="s">
        <v>14</v>
      </c>
      <c r="F11" s="3" t="s">
        <v>21</v>
      </c>
      <c r="G11" s="9">
        <f t="shared" si="1"/>
        <v>5.4228869976871463</v>
      </c>
      <c r="H11" t="s">
        <v>26</v>
      </c>
      <c r="M11" s="13"/>
      <c r="Y11" s="10"/>
    </row>
    <row r="12" spans="1:25" x14ac:dyDescent="0.3">
      <c r="A12" s="20" t="s">
        <v>11</v>
      </c>
      <c r="B12" s="20">
        <v>2021</v>
      </c>
      <c r="C12" s="21">
        <v>126.18829981718464</v>
      </c>
      <c r="D12" s="19" t="s">
        <v>13</v>
      </c>
      <c r="E12" s="22" t="s">
        <v>14</v>
      </c>
      <c r="F12" s="3" t="s">
        <v>21</v>
      </c>
      <c r="G12" s="9">
        <f t="shared" si="1"/>
        <v>11.021378426285136</v>
      </c>
      <c r="H12" t="s">
        <v>26</v>
      </c>
      <c r="M12" s="13"/>
      <c r="Y12" s="10"/>
    </row>
    <row r="13" spans="1:25" x14ac:dyDescent="0.3">
      <c r="A13" s="20" t="s">
        <v>11</v>
      </c>
      <c r="B13" s="20">
        <v>2022</v>
      </c>
      <c r="C13" s="21">
        <v>293.6511990918093</v>
      </c>
      <c r="D13" s="19" t="s">
        <v>13</v>
      </c>
      <c r="E13" s="22" t="s">
        <v>14</v>
      </c>
      <c r="F13" s="3" t="s">
        <v>21</v>
      </c>
      <c r="G13" s="9">
        <f t="shared" si="1"/>
        <v>25.647710565971831</v>
      </c>
      <c r="H13" t="s">
        <v>26</v>
      </c>
      <c r="M13" s="13"/>
      <c r="Y13" s="10"/>
    </row>
    <row r="14" spans="1:25" x14ac:dyDescent="0.3">
      <c r="A14" s="20" t="s">
        <v>11</v>
      </c>
      <c r="B14" s="20">
        <v>2023</v>
      </c>
      <c r="C14" s="21">
        <v>151.42784107508328</v>
      </c>
      <c r="D14" s="19" t="s">
        <v>13</v>
      </c>
      <c r="E14" s="22" t="s">
        <v>14</v>
      </c>
      <c r="F14" s="3" t="s">
        <v>21</v>
      </c>
      <c r="G14" s="9">
        <f t="shared" si="1"/>
        <v>13.225818425176818</v>
      </c>
      <c r="H14" t="s">
        <v>26</v>
      </c>
      <c r="M14" s="13"/>
      <c r="Y14" s="10"/>
    </row>
    <row r="15" spans="1:25" x14ac:dyDescent="0.3">
      <c r="A15" s="20" t="s">
        <v>11</v>
      </c>
      <c r="B15" s="20">
        <v>2024</v>
      </c>
      <c r="C15" s="21">
        <v>118.28554879814943</v>
      </c>
      <c r="D15" s="19" t="s">
        <v>13</v>
      </c>
      <c r="E15" s="22" t="s">
        <v>14</v>
      </c>
      <c r="F15" s="3" t="s">
        <v>21</v>
      </c>
      <c r="G15" s="9">
        <f t="shared" si="1"/>
        <v>10.331146370574086</v>
      </c>
      <c r="H15" t="s">
        <v>26</v>
      </c>
      <c r="M15" s="13"/>
      <c r="Y15" s="10"/>
    </row>
    <row r="16" spans="1:25" x14ac:dyDescent="0.3">
      <c r="A16" s="8" t="s">
        <v>1</v>
      </c>
      <c r="B16" s="20">
        <v>2021</v>
      </c>
      <c r="C16" s="21">
        <v>0.46</v>
      </c>
      <c r="D16" s="19" t="s">
        <v>58</v>
      </c>
      <c r="E16" s="22" t="s">
        <v>59</v>
      </c>
      <c r="G16" s="9">
        <f>C16*M7/100*1000</f>
        <v>3.7719999999999998</v>
      </c>
      <c r="H16" t="s">
        <v>26</v>
      </c>
      <c r="M16" s="13"/>
      <c r="Y16" s="4"/>
    </row>
    <row r="17" spans="1:25" x14ac:dyDescent="0.3">
      <c r="A17" s="8" t="s">
        <v>1</v>
      </c>
      <c r="B17" s="30" t="s">
        <v>65</v>
      </c>
      <c r="C17" s="21">
        <v>7</v>
      </c>
      <c r="D17" s="1" t="s">
        <v>66</v>
      </c>
      <c r="E17" s="22" t="s">
        <v>64</v>
      </c>
      <c r="G17" s="9">
        <f>C17*M7</f>
        <v>5.7399999999999993</v>
      </c>
      <c r="H17" t="s">
        <v>26</v>
      </c>
      <c r="M17" s="13"/>
      <c r="Y17" s="5"/>
    </row>
    <row r="18" spans="1:25" x14ac:dyDescent="0.3">
      <c r="A18" s="8" t="s">
        <v>1</v>
      </c>
      <c r="B18" s="20">
        <v>2021</v>
      </c>
      <c r="C18" s="21">
        <v>0.61</v>
      </c>
      <c r="D18" s="19" t="s">
        <v>58</v>
      </c>
      <c r="E18" s="22" t="s">
        <v>63</v>
      </c>
      <c r="G18" s="9">
        <f>C18*M7/100*1000</f>
        <v>5.0019999999999998</v>
      </c>
      <c r="H18" t="s">
        <v>26</v>
      </c>
      <c r="M18" s="13"/>
      <c r="Y18" s="9"/>
    </row>
    <row r="19" spans="1:25" x14ac:dyDescent="0.3">
      <c r="M19" s="13"/>
      <c r="Y19" s="9"/>
    </row>
    <row r="20" spans="1:25" x14ac:dyDescent="0.3">
      <c r="E20" s="22"/>
      <c r="Y20" s="9"/>
    </row>
    <row r="21" spans="1:25" x14ac:dyDescent="0.3">
      <c r="E21" s="24"/>
    </row>
    <row r="22" spans="1:25" x14ac:dyDescent="0.3">
      <c r="E22" s="29"/>
    </row>
    <row r="27" spans="1:25" x14ac:dyDescent="0.3">
      <c r="Q27" s="17"/>
      <c r="R27" s="9"/>
      <c r="S27" s="9"/>
    </row>
  </sheetData>
  <hyperlinks>
    <hyperlink ref="N6" r:id="rId1" xr:uid="{DF57DE7B-1BFB-46E2-A367-B6ECAC30D28E}"/>
    <hyperlink ref="E2" r:id="rId2" xr:uid="{43CE2A3A-56DA-4553-9E4F-92362EE5CD04}"/>
    <hyperlink ref="E3" r:id="rId3" xr:uid="{9754E331-82B7-49C8-B626-F4CF5E7C173E}"/>
    <hyperlink ref="E4" r:id="rId4" xr:uid="{EF383D0A-15F0-4B08-A733-3C043077C9F9}"/>
    <hyperlink ref="E5" r:id="rId5" xr:uid="{944C0B5A-49D5-4D80-93EF-C6B85DB6304A}"/>
    <hyperlink ref="E6" r:id="rId6" xr:uid="{6988E22D-F804-4C62-8C7B-7F83ED9B3CB7}"/>
    <hyperlink ref="E7" r:id="rId7" xr:uid="{DE760FD1-0CEE-4185-9625-11A99D9355EA}"/>
    <hyperlink ref="E8" r:id="rId8" xr:uid="{A6CF3B73-709A-4F91-97B5-6A913B5528DA}"/>
    <hyperlink ref="E9:E15" r:id="rId9" display="World Bank" xr:uid="{80874292-EDDF-4056-827D-D7F6914B6036}"/>
    <hyperlink ref="E16" r:id="rId10" xr:uid="{0A15B76E-514E-4B75-ACAD-E2793D18E38A}"/>
    <hyperlink ref="N7" r:id="rId11" xr:uid="{A37BA78B-11DC-41F6-ACA1-CD3B620CB840}"/>
    <hyperlink ref="E18" r:id="rId12" xr:uid="{CE540549-CF28-48F8-B699-8C84C681D4A9}"/>
    <hyperlink ref="E17" r:id="rId13" display="Dati elaborati da NREL" xr:uid="{FA34371D-7714-4F4E-BC99-DC72274713CD}"/>
    <hyperlink ref="N8" r:id="rId14" xr:uid="{B5C929D6-B267-4086-B524-D47FDFA68A60}"/>
  </hyperlinks>
  <pageMargins left="0.7" right="0.7" top="0.75" bottom="0.75" header="0.3" footer="0.3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8822-C8DD-4CF0-BC79-5189EFFDF89D}">
  <dimension ref="A1:T41"/>
  <sheetViews>
    <sheetView topLeftCell="A7" zoomScale="70" zoomScaleNormal="70" workbookViewId="0">
      <selection activeCell="I26" sqref="I26"/>
    </sheetView>
  </sheetViews>
  <sheetFormatPr defaultRowHeight="14.4" x14ac:dyDescent="0.3"/>
  <cols>
    <col min="1" max="1" width="19.88671875" bestFit="1" customWidth="1"/>
    <col min="2" max="2" width="23.33203125" bestFit="1" customWidth="1"/>
    <col min="3" max="3" width="16" customWidth="1"/>
    <col min="4" max="4" width="14.33203125" customWidth="1"/>
    <col min="5" max="5" width="12.5546875" bestFit="1" customWidth="1"/>
    <col min="6" max="6" width="12.6640625" customWidth="1"/>
    <col min="7" max="7" width="27.109375" customWidth="1"/>
    <col min="8" max="8" width="42.6640625" customWidth="1"/>
    <col min="9" max="9" width="13.33203125" customWidth="1"/>
    <col min="10" max="10" width="12.33203125" customWidth="1"/>
    <col min="16" max="16" width="12.5546875" bestFit="1" customWidth="1"/>
  </cols>
  <sheetData>
    <row r="1" spans="1:18" ht="28.8" x14ac:dyDescent="0.3">
      <c r="A1" s="2" t="s">
        <v>33</v>
      </c>
      <c r="B1" s="2" t="s">
        <v>38</v>
      </c>
      <c r="C1" s="2" t="s">
        <v>12</v>
      </c>
      <c r="D1" s="2" t="s">
        <v>31</v>
      </c>
      <c r="E1" s="2" t="s">
        <v>30</v>
      </c>
      <c r="F1" s="2" t="s">
        <v>18</v>
      </c>
      <c r="G1" s="2" t="s">
        <v>44</v>
      </c>
      <c r="H1" s="2" t="s">
        <v>43</v>
      </c>
      <c r="I1" s="4" t="s">
        <v>35</v>
      </c>
      <c r="J1" s="4" t="s">
        <v>34</v>
      </c>
    </row>
    <row r="2" spans="1:18" x14ac:dyDescent="0.3">
      <c r="A2" s="8" t="s">
        <v>0</v>
      </c>
      <c r="B2" s="8" t="s">
        <v>39</v>
      </c>
      <c r="C2" s="8">
        <v>2020</v>
      </c>
      <c r="D2" s="23">
        <v>1333</v>
      </c>
      <c r="E2" s="1" t="s">
        <v>28</v>
      </c>
      <c r="F2" s="6" t="s">
        <v>29</v>
      </c>
      <c r="G2" s="24" t="s">
        <v>36</v>
      </c>
      <c r="H2" s="24"/>
      <c r="I2" s="23">
        <f>D2*$Q$3*10^3</f>
        <v>1173040</v>
      </c>
      <c r="J2" s="8" t="s">
        <v>37</v>
      </c>
      <c r="P2" s="2" t="s">
        <v>16</v>
      </c>
      <c r="Q2" s="2" t="s">
        <v>17</v>
      </c>
      <c r="R2" s="2" t="s">
        <v>18</v>
      </c>
    </row>
    <row r="3" spans="1:18" x14ac:dyDescent="0.3">
      <c r="A3" s="8" t="s">
        <v>0</v>
      </c>
      <c r="B3" s="8" t="s">
        <v>39</v>
      </c>
      <c r="C3" s="8">
        <v>2030</v>
      </c>
      <c r="D3" s="23">
        <v>754</v>
      </c>
      <c r="E3" s="1" t="s">
        <v>28</v>
      </c>
      <c r="F3" s="6" t="s">
        <v>29</v>
      </c>
      <c r="G3" s="24" t="s">
        <v>36</v>
      </c>
      <c r="H3" s="24"/>
      <c r="I3" s="23">
        <f t="shared" ref="I3:I12" si="0">D3*$Q$3*10^3</f>
        <v>663520</v>
      </c>
      <c r="J3" s="8" t="s">
        <v>37</v>
      </c>
      <c r="P3" s="15" t="s">
        <v>27</v>
      </c>
      <c r="Q3" s="11">
        <v>0.88</v>
      </c>
      <c r="R3" s="7" t="s">
        <v>19</v>
      </c>
    </row>
    <row r="4" spans="1:18" ht="28.8" x14ac:dyDescent="0.3">
      <c r="A4" s="37" t="s">
        <v>0</v>
      </c>
      <c r="B4" s="37" t="s">
        <v>102</v>
      </c>
      <c r="C4" s="37">
        <v>2025</v>
      </c>
      <c r="D4" s="36">
        <v>676.57029999999997</v>
      </c>
      <c r="E4" s="38" t="s">
        <v>28</v>
      </c>
      <c r="F4" s="39" t="s">
        <v>105</v>
      </c>
      <c r="G4" s="40" t="s">
        <v>118</v>
      </c>
      <c r="H4" s="40" t="s">
        <v>104</v>
      </c>
      <c r="I4" s="35">
        <f>D4*10^3</f>
        <v>676570.29999999993</v>
      </c>
      <c r="J4" s="37" t="s">
        <v>37</v>
      </c>
      <c r="P4" s="15" t="s">
        <v>107</v>
      </c>
      <c r="Q4" s="11">
        <v>1.06</v>
      </c>
      <c r="R4" s="7" t="s">
        <v>19</v>
      </c>
    </row>
    <row r="5" spans="1:18" ht="28.8" x14ac:dyDescent="0.3">
      <c r="A5" s="8" t="s">
        <v>0</v>
      </c>
      <c r="B5" s="8" t="s">
        <v>103</v>
      </c>
      <c r="C5" s="8">
        <v>2025</v>
      </c>
      <c r="D5" s="23">
        <v>473.11559999999997</v>
      </c>
      <c r="E5" s="1" t="s">
        <v>28</v>
      </c>
      <c r="F5" s="6" t="s">
        <v>105</v>
      </c>
      <c r="G5" s="40" t="s">
        <v>118</v>
      </c>
      <c r="H5" s="24"/>
      <c r="I5" s="23">
        <f>D5*10^3</f>
        <v>473115.6</v>
      </c>
      <c r="J5" s="8" t="s">
        <v>37</v>
      </c>
      <c r="P5" s="15" t="s">
        <v>114</v>
      </c>
      <c r="Q5" s="11">
        <v>1.1399999999999999</v>
      </c>
      <c r="R5" s="7" t="s">
        <v>19</v>
      </c>
    </row>
    <row r="6" spans="1:18" x14ac:dyDescent="0.3">
      <c r="A6" s="8" t="s">
        <v>4</v>
      </c>
      <c r="B6" s="8" t="s">
        <v>40</v>
      </c>
      <c r="C6" s="8">
        <v>2020</v>
      </c>
      <c r="D6" s="23">
        <v>1462</v>
      </c>
      <c r="E6" s="1" t="s">
        <v>28</v>
      </c>
      <c r="F6" s="6" t="s">
        <v>29</v>
      </c>
      <c r="G6" s="24" t="s">
        <v>36</v>
      </c>
      <c r="H6" s="24"/>
      <c r="I6" s="23">
        <f t="shared" si="0"/>
        <v>1286560</v>
      </c>
      <c r="J6" s="8" t="s">
        <v>37</v>
      </c>
    </row>
    <row r="7" spans="1:18" x14ac:dyDescent="0.3">
      <c r="A7" s="8" t="s">
        <v>4</v>
      </c>
      <c r="B7" s="8" t="s">
        <v>40</v>
      </c>
      <c r="C7" s="8">
        <v>2030</v>
      </c>
      <c r="D7" s="23">
        <v>956</v>
      </c>
      <c r="E7" s="1" t="s">
        <v>28</v>
      </c>
      <c r="F7" s="6" t="s">
        <v>29</v>
      </c>
      <c r="G7" s="24" t="s">
        <v>36</v>
      </c>
      <c r="H7" s="24"/>
      <c r="I7" s="23">
        <f t="shared" si="0"/>
        <v>841280</v>
      </c>
      <c r="J7" s="8" t="s">
        <v>37</v>
      </c>
    </row>
    <row r="8" spans="1:18" ht="28.8" x14ac:dyDescent="0.3">
      <c r="A8" s="37" t="s">
        <v>4</v>
      </c>
      <c r="B8" s="37" t="s">
        <v>40</v>
      </c>
      <c r="C8" s="37">
        <v>2025</v>
      </c>
      <c r="D8" s="35">
        <v>1139.8825999999999</v>
      </c>
      <c r="E8" s="38" t="s">
        <v>106</v>
      </c>
      <c r="F8" s="39" t="s">
        <v>105</v>
      </c>
      <c r="G8" s="40" t="s">
        <v>118</v>
      </c>
      <c r="H8" s="41"/>
      <c r="I8" s="35">
        <f>D8*$Q$4*10^3</f>
        <v>1208275.5560000001</v>
      </c>
      <c r="J8" s="37" t="s">
        <v>37</v>
      </c>
    </row>
    <row r="9" spans="1:18" x14ac:dyDescent="0.3">
      <c r="A9" s="8" t="s">
        <v>4</v>
      </c>
      <c r="B9" s="8" t="s">
        <v>41</v>
      </c>
      <c r="C9" s="8">
        <v>2020</v>
      </c>
      <c r="D9" s="23">
        <v>3739</v>
      </c>
      <c r="E9" s="1" t="s">
        <v>28</v>
      </c>
      <c r="F9" s="6" t="s">
        <v>29</v>
      </c>
      <c r="G9" s="24" t="s">
        <v>36</v>
      </c>
      <c r="H9" s="42"/>
      <c r="I9" s="23">
        <f t="shared" si="0"/>
        <v>3290320</v>
      </c>
      <c r="J9" s="8" t="s">
        <v>37</v>
      </c>
    </row>
    <row r="10" spans="1:18" x14ac:dyDescent="0.3">
      <c r="A10" s="8" t="s">
        <v>4</v>
      </c>
      <c r="B10" s="8" t="s">
        <v>41</v>
      </c>
      <c r="C10" s="8">
        <v>2030</v>
      </c>
      <c r="D10" s="23">
        <v>2758</v>
      </c>
      <c r="E10" s="1" t="s">
        <v>28</v>
      </c>
      <c r="F10" s="6" t="s">
        <v>29</v>
      </c>
      <c r="G10" s="24" t="s">
        <v>36</v>
      </c>
      <c r="H10" s="42"/>
      <c r="I10" s="23">
        <f t="shared" si="0"/>
        <v>2427040</v>
      </c>
      <c r="J10" s="8" t="s">
        <v>37</v>
      </c>
    </row>
    <row r="11" spans="1:18" ht="28.8" x14ac:dyDescent="0.3">
      <c r="A11" s="32" t="s">
        <v>4</v>
      </c>
      <c r="B11" s="32" t="s">
        <v>41</v>
      </c>
      <c r="C11" s="32">
        <v>2025</v>
      </c>
      <c r="D11" s="48">
        <v>1769.1170999999999</v>
      </c>
      <c r="E11" s="1" t="s">
        <v>28</v>
      </c>
      <c r="F11" s="49" t="s">
        <v>105</v>
      </c>
      <c r="G11" s="50" t="s">
        <v>118</v>
      </c>
      <c r="H11" s="51"/>
      <c r="I11" s="23">
        <f>D11*10^3</f>
        <v>1769117.0999999999</v>
      </c>
      <c r="J11" s="8" t="s">
        <v>37</v>
      </c>
    </row>
    <row r="12" spans="1:18" x14ac:dyDescent="0.3">
      <c r="A12" s="8" t="s">
        <v>4</v>
      </c>
      <c r="B12" s="8" t="s">
        <v>42</v>
      </c>
      <c r="C12" s="8">
        <v>2020</v>
      </c>
      <c r="D12" s="23">
        <v>4049</v>
      </c>
      <c r="E12" s="1" t="s">
        <v>28</v>
      </c>
      <c r="F12" s="6" t="s">
        <v>29</v>
      </c>
      <c r="G12" s="24" t="s">
        <v>36</v>
      </c>
      <c r="H12" s="24"/>
      <c r="I12" s="23">
        <f t="shared" si="0"/>
        <v>3563120</v>
      </c>
      <c r="J12" s="8" t="s">
        <v>37</v>
      </c>
    </row>
    <row r="13" spans="1:18" x14ac:dyDescent="0.3">
      <c r="A13" s="8" t="s">
        <v>4</v>
      </c>
      <c r="B13" s="8" t="s">
        <v>42</v>
      </c>
      <c r="C13" s="8">
        <v>2030</v>
      </c>
      <c r="D13" s="23">
        <v>3467</v>
      </c>
      <c r="E13" s="1" t="s">
        <v>28</v>
      </c>
      <c r="F13" s="6" t="s">
        <v>29</v>
      </c>
      <c r="G13" s="24" t="s">
        <v>36</v>
      </c>
      <c r="H13" s="24"/>
      <c r="I13" s="23">
        <f>D13*$Q$3*10^3</f>
        <v>3050960</v>
      </c>
      <c r="J13" s="8" t="s">
        <v>37</v>
      </c>
    </row>
    <row r="14" spans="1:18" x14ac:dyDescent="0.3">
      <c r="A14" s="8" t="s">
        <v>5</v>
      </c>
      <c r="B14" s="8" t="s">
        <v>62</v>
      </c>
      <c r="C14" s="8">
        <v>2035</v>
      </c>
      <c r="D14" s="23">
        <v>6160.0000000000009</v>
      </c>
      <c r="E14" s="1" t="s">
        <v>28</v>
      </c>
      <c r="F14" s="6" t="s">
        <v>29</v>
      </c>
      <c r="G14" s="24" t="s">
        <v>36</v>
      </c>
      <c r="H14" s="25" t="s">
        <v>45</v>
      </c>
      <c r="I14" s="23">
        <f t="shared" ref="I14:I29" si="1">D14*$Q$3*10^3</f>
        <v>5420800.0000000009</v>
      </c>
      <c r="J14" s="8" t="s">
        <v>37</v>
      </c>
    </row>
    <row r="15" spans="1:18" x14ac:dyDescent="0.3">
      <c r="A15" s="8" t="s">
        <v>5</v>
      </c>
      <c r="B15" s="8" t="s">
        <v>62</v>
      </c>
      <c r="C15" s="8">
        <v>2050</v>
      </c>
      <c r="D15" s="23">
        <v>5500</v>
      </c>
      <c r="E15" s="1" t="s">
        <v>28</v>
      </c>
      <c r="F15" s="6" t="s">
        <v>29</v>
      </c>
      <c r="G15" s="24" t="s">
        <v>36</v>
      </c>
      <c r="H15" s="25" t="s">
        <v>45</v>
      </c>
      <c r="I15" s="23">
        <f t="shared" si="1"/>
        <v>4840000</v>
      </c>
      <c r="J15" s="8" t="s">
        <v>37</v>
      </c>
    </row>
    <row r="16" spans="1:18" x14ac:dyDescent="0.3">
      <c r="A16" s="8" t="s">
        <v>5</v>
      </c>
      <c r="B16" s="8" t="s">
        <v>61</v>
      </c>
      <c r="C16" s="8">
        <v>2035</v>
      </c>
      <c r="D16" s="23">
        <v>6820.0000000000009</v>
      </c>
      <c r="E16" s="1" t="s">
        <v>28</v>
      </c>
      <c r="F16" s="6" t="s">
        <v>29</v>
      </c>
      <c r="G16" s="24" t="s">
        <v>36</v>
      </c>
      <c r="H16" s="25" t="s">
        <v>45</v>
      </c>
      <c r="I16" s="23">
        <f t="shared" si="1"/>
        <v>6001600.0000000009</v>
      </c>
      <c r="J16" s="8" t="s">
        <v>37</v>
      </c>
    </row>
    <row r="17" spans="1:20" x14ac:dyDescent="0.3">
      <c r="A17" s="8" t="s">
        <v>5</v>
      </c>
      <c r="B17" s="8" t="s">
        <v>61</v>
      </c>
      <c r="C17" s="8">
        <v>2050</v>
      </c>
      <c r="D17" s="23">
        <v>6050.0000000000009</v>
      </c>
      <c r="E17" s="1" t="s">
        <v>28</v>
      </c>
      <c r="F17" s="6" t="s">
        <v>29</v>
      </c>
      <c r="G17" s="24" t="s">
        <v>36</v>
      </c>
      <c r="H17" s="25" t="s">
        <v>45</v>
      </c>
      <c r="I17" s="23">
        <f t="shared" si="1"/>
        <v>5324000.0000000009</v>
      </c>
      <c r="J17" s="8" t="s">
        <v>37</v>
      </c>
    </row>
    <row r="18" spans="1:20" ht="28.8" x14ac:dyDescent="0.3">
      <c r="A18" s="37" t="s">
        <v>96</v>
      </c>
      <c r="B18" s="37"/>
      <c r="C18" s="37">
        <v>2025</v>
      </c>
      <c r="D18" s="35">
        <v>2274.8177000000001</v>
      </c>
      <c r="E18" s="38" t="s">
        <v>113</v>
      </c>
      <c r="F18" s="39" t="s">
        <v>105</v>
      </c>
      <c r="G18" s="40" t="s">
        <v>118</v>
      </c>
      <c r="H18" s="45"/>
      <c r="I18" s="35">
        <f>D18*$Q$5*10^3</f>
        <v>2593292.1779999998</v>
      </c>
      <c r="J18" s="37" t="s">
        <v>37</v>
      </c>
    </row>
    <row r="19" spans="1:20" ht="28.8" x14ac:dyDescent="0.3">
      <c r="A19" s="37" t="s">
        <v>97</v>
      </c>
      <c r="B19" s="37"/>
      <c r="C19" s="37">
        <v>2025</v>
      </c>
      <c r="D19" s="35">
        <v>57074.0625</v>
      </c>
      <c r="E19" s="38" t="s">
        <v>119</v>
      </c>
      <c r="F19" s="39" t="s">
        <v>105</v>
      </c>
      <c r="G19" s="40" t="s">
        <v>118</v>
      </c>
      <c r="H19" s="45"/>
      <c r="I19" s="35">
        <f>D19*$Q$4</f>
        <v>60498.506250000006</v>
      </c>
      <c r="J19" s="37" t="s">
        <v>26</v>
      </c>
    </row>
    <row r="20" spans="1:20" x14ac:dyDescent="0.3">
      <c r="A20" s="8" t="s">
        <v>98</v>
      </c>
      <c r="B20" s="8" t="s">
        <v>99</v>
      </c>
      <c r="C20" s="8">
        <v>2020</v>
      </c>
      <c r="D20" s="23">
        <v>3075</v>
      </c>
      <c r="E20" s="1" t="s">
        <v>28</v>
      </c>
      <c r="F20" s="6" t="s">
        <v>29</v>
      </c>
      <c r="G20" s="24" t="s">
        <v>36</v>
      </c>
      <c r="H20" s="25"/>
      <c r="I20" s="23">
        <f t="shared" si="1"/>
        <v>2706000</v>
      </c>
      <c r="J20" s="8" t="s">
        <v>37</v>
      </c>
    </row>
    <row r="21" spans="1:20" x14ac:dyDescent="0.3">
      <c r="A21" s="8" t="s">
        <v>98</v>
      </c>
      <c r="B21" s="8" t="s">
        <v>99</v>
      </c>
      <c r="C21" s="8">
        <v>2030</v>
      </c>
      <c r="D21" s="23">
        <v>2240</v>
      </c>
      <c r="E21" s="1" t="s">
        <v>28</v>
      </c>
      <c r="F21" s="6" t="s">
        <v>29</v>
      </c>
      <c r="G21" s="24" t="s">
        <v>36</v>
      </c>
      <c r="H21" s="25"/>
      <c r="I21" s="23">
        <f t="shared" si="1"/>
        <v>1971200</v>
      </c>
      <c r="J21" s="8" t="s">
        <v>37</v>
      </c>
    </row>
    <row r="22" spans="1:20" ht="28.8" x14ac:dyDescent="0.3">
      <c r="A22" s="37" t="s">
        <v>98</v>
      </c>
      <c r="B22" s="37"/>
      <c r="C22" s="37">
        <v>2025</v>
      </c>
      <c r="D22" s="35">
        <v>1989.7080000000001</v>
      </c>
      <c r="E22" s="38" t="s">
        <v>111</v>
      </c>
      <c r="F22" s="39" t="s">
        <v>105</v>
      </c>
      <c r="G22" s="40" t="s">
        <v>118</v>
      </c>
      <c r="H22" s="45"/>
      <c r="I22" s="35">
        <f>D22*$Q$4*10^3</f>
        <v>2109090.4800000004</v>
      </c>
      <c r="J22" s="37" t="s">
        <v>37</v>
      </c>
    </row>
    <row r="23" spans="1:20" x14ac:dyDescent="0.3">
      <c r="A23" s="8" t="s">
        <v>100</v>
      </c>
      <c r="B23" s="8" t="s">
        <v>101</v>
      </c>
      <c r="C23" s="8">
        <v>2020</v>
      </c>
      <c r="D23" s="23">
        <v>1038</v>
      </c>
      <c r="E23" s="1" t="s">
        <v>28</v>
      </c>
      <c r="F23" s="6" t="s">
        <v>29</v>
      </c>
      <c r="G23" s="24" t="s">
        <v>36</v>
      </c>
      <c r="H23" s="25"/>
      <c r="I23" s="23">
        <f t="shared" si="1"/>
        <v>913440</v>
      </c>
      <c r="J23" s="8" t="s">
        <v>37</v>
      </c>
    </row>
    <row r="24" spans="1:20" x14ac:dyDescent="0.3">
      <c r="A24" s="8" t="s">
        <v>100</v>
      </c>
      <c r="B24" s="8" t="s">
        <v>101</v>
      </c>
      <c r="C24" s="8">
        <v>2030</v>
      </c>
      <c r="D24" s="23">
        <v>838</v>
      </c>
      <c r="E24" s="1" t="s">
        <v>28</v>
      </c>
      <c r="F24" s="6" t="s">
        <v>29</v>
      </c>
      <c r="G24" s="24" t="s">
        <v>36</v>
      </c>
      <c r="H24" s="25"/>
      <c r="I24" s="23">
        <f t="shared" si="1"/>
        <v>737440</v>
      </c>
      <c r="J24" s="8" t="s">
        <v>37</v>
      </c>
    </row>
    <row r="25" spans="1:20" ht="28.8" x14ac:dyDescent="0.3">
      <c r="A25" s="37" t="s">
        <v>100</v>
      </c>
      <c r="B25" s="37" t="s">
        <v>112</v>
      </c>
      <c r="C25" s="37">
        <v>2025</v>
      </c>
      <c r="D25" s="35">
        <v>608.47739999999999</v>
      </c>
      <c r="E25" s="38" t="s">
        <v>111</v>
      </c>
      <c r="F25" s="39" t="s">
        <v>105</v>
      </c>
      <c r="G25" s="40" t="s">
        <v>118</v>
      </c>
      <c r="H25" s="45"/>
      <c r="I25" s="35">
        <f>D25*$Q$4*10^3</f>
        <v>644986.04399999999</v>
      </c>
      <c r="J25" s="37" t="s">
        <v>37</v>
      </c>
    </row>
    <row r="26" spans="1:20" ht="57.6" x14ac:dyDescent="0.3">
      <c r="A26" s="37" t="s">
        <v>5</v>
      </c>
      <c r="B26" s="37" t="s">
        <v>51</v>
      </c>
      <c r="C26" s="37">
        <v>2025</v>
      </c>
      <c r="D26" s="35">
        <v>5350</v>
      </c>
      <c r="E26" s="38" t="s">
        <v>48</v>
      </c>
      <c r="F26" s="53" t="s">
        <v>49</v>
      </c>
      <c r="G26" s="45" t="s">
        <v>53</v>
      </c>
      <c r="H26" s="54" t="s">
        <v>50</v>
      </c>
      <c r="I26" s="35">
        <f>D26*$Q$3*10^3*0.67</f>
        <v>3154360</v>
      </c>
      <c r="J26" s="37" t="s">
        <v>37</v>
      </c>
    </row>
    <row r="27" spans="1:20" ht="72" x14ac:dyDescent="0.3">
      <c r="A27" s="8" t="s">
        <v>6</v>
      </c>
      <c r="B27" s="8" t="s">
        <v>54</v>
      </c>
      <c r="C27" s="8">
        <v>2020</v>
      </c>
      <c r="D27" s="27">
        <v>988.32170015695567</v>
      </c>
      <c r="E27" s="1" t="s">
        <v>28</v>
      </c>
      <c r="F27" s="6" t="s">
        <v>29</v>
      </c>
      <c r="G27" s="24" t="s">
        <v>36</v>
      </c>
      <c r="H27" s="24" t="s">
        <v>56</v>
      </c>
      <c r="I27" s="23">
        <f t="shared" si="1"/>
        <v>869723.09613812109</v>
      </c>
      <c r="J27" s="8" t="s">
        <v>37</v>
      </c>
      <c r="R27" s="2"/>
      <c r="S27" s="6"/>
      <c r="T27" s="6"/>
    </row>
    <row r="28" spans="1:20" ht="72" x14ac:dyDescent="0.3">
      <c r="A28" s="8" t="s">
        <v>6</v>
      </c>
      <c r="B28" s="8" t="s">
        <v>54</v>
      </c>
      <c r="C28" s="8">
        <v>2030</v>
      </c>
      <c r="D28" s="27">
        <v>681.62247956991291</v>
      </c>
      <c r="E28" s="1" t="s">
        <v>28</v>
      </c>
      <c r="F28" s="6" t="s">
        <v>29</v>
      </c>
      <c r="G28" s="24" t="s">
        <v>36</v>
      </c>
      <c r="H28" s="24" t="s">
        <v>56</v>
      </c>
      <c r="I28" s="23">
        <f t="shared" si="1"/>
        <v>599827.78202152334</v>
      </c>
      <c r="J28" s="8" t="s">
        <v>37</v>
      </c>
      <c r="R28" s="2"/>
      <c r="S28" s="4"/>
      <c r="T28" s="4"/>
    </row>
    <row r="29" spans="1:20" ht="72" x14ac:dyDescent="0.3">
      <c r="A29" s="8" t="s">
        <v>6</v>
      </c>
      <c r="B29" s="8" t="s">
        <v>54</v>
      </c>
      <c r="C29" s="8">
        <v>2050</v>
      </c>
      <c r="D29" s="28">
        <v>681.62247956991291</v>
      </c>
      <c r="E29" s="1" t="s">
        <v>28</v>
      </c>
      <c r="F29" s="6" t="s">
        <v>29</v>
      </c>
      <c r="G29" s="24" t="s">
        <v>36</v>
      </c>
      <c r="H29" s="24" t="s">
        <v>56</v>
      </c>
      <c r="I29" s="23">
        <f t="shared" si="1"/>
        <v>599827.78202152334</v>
      </c>
      <c r="J29" s="8" t="s">
        <v>37</v>
      </c>
      <c r="R29" s="2"/>
      <c r="S29" s="5"/>
      <c r="T29" s="5"/>
    </row>
    <row r="30" spans="1:20" ht="72" x14ac:dyDescent="0.3">
      <c r="A30" s="8" t="s">
        <v>6</v>
      </c>
      <c r="B30" s="8" t="s">
        <v>55</v>
      </c>
      <c r="C30" s="8">
        <v>2020</v>
      </c>
      <c r="D30" s="27">
        <v>1727.2344448095646</v>
      </c>
      <c r="E30" s="1" t="s">
        <v>28</v>
      </c>
      <c r="F30" s="6" t="s">
        <v>29</v>
      </c>
      <c r="G30" s="24" t="s">
        <v>36</v>
      </c>
      <c r="H30" s="24" t="s">
        <v>57</v>
      </c>
      <c r="I30" s="23">
        <f t="shared" ref="I30:I32" si="2">D30*$Q$3*10^3</f>
        <v>1519966.3114324168</v>
      </c>
      <c r="J30" s="8" t="s">
        <v>37</v>
      </c>
      <c r="S30" s="9"/>
      <c r="T30" s="10"/>
    </row>
    <row r="31" spans="1:20" ht="72" x14ac:dyDescent="0.3">
      <c r="A31" s="8" t="s">
        <v>6</v>
      </c>
      <c r="B31" s="8" t="s">
        <v>55</v>
      </c>
      <c r="C31" s="8">
        <v>2030</v>
      </c>
      <c r="D31" s="27">
        <v>1173.7257628388072</v>
      </c>
      <c r="E31" s="1" t="s">
        <v>28</v>
      </c>
      <c r="F31" s="6" t="s">
        <v>29</v>
      </c>
      <c r="G31" s="24" t="s">
        <v>36</v>
      </c>
      <c r="H31" s="24" t="s">
        <v>57</v>
      </c>
      <c r="I31" s="23">
        <f t="shared" si="2"/>
        <v>1032878.6712981503</v>
      </c>
      <c r="J31" s="8" t="s">
        <v>37</v>
      </c>
      <c r="S31" s="9"/>
      <c r="T31" s="10"/>
    </row>
    <row r="32" spans="1:20" ht="72" x14ac:dyDescent="0.3">
      <c r="A32" s="8" t="s">
        <v>6</v>
      </c>
      <c r="B32" s="8" t="s">
        <v>55</v>
      </c>
      <c r="C32" s="8">
        <v>2050</v>
      </c>
      <c r="D32" s="28">
        <v>1173.7257628388072</v>
      </c>
      <c r="E32" s="1" t="s">
        <v>28</v>
      </c>
      <c r="F32" s="6" t="s">
        <v>29</v>
      </c>
      <c r="G32" s="24" t="s">
        <v>36</v>
      </c>
      <c r="H32" s="24" t="s">
        <v>57</v>
      </c>
      <c r="I32" s="23">
        <f t="shared" si="2"/>
        <v>1032878.6712981503</v>
      </c>
      <c r="J32" s="8" t="s">
        <v>37</v>
      </c>
    </row>
    <row r="33" spans="1:10" ht="28.8" x14ac:dyDescent="0.3">
      <c r="A33" s="37" t="s">
        <v>6</v>
      </c>
      <c r="B33" s="37" t="s">
        <v>109</v>
      </c>
      <c r="C33" s="37">
        <v>2025</v>
      </c>
      <c r="D33" s="43">
        <f>197.8874*2</f>
        <v>395.77480000000003</v>
      </c>
      <c r="E33" s="38" t="s">
        <v>111</v>
      </c>
      <c r="F33" s="39" t="s">
        <v>105</v>
      </c>
      <c r="G33" s="40" t="s">
        <v>118</v>
      </c>
      <c r="H33" s="44" t="s">
        <v>108</v>
      </c>
      <c r="I33" s="35">
        <f>D33*$Q$4*10^3</f>
        <v>419521.288</v>
      </c>
      <c r="J33" s="37" t="s">
        <v>37</v>
      </c>
    </row>
    <row r="34" spans="1:10" ht="28.8" x14ac:dyDescent="0.3">
      <c r="A34" s="37" t="s">
        <v>6</v>
      </c>
      <c r="B34" s="37" t="s">
        <v>110</v>
      </c>
      <c r="C34" s="37">
        <v>2025</v>
      </c>
      <c r="D34" s="35">
        <f>280.1877*2</f>
        <v>560.37540000000001</v>
      </c>
      <c r="E34" s="38" t="s">
        <v>111</v>
      </c>
      <c r="F34" s="39" t="s">
        <v>105</v>
      </c>
      <c r="G34" s="40" t="s">
        <v>118</v>
      </c>
      <c r="H34" s="44" t="s">
        <v>108</v>
      </c>
      <c r="I34" s="35">
        <f>D34*$Q$4*10^3</f>
        <v>593997.924</v>
      </c>
      <c r="J34" s="37" t="s">
        <v>37</v>
      </c>
    </row>
    <row r="35" spans="1:10" x14ac:dyDescent="0.3">
      <c r="A35" s="8"/>
      <c r="B35" s="8"/>
      <c r="C35" s="8"/>
      <c r="D35" s="18"/>
      <c r="E35" s="1"/>
      <c r="F35" s="8"/>
      <c r="G35" s="8"/>
      <c r="H35" s="8"/>
      <c r="I35" s="8"/>
      <c r="J35" s="8"/>
    </row>
    <row r="36" spans="1:10" x14ac:dyDescent="0.3">
      <c r="A36" s="8"/>
      <c r="B36" s="8"/>
      <c r="C36" s="8"/>
      <c r="D36" s="18"/>
      <c r="E36" s="1"/>
      <c r="F36" s="8"/>
      <c r="G36" s="8"/>
      <c r="H36" s="8"/>
      <c r="I36" s="8"/>
      <c r="J36" s="8"/>
    </row>
    <row r="37" spans="1:10" x14ac:dyDescent="0.3">
      <c r="A37" s="8"/>
      <c r="B37" s="8"/>
      <c r="C37" s="8"/>
      <c r="D37" s="18"/>
      <c r="E37" s="1"/>
      <c r="F37" s="8"/>
      <c r="G37" s="8"/>
      <c r="H37" s="8"/>
      <c r="I37" s="23"/>
      <c r="J37" s="8"/>
    </row>
    <row r="38" spans="1:10" x14ac:dyDescent="0.3">
      <c r="A38" s="8"/>
      <c r="B38" s="8"/>
      <c r="C38" s="8"/>
      <c r="D38" s="18"/>
      <c r="E38" s="1"/>
      <c r="F38" s="8"/>
      <c r="G38" s="8"/>
      <c r="H38" s="8"/>
      <c r="I38" s="8"/>
      <c r="J38" s="8"/>
    </row>
    <row r="39" spans="1:10" x14ac:dyDescent="0.3">
      <c r="A39" s="8"/>
      <c r="B39" s="8"/>
      <c r="C39" s="8"/>
      <c r="D39" s="18"/>
      <c r="E39" s="1"/>
      <c r="F39" s="8"/>
      <c r="G39" s="8"/>
      <c r="H39" s="8"/>
      <c r="I39" s="8"/>
      <c r="J39" s="8"/>
    </row>
    <row r="40" spans="1:10" x14ac:dyDescent="0.3">
      <c r="A40" s="8"/>
      <c r="B40" s="8"/>
      <c r="C40" s="8"/>
      <c r="D40" s="18"/>
      <c r="E40" s="1"/>
      <c r="F40" s="8"/>
      <c r="G40" s="8"/>
      <c r="H40" s="8"/>
      <c r="I40" s="8"/>
      <c r="J40" s="8"/>
    </row>
    <row r="41" spans="1:10" x14ac:dyDescent="0.3">
      <c r="A41" s="8"/>
      <c r="B41" s="8"/>
      <c r="C41" s="8"/>
      <c r="D41" s="18"/>
      <c r="E41" s="1"/>
      <c r="F41" s="8"/>
      <c r="G41" s="8"/>
      <c r="H41" s="8"/>
      <c r="I41" s="8"/>
      <c r="J41" s="8"/>
    </row>
  </sheetData>
  <hyperlinks>
    <hyperlink ref="F2" r:id="rId1" display="World Bank" xr:uid="{3BCD531E-88E2-4617-BE0D-57C0BE0CDE4C}"/>
    <hyperlink ref="G2" r:id="rId2" xr:uid="{E134E359-0624-4ADD-AE0D-E6195FFD25A4}"/>
    <hyperlink ref="F3" r:id="rId3" display="World Bank" xr:uid="{11649A99-BBF5-429D-92C0-B1AB39DFCDAB}"/>
    <hyperlink ref="G3" r:id="rId4" xr:uid="{63198A70-1594-447D-BF39-AD7C3371EF67}"/>
    <hyperlink ref="F6" r:id="rId5" display="World Bank" xr:uid="{234A250E-341C-41EF-9E6C-5F70C9AD1AA2}"/>
    <hyperlink ref="F7" r:id="rId6" display="World Bank" xr:uid="{24ED7D87-6BA0-4591-B8FB-8DBFC7C67291}"/>
    <hyperlink ref="F9" r:id="rId7" display="World Bank" xr:uid="{4E4A5E32-C5B0-4B55-BC1D-A8BCB8AB3343}"/>
    <hyperlink ref="F10" r:id="rId8" display="World Bank" xr:uid="{34A735C2-398A-4AF0-AC92-CDE49E221E44}"/>
    <hyperlink ref="F12" r:id="rId9" display="World Bank" xr:uid="{D82100BF-E290-4C7F-83FE-7ACF88644A48}"/>
    <hyperlink ref="F13" r:id="rId10" display="World Bank" xr:uid="{F0A57130-2B16-425F-838B-37D425B23764}"/>
    <hyperlink ref="G6" r:id="rId11" xr:uid="{74C7DDA8-7917-4F78-B0B5-A38959B43587}"/>
    <hyperlink ref="G7" r:id="rId12" xr:uid="{EA35BC2E-0439-4BB5-8635-24C6E1A59507}"/>
    <hyperlink ref="G9" r:id="rId13" xr:uid="{CB8B6EC7-D21F-4093-AE53-04FF92EE23C3}"/>
    <hyperlink ref="G10" r:id="rId14" xr:uid="{4BC76F65-9AF5-43B2-95D0-0E17535DD882}"/>
    <hyperlink ref="G12" r:id="rId15" xr:uid="{254A0ED1-9B59-4B3A-800D-0B7D5611C9F8}"/>
    <hyperlink ref="G13" r:id="rId16" xr:uid="{53F61002-38D5-4F86-850D-731FF68607AC}"/>
    <hyperlink ref="F14" r:id="rId17" display="World Bank" xr:uid="{F0DC3470-B776-4B2D-B27E-08A0A05751B0}"/>
    <hyperlink ref="F15" r:id="rId18" display="World Bank" xr:uid="{69B713EC-CE42-44B4-85A8-A3466168667C}"/>
    <hyperlink ref="F16" r:id="rId19" display="World Bank" xr:uid="{0EE4B772-3B1C-40C1-8489-D0631B2D4463}"/>
    <hyperlink ref="F17" r:id="rId20" display="World Bank" xr:uid="{C22641C2-FA38-48D9-BCB2-1FCE72A643D6}"/>
    <hyperlink ref="G14" r:id="rId21" xr:uid="{1BCFB97B-FADB-43D9-B44E-ADA05CA17A73}"/>
    <hyperlink ref="F27" r:id="rId22" display="World Bank" xr:uid="{AF15079B-1809-4BD8-A648-4D62ABE8C206}"/>
    <hyperlink ref="G27" r:id="rId23" xr:uid="{0CA73A59-1222-47DA-A59D-000D8B582034}"/>
    <hyperlink ref="F28" r:id="rId24" display="World Bank" xr:uid="{199C7D2F-21A1-4692-9440-4CC169B6F2F2}"/>
    <hyperlink ref="G28" r:id="rId25" xr:uid="{CECC446B-999A-4D89-A0D6-D3177C929A3D}"/>
    <hyperlink ref="F29" r:id="rId26" display="World Bank" xr:uid="{8716B52B-0C43-4E99-8CCE-17C58FE13622}"/>
    <hyperlink ref="G29" r:id="rId27" xr:uid="{85050209-E008-45C2-8A24-F79F70751A59}"/>
    <hyperlink ref="G15:G17" r:id="rId28" display="Dati elaborati da NREL" xr:uid="{8CAF9D49-1D95-457A-AD06-EF2B25EC7C48}"/>
    <hyperlink ref="H27" r:id="rId29" display="Due componenti di costo considerate: power capital cost (€/MW) e energy capital cost (€/MWh). Quest'ultimo moltiplicato per uno &quot;storage duration&quot; di 6 ore. Per ulteriori info, vedere questo paper" xr:uid="{BD06F35F-2859-4868-A250-9877196A2A8B}"/>
    <hyperlink ref="H28:H29" r:id="rId30" display="Due componenti di costo considerate: power capital cost (€/MW) e energy capital cost (€/MWh). Quest'ultimo moltiplicato per uno &quot;storage duration&quot; di 6 ore. Per ulteriori info, vedere questo paper" xr:uid="{D5926397-0CC0-4EED-B446-ADD3939AFBF8}"/>
    <hyperlink ref="R3" r:id="rId31" xr:uid="{1F188A66-AA31-42D5-BF68-5F94EC7F5B80}"/>
    <hyperlink ref="F26" r:id="rId32" xr:uid="{BBB5C12E-09F8-42A0-BC0B-98E2FE229F3F}"/>
    <hyperlink ref="H26" r:id="rId33" display="Overnight cost, suggerito da Lorenzo Mazzocco (vedi messaggio discord su Coordinamento energia)" xr:uid="{7623CF7E-7357-466F-811C-79E8E0B20885}"/>
    <hyperlink ref="F30" r:id="rId34" display="World Bank" xr:uid="{A46629F6-B5CF-4B20-92CC-DAAA37FA0295}"/>
    <hyperlink ref="G30" r:id="rId35" xr:uid="{4C8330BE-8E6C-45DA-8011-98C7288331BF}"/>
    <hyperlink ref="H30" r:id="rId36" display="Due componenti di costo considerate: power capital cost (€/MW) e energy capital cost (€/MWh). Quest'ultimo moltiplicato per uno &quot;storage duration&quot; di 6 ore. Per ulteriori info, vedere questo paper" xr:uid="{DBA68ACF-849E-462B-8CC2-2BE6A9705126}"/>
    <hyperlink ref="F31" r:id="rId37" display="World Bank" xr:uid="{E1E46D67-8566-4081-8026-9282FEEA7794}"/>
    <hyperlink ref="F32" r:id="rId38" display="World Bank" xr:uid="{C2B4C806-3E78-4AEF-A359-42B49AF6C869}"/>
    <hyperlink ref="G31" r:id="rId39" xr:uid="{A07DD3DB-85F5-450E-BE7A-F242BAF7D635}"/>
    <hyperlink ref="G32" r:id="rId40" xr:uid="{CB5BF0A4-3E46-40DE-9A2B-D68DCB0772EB}"/>
    <hyperlink ref="H31" r:id="rId41" display="Due componenti di costo considerate: power capital cost (€/MW) e energy capital cost (€/MWh). Quest'ultimo moltiplicato per uno &quot;storage duration&quot; di 6 ore. Per ulteriori info, vedere questo paper" xr:uid="{2364EE2D-C0F7-4609-B6E2-FD4BE059C070}"/>
    <hyperlink ref="H32" r:id="rId42" display="Due componenti di costo considerate: power capital cost (€/MW) e energy capital cost (€/MWh). Quest'ultimo moltiplicato per uno &quot;storage duration&quot; di 6 ore. Per ulteriori info, vedere questo paper" xr:uid="{222C5FBD-1584-4E8E-8AE1-8423CB925839}"/>
    <hyperlink ref="F20" r:id="rId43" display="World Bank" xr:uid="{144D646C-64DA-4184-9A12-DF7E1E799F17}"/>
    <hyperlink ref="F21" r:id="rId44" display="World Bank" xr:uid="{86B096A8-BD30-4A89-9511-4059F8B3510E}"/>
    <hyperlink ref="F23" r:id="rId45" display="World Bank" xr:uid="{696DD738-19D1-49F7-821B-56F8741182FD}"/>
    <hyperlink ref="F24" r:id="rId46" display="World Bank" xr:uid="{3F2E4AE5-7757-40CD-A4F2-FA7451812D44}"/>
    <hyperlink ref="G20" r:id="rId47" xr:uid="{37F5A6B5-EA7A-4E73-94DB-B4337F3B0C99}"/>
    <hyperlink ref="G21" r:id="rId48" xr:uid="{274258D8-A309-4E31-88E8-4833EABC0CC8}"/>
    <hyperlink ref="G23" r:id="rId49" xr:uid="{2BB0C756-C471-4708-B185-478B09E72710}"/>
    <hyperlink ref="G24" r:id="rId50" xr:uid="{AC21D000-7C67-4597-A906-E0770FCED92C}"/>
    <hyperlink ref="F4" r:id="rId51" xr:uid="{5D87E73B-1C45-44A9-9647-A816E1E5D102}"/>
    <hyperlink ref="F5" r:id="rId52" xr:uid="{408D8586-4629-4006-A3A2-7382E5D36BD5}"/>
    <hyperlink ref="F8" r:id="rId53" xr:uid="{135DDF62-C78C-42D0-8DC1-BDC7CBA22057}"/>
    <hyperlink ref="F11" r:id="rId54" xr:uid="{FAF0EBAC-6E4A-490E-ABCA-3BFB19EB8D02}"/>
    <hyperlink ref="H33" r:id="rId55" display="Durata dovrebbe essere di 2 h: vedere qui" xr:uid="{B7A9E32B-551D-453A-8ED3-733E625E714B}"/>
    <hyperlink ref="F33" r:id="rId56" xr:uid="{78D3F3E0-DB9E-4087-B3AA-EB1E4D8B75BD}"/>
    <hyperlink ref="H34" r:id="rId57" display="Durata dovrebbe essere di 2 h: vedere qui" xr:uid="{69359E17-3C66-48A7-8D80-D0D7D9FF3A61}"/>
    <hyperlink ref="F34" r:id="rId58" xr:uid="{E844BEE8-4326-4848-9E13-EB17B475936B}"/>
    <hyperlink ref="F25" r:id="rId59" xr:uid="{D488514D-CADA-463C-9D03-C37D102A130D}"/>
    <hyperlink ref="F22" r:id="rId60" xr:uid="{F859514D-03DA-48AE-96D8-520E95C75762}"/>
    <hyperlink ref="F18" r:id="rId61" xr:uid="{984B3FF9-23B1-40E7-A54B-5D874E8C0662}"/>
    <hyperlink ref="F19" r:id="rId62" xr:uid="{14B54904-1E44-4343-A082-0DA88FF5D482}"/>
    <hyperlink ref="R4:R5" r:id="rId63" display="Harmonised Index of Consumer Prices (HICP)" xr:uid="{5A3EEAB6-3263-4BE6-A4B6-04F42A57A8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discount_rate</vt:lpstr>
      <vt:lpstr>OPEX</vt:lpstr>
      <vt:lpstr>CAPEX</vt:lpstr>
      <vt:lpstr>Fuel_cost</vt:lpstr>
      <vt:lpstr>Transmission_abroad</vt:lpstr>
      <vt:lpstr>raw_data_commodity</vt:lpstr>
      <vt:lpstr>raw_data_techs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2025-02-22T22:15:39Z</dcterms:created>
  <dcterms:modified xsi:type="dcterms:W3CDTF">2025-07-21T21:49:18Z</dcterms:modified>
</cp:coreProperties>
</file>