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827"/>
  <workbookPr/>
  <mc:AlternateContent xmlns:mc="http://schemas.openxmlformats.org/markup-compatibility/2006">
    <mc:Choice Requires="x15">
      <x15ac:absPath xmlns:x15ac="http://schemas.microsoft.com/office/spreadsheetml/2010/11/ac" url="https://ternaspa-my.sharepoint.com/personal/luca_santo_terna_it/Documents/Desktop/Altro/DRIN/Mix_Energetico/"/>
    </mc:Choice>
  </mc:AlternateContent>
  <xr:revisionPtr revIDLastSave="151870" documentId="13_ncr:1_{DA97F3BF-9A5F-447D-A5F5-FAB025809DD2}" xr6:coauthVersionLast="47" xr6:coauthVersionMax="47" xr10:uidLastSave="{B53ACA7B-54FF-4D11-A877-25CA2149573A}"/>
  <bookViews>
    <workbookView xWindow="-120" yWindow="-120" windowWidth="29040" windowHeight="15720" xr2:uid="{00000000-000D-0000-FFFF-FFFF00000000}"/>
  </bookViews>
  <sheets>
    <sheet name="riassunto" sheetId="3" r:id="rId1"/>
    <sheet name="calcolo" sheetId="1" r:id="rId2"/>
    <sheet name="dati costi" sheetId="2" r:id="rId3"/>
  </sheets>
  <definedNames>
    <definedName name="solver_adj" localSheetId="1" hidden="1">calcolo!$E$8,calcolo!$F$8,calcolo!$H$8</definedName>
    <definedName name="solver_cvg" localSheetId="1" hidden="1">"""""""""""""""""""""""""""""""""""""""""""""""""""""""""""""""""""""""""""""""""""""""""""""""""""""""""""""""""""""""""""""""0,0001"""""""""""""""""""""""""""""""""""""""""""""""""""""""""""""""""""""""""""""""""""""""""""""""""""""""""""""""""""""""""""""""</definedName>
    <definedName name="solver_drv" localSheetId="1" hidden="1">2</definedName>
    <definedName name="solver_eng" localSheetId="1" hidden="1">3</definedName>
    <definedName name="solver_est" localSheetId="1" hidden="1">1</definedName>
    <definedName name="solver_itr" localSheetId="1" hidden="1">2147483647</definedName>
    <definedName name="solver_lhs1" localSheetId="1" hidden="1">calcolo!$E$8</definedName>
    <definedName name="solver_lhs2" localSheetId="1" hidden="1">calcolo!$F$8</definedName>
    <definedName name="solver_lhs3" localSheetId="1" hidden="1">calcolo!$G$8</definedName>
    <definedName name="solver_lhs4" localSheetId="1" hidden="1">calcolo!$H$8</definedName>
    <definedName name="solver_mip" localSheetId="1" hidden="1">2147483647</definedName>
    <definedName name="solver_mni" localSheetId="1" hidden="1">30</definedName>
    <definedName name="solver_mrt" localSheetId="1" hidden="1">"""""""""""""""""""""""""""""""""""""""""""""""""""""""""""""""""""""""""""""""""""""""""""""""""""""""""""""""""""""""""""""""0,075"""""""""""""""""""""""""""""""""""""""""""""""""""""""""""""""""""""""""""""""""""""""""""""""""""""""""""""""""""""""""""""""</definedName>
    <definedName name="solver_msl" localSheetId="1" hidden="1">2</definedName>
    <definedName name="solver_neg" localSheetId="1" hidden="1">1</definedName>
    <definedName name="solver_nod" localSheetId="1" hidden="1">2147483647</definedName>
    <definedName name="solver_num" localSheetId="1" hidden="1">4</definedName>
    <definedName name="solver_nwt" localSheetId="1" hidden="1">1</definedName>
    <definedName name="solver_opt" localSheetId="1" hidden="1">calcolo!$M$9</definedName>
    <definedName name="solver_pre" localSheetId="1" hidden="1">"""""""""""""""""""""""""""""""""""""""""""""""""""""""""""""""""""""""""""""""""""""""""""""""""""""""""""""""""""""""""""""""0,000001"""""""""""""""""""""""""""""""""""""""""""""""""""""""""""""""""""""""""""""""""""""""""""""""""""""""""""""""""""""""""""""""</definedName>
    <definedName name="solver_rbv" localSheetId="1" hidden="1">2</definedName>
    <definedName name="solver_rel1" localSheetId="1" hidden="1">3</definedName>
    <definedName name="solver_rel2" localSheetId="1" hidden="1">3</definedName>
    <definedName name="solver_rel3" localSheetId="1" hidden="1">3</definedName>
    <definedName name="solver_rel4" localSheetId="1" hidden="1">3</definedName>
    <definedName name="solver_rhs1" localSheetId="1" hidden="1">0</definedName>
    <definedName name="solver_rhs2" localSheetId="1" hidden="1">0</definedName>
    <definedName name="solver_rhs3" localSheetId="1" hidden="1">0</definedName>
    <definedName name="solver_rhs4" localSheetId="1" hidden="1">0</definedName>
    <definedName name="solver_rlx" localSheetId="1" hidden="1">2</definedName>
    <definedName name="solver_rsd" localSheetId="1" hidden="1">0</definedName>
    <definedName name="solver_scl" localSheetId="1" hidden="1">2</definedName>
    <definedName name="solver_sho" localSheetId="1" hidden="1">2</definedName>
    <definedName name="solver_ssz" localSheetId="1" hidden="1">100</definedName>
    <definedName name="solver_tim" localSheetId="1" hidden="1">2147483647</definedName>
    <definedName name="solver_tol" localSheetId="1" hidden="1">1</definedName>
    <definedName name="solver_typ" localSheetId="1" hidden="1">2</definedName>
    <definedName name="solver_val" localSheetId="1" hidden="1">0</definedName>
    <definedName name="solver_ver" localSheetId="1" hidden="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 i="1" l="1"/>
  <c r="E14" i="1" s="1"/>
  <c r="F3" i="1"/>
  <c r="F14" i="1" s="1"/>
  <c r="G3" i="1"/>
  <c r="G14" i="1" s="1"/>
  <c r="H3" i="1"/>
  <c r="J3" i="1" s="1"/>
  <c r="E4" i="1"/>
  <c r="E15" i="1" s="1"/>
  <c r="F4" i="1"/>
  <c r="F15" i="1" s="1"/>
  <c r="G4" i="1"/>
  <c r="G15" i="1" s="1"/>
  <c r="H4" i="1"/>
  <c r="J4" i="1" s="1"/>
  <c r="E5" i="1"/>
  <c r="E16" i="1" s="1"/>
  <c r="F5" i="1"/>
  <c r="F16" i="1" s="1"/>
  <c r="G5" i="1"/>
  <c r="G16" i="1" s="1"/>
  <c r="H5" i="1"/>
  <c r="J5" i="1" s="1"/>
  <c r="E6" i="1"/>
  <c r="F6" i="1"/>
  <c r="G6" i="1"/>
  <c r="H6" i="1"/>
  <c r="J6" i="1" s="1"/>
  <c r="F2" i="1"/>
  <c r="F13" i="1" s="1"/>
  <c r="G2" i="1"/>
  <c r="G13" i="1" s="1"/>
  <c r="H2" i="1"/>
  <c r="J2" i="1" s="1"/>
  <c r="E2" i="1"/>
  <c r="E13" i="1" s="1"/>
  <c r="M5" i="2"/>
  <c r="M7" i="2"/>
  <c r="M6" i="2"/>
  <c r="H13" i="1" l="1"/>
  <c r="H17" i="1" s="1"/>
  <c r="H15" i="1"/>
  <c r="E19" i="1" s="1"/>
  <c r="H16" i="1"/>
  <c r="F20" i="1" s="1"/>
  <c r="H14" i="1"/>
  <c r="G18" i="1" s="1"/>
  <c r="K2" i="1"/>
  <c r="K6" i="1"/>
  <c r="K4" i="1"/>
  <c r="K5" i="1"/>
  <c r="K3" i="1"/>
  <c r="G17" i="1" l="1"/>
  <c r="G19" i="1"/>
  <c r="F17" i="1"/>
  <c r="E17" i="1"/>
  <c r="F18" i="1"/>
  <c r="H19" i="1"/>
  <c r="E18" i="1"/>
  <c r="F19" i="1"/>
  <c r="H20" i="1"/>
  <c r="G20" i="1"/>
  <c r="E20" i="1"/>
  <c r="H18" i="1"/>
  <c r="L5" i="1"/>
  <c r="M5" i="1" s="1"/>
  <c r="L3" i="1"/>
  <c r="M3" i="1" s="1"/>
  <c r="L4" i="1"/>
  <c r="M4" i="1" s="1"/>
  <c r="L2" i="1"/>
  <c r="M2" i="1" s="1"/>
  <c r="M9" i="1" l="1"/>
  <c r="M8" i="1"/>
</calcChain>
</file>

<file path=xl/sharedStrings.xml><?xml version="1.0" encoding="utf-8"?>
<sst xmlns="http://schemas.openxmlformats.org/spreadsheetml/2006/main" count="78" uniqueCount="63">
  <si>
    <t>y1</t>
  </si>
  <si>
    <t>y2</t>
  </si>
  <si>
    <t>y3</t>
  </si>
  <si>
    <t>y4</t>
  </si>
  <si>
    <t>S</t>
  </si>
  <si>
    <t>D</t>
  </si>
  <si>
    <t>Progetto</t>
  </si>
  <si>
    <t>Note</t>
  </si>
  <si>
    <t>source</t>
  </si>
  <si>
    <t>https://download.terna.it/terna/Terna_Piano_Sviluppo_2023_Documento_Metodologico_applicazione_analisi_costi_benefici_8db254c3b3edff1.pdf</t>
  </si>
  <si>
    <t>Elettrodotto DT 380 kV</t>
  </si>
  <si>
    <t>Elemento</t>
  </si>
  <si>
    <t>Costo [k€/km]</t>
  </si>
  <si>
    <t xml:space="preserve">sistema monitoraggio cavo 380 </t>
  </si>
  <si>
    <t>Costo [k€/CAD]</t>
  </si>
  <si>
    <t>sistema monitoraggio cavo (Unità centrale)</t>
  </si>
  <si>
    <t>Coppia terminale collegamento in cavo 380x6</t>
  </si>
  <si>
    <t>cavi 380 kV x 6 (1200 MVA?)</t>
  </si>
  <si>
    <t>Stallo 380 kV ATR (AIS)</t>
  </si>
  <si>
    <t>ATR 380/150-132kV da 250MVA</t>
  </si>
  <si>
    <t>ATR 400/155kV da 400MVA</t>
  </si>
  <si>
    <t>COMPENSATORE SINCRONO (COPPIA) 250MVA</t>
  </si>
  <si>
    <t>COMPENSATORE SINCRONO (SINGOLO) 250MVA</t>
  </si>
  <si>
    <t xml:space="preserve">REATTORE 380 kV </t>
  </si>
  <si>
    <t>Sbarre e Parallelo Sbarre 380 kV (AIS)</t>
  </si>
  <si>
    <t>Ipotesi semplificativa</t>
  </si>
  <si>
    <t>costo / MVA / km</t>
  </si>
  <si>
    <t xml:space="preserve">  </t>
  </si>
  <si>
    <t xml:space="preserve">y2 </t>
  </si>
  <si>
    <t>dato</t>
  </si>
  <si>
    <t>costo / MVA</t>
  </si>
  <si>
    <t>Acquisto aree per stazione elettrica - ambito urbanizzato (1 ha)</t>
  </si>
  <si>
    <t>fabbricato integrato</t>
  </si>
  <si>
    <t>Stazione di Trasformazione - Parti Comuni SAS, SA e SG (380/150kV op 380/220kV)</t>
  </si>
  <si>
    <t>stima 2</t>
  </si>
  <si>
    <t>tyrrenian</t>
  </si>
  <si>
    <t>entrambe le tratte</t>
  </si>
  <si>
    <t>CAPEX declared k€</t>
  </si>
  <si>
    <t>capex cavi</t>
  </si>
  <si>
    <t>capex total estimate</t>
  </si>
  <si>
    <t>GRITA2</t>
  </si>
  <si>
    <t>Adriatic</t>
  </si>
  <si>
    <t>Piossasco Grand ile</t>
  </si>
  <si>
    <t>CAPEX sources</t>
  </si>
  <si>
    <t>https://www.terna.it/it/media/comunicati-stampa/dettaglio/finanziamento-bei-tyrrhenian-link</t>
  </si>
  <si>
    <t>https://www.ilsole24ore.com/art/terna-dall-interconnessione-la-grecia-all-adriatic-link-cosi-gruppo-ridisegna-e-rafforza-rete-elettrica-AFgTfXdC</t>
  </si>
  <si>
    <t>TUNITA</t>
  </si>
  <si>
    <t>Error%</t>
  </si>
  <si>
    <t>Descrizione calcolo e assumptions:</t>
  </si>
  <si>
    <t>MEAN</t>
  </si>
  <si>
    <t>MAE</t>
  </si>
  <si>
    <t>cost breakdown</t>
  </si>
  <si>
    <t>S&amp;D</t>
  </si>
  <si>
    <t>Fixed</t>
  </si>
  <si>
    <t>%</t>
  </si>
  <si>
    <t>MAX</t>
  </si>
  <si>
    <t>risultati ottimizzazione libera</t>
  </si>
  <si>
    <t>Mi sono basato sui dati pubblici riferiti ai principali progetti di interconnessione HVDC pianificati da Terna.
Si ritiene corretto utilizzare dati relativi ad HVDC in quanto:
-il grosso del piano di sviluppo Terna punta proprio su questo tipo di tecnologia (probabilmente perché per linee di grossa potenza risulta più facile sfruttare corridoi marini/sotterranei piuttosto che sviluppare molti chilometri di linee aeree che impattano su numerose località/abitazioni/attività)
-i costi di sistemi HVDC sono tipicamente più elevati di quelli di sistemi AC, quindi utilizzare questi dati rappresenta una stima conservativa dei costi (ovvero se l'aumento di transito di potenza fra zone fosse in realtà effettuato con un misto di HVDC + AC, i costi risulterebbero più bassi di quelli stimati in questo modo)
Sulla base di questi costi ho ottimizzato i parametri con il solver di excel. in un secondo momento ho preferito banalizzare il termine Y3 = 0, per semplificare il problema e perché ritengo che comunque il termine y4 già tiene conto correttamente di distanza e potenza. Ho poi aggiustato manualmente i parametri per spostare il costo più su y2 che su y1, in modo che il modello tenga più conto dell'aumentare del costo all'aumentare della potenza richiesta.</t>
  </si>
  <si>
    <t>Parametr
Ottimizzatii---&gt;</t>
  </si>
  <si>
    <t>k€</t>
  </si>
  <si>
    <t>k€/MW</t>
  </si>
  <si>
    <t>k€/km</t>
  </si>
  <si>
    <t>k€/(MW*km)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</si>
</sst>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2" x14ac:knownFonts="1">
    <font>
      <sz val="11"/>
      <color theme="1"/>
      <name val="Calibri"/>
      <family val="2"/>
      <scheme val="minor"/>
    </font>
    <font>
      <sz val="11"/>
      <color theme="1"/>
      <name val="Calibri"/>
      <family val="2"/>
      <scheme val="minor"/>
    </font>
  </fonts>
  <fills count="4">
    <fill>
      <patternFill patternType="none"/>
    </fill>
    <fill>
      <patternFill patternType="gray125"/>
    </fill>
    <fill>
      <patternFill patternType="solid">
        <fgColor theme="9" tint="0.79998168889431442"/>
        <bgColor indexed="64"/>
      </patternFill>
    </fill>
    <fill>
      <patternFill patternType="solid">
        <fgColor theme="7" tint="0.59999389629810485"/>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9">
    <xf numFmtId="0" fontId="0" fillId="0" borderId="0" xfId="0"/>
    <xf numFmtId="0" fontId="0" fillId="2" borderId="0" xfId="0" applyFill="1"/>
    <xf numFmtId="10" fontId="0" fillId="0" borderId="0" xfId="1" applyNumberFormat="1" applyFont="1"/>
    <xf numFmtId="0" fontId="0" fillId="0" borderId="0" xfId="0" applyAlignment="1">
      <alignment wrapText="1"/>
    </xf>
    <xf numFmtId="10" fontId="0" fillId="0" borderId="0" xfId="0" applyNumberFormat="1"/>
    <xf numFmtId="1" fontId="0" fillId="0" borderId="0" xfId="0" applyNumberFormat="1"/>
    <xf numFmtId="165" fontId="0" fillId="0" borderId="0" xfId="1" applyNumberFormat="1" applyFont="1"/>
    <xf numFmtId="0" fontId="0" fillId="0" borderId="0" xfId="0" applyAlignment="1">
      <alignment horizontal="center"/>
    </xf>
    <xf numFmtId="164" fontId="0" fillId="3" borderId="0" xfId="0" applyNumberFormat="1" applyFill="1"/>
  </cellXfs>
  <cellStyles count="2">
    <cellStyle name="Normale" xfId="0" builtinId="0"/>
    <cellStyle name="Percentual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180975</xdr:colOff>
      <xdr:row>9</xdr:row>
      <xdr:rowOff>723900</xdr:rowOff>
    </xdr:from>
    <xdr:to>
      <xdr:col>9</xdr:col>
      <xdr:colOff>428625</xdr:colOff>
      <xdr:row>9</xdr:row>
      <xdr:rowOff>2257425</xdr:rowOff>
    </xdr:to>
    <xdr:pic>
      <xdr:nvPicPr>
        <xdr:cNvPr id="2" name="Immagine 1" descr="Image">
          <a:extLst>
            <a:ext uri="{FF2B5EF4-FFF2-40B4-BE49-F238E27FC236}">
              <a16:creationId xmlns:a16="http://schemas.microsoft.com/office/drawing/2014/main" id="{4429AF5F-18FF-74E9-A131-1AE4C6E7E39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0975" y="2438400"/>
          <a:ext cx="7400925" cy="1533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B09A16-0C24-4041-B50D-30183FB253D3}">
  <dimension ref="A1:D3"/>
  <sheetViews>
    <sheetView tabSelected="1" workbookViewId="0">
      <selection activeCell="G9" sqref="G9"/>
    </sheetView>
  </sheetViews>
  <sheetFormatPr defaultRowHeight="15" x14ac:dyDescent="0.25"/>
  <cols>
    <col min="3" max="3" width="10.5703125" customWidth="1"/>
    <col min="4" max="4" width="11.5703125" bestFit="1" customWidth="1"/>
  </cols>
  <sheetData>
    <row r="1" spans="1:4" x14ac:dyDescent="0.25">
      <c r="A1" t="s">
        <v>0</v>
      </c>
      <c r="B1" t="s">
        <v>1</v>
      </c>
      <c r="C1" t="s">
        <v>2</v>
      </c>
      <c r="D1" t="s">
        <v>3</v>
      </c>
    </row>
    <row r="2" spans="1:4" x14ac:dyDescent="0.25">
      <c r="A2">
        <v>300000</v>
      </c>
      <c r="B2">
        <v>200</v>
      </c>
      <c r="C2">
        <v>0</v>
      </c>
      <c r="D2">
        <v>3.3333327936166528</v>
      </c>
    </row>
    <row r="3" spans="1:4" x14ac:dyDescent="0.25">
      <c r="A3" t="s">
        <v>59</v>
      </c>
      <c r="B3" t="s">
        <v>60</v>
      </c>
      <c r="C3" t="s">
        <v>61</v>
      </c>
      <c r="D3" t="s">
        <v>62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24"/>
  <sheetViews>
    <sheetView topLeftCell="A8" workbookViewId="0">
      <selection activeCell="K1" sqref="K1"/>
    </sheetView>
  </sheetViews>
  <sheetFormatPr defaultRowHeight="15" x14ac:dyDescent="0.25"/>
  <cols>
    <col min="1" max="1" width="18.140625" bestFit="1" customWidth="1"/>
    <col min="4" max="4" width="16.7109375" customWidth="1"/>
    <col min="9" max="9" width="17.5703125" bestFit="1" customWidth="1"/>
    <col min="10" max="10" width="10" bestFit="1" customWidth="1"/>
    <col min="11" max="11" width="19.28515625" bestFit="1" customWidth="1"/>
    <col min="12" max="13" width="19.28515625" customWidth="1"/>
    <col min="14" max="14" width="88.85546875" bestFit="1" customWidth="1"/>
  </cols>
  <sheetData>
    <row r="1" spans="1:14" x14ac:dyDescent="0.25">
      <c r="A1" t="s">
        <v>6</v>
      </c>
      <c r="B1" t="s">
        <v>7</v>
      </c>
      <c r="C1" t="s">
        <v>4</v>
      </c>
      <c r="D1" t="s">
        <v>5</v>
      </c>
      <c r="E1" t="s">
        <v>0</v>
      </c>
      <c r="F1" t="s">
        <v>1</v>
      </c>
      <c r="G1" t="s">
        <v>2</v>
      </c>
      <c r="H1" t="s">
        <v>3</v>
      </c>
      <c r="I1" t="s">
        <v>37</v>
      </c>
      <c r="J1" t="s">
        <v>38</v>
      </c>
      <c r="K1" t="s">
        <v>39</v>
      </c>
      <c r="L1" t="s">
        <v>47</v>
      </c>
      <c r="M1" t="s">
        <v>50</v>
      </c>
      <c r="N1" t="s">
        <v>43</v>
      </c>
    </row>
    <row r="2" spans="1:14" x14ac:dyDescent="0.25">
      <c r="A2" t="s">
        <v>35</v>
      </c>
      <c r="B2" t="s">
        <v>36</v>
      </c>
      <c r="C2">
        <v>1000</v>
      </c>
      <c r="D2">
        <v>970</v>
      </c>
      <c r="E2" s="1">
        <f>E$8</f>
        <v>300000</v>
      </c>
      <c r="F2" s="1">
        <f t="shared" ref="F2:H6" si="0">F$8</f>
        <v>200</v>
      </c>
      <c r="G2" s="1">
        <f t="shared" si="0"/>
        <v>0</v>
      </c>
      <c r="H2" s="1">
        <f t="shared" si="0"/>
        <v>3.3333327936166528</v>
      </c>
      <c r="I2">
        <v>3700000</v>
      </c>
      <c r="J2">
        <f>D2*C2*H2</f>
        <v>3233332.8098081532</v>
      </c>
      <c r="K2">
        <f>E2+F2*C2+G2*D2+H2*C2*D2</f>
        <v>3733332.8098081532</v>
      </c>
      <c r="L2" s="2">
        <f>(K2-I2)/I2</f>
        <v>9.0088675157170787E-3</v>
      </c>
      <c r="M2" s="2">
        <f>ABS(L2)</f>
        <v>9.0088675157170787E-3</v>
      </c>
      <c r="N2" t="s">
        <v>44</v>
      </c>
    </row>
    <row r="3" spans="1:14" x14ac:dyDescent="0.25">
      <c r="A3" t="s">
        <v>40</v>
      </c>
      <c r="C3">
        <v>500</v>
      </c>
      <c r="D3">
        <v>200</v>
      </c>
      <c r="E3" s="1">
        <f t="shared" ref="E3:E6" si="1">E$8</f>
        <v>300000</v>
      </c>
      <c r="F3" s="1">
        <f t="shared" si="0"/>
        <v>200</v>
      </c>
      <c r="G3" s="1">
        <f t="shared" si="0"/>
        <v>0</v>
      </c>
      <c r="H3" s="1">
        <f t="shared" si="0"/>
        <v>3.3333327936166528</v>
      </c>
      <c r="I3">
        <v>750000</v>
      </c>
      <c r="J3">
        <f>D3*C3*H3</f>
        <v>333333.27936166531</v>
      </c>
      <c r="K3">
        <f t="shared" ref="K3:K6" si="2">E3+F3*C3+G3*D3+H3*C3*D3</f>
        <v>733333.27936166525</v>
      </c>
      <c r="L3" s="2">
        <f t="shared" ref="L3:L5" si="3">(K3-I3)/I3</f>
        <v>-2.2222294184446333E-2</v>
      </c>
      <c r="M3" s="2">
        <f t="shared" ref="M3:M5" si="4">ABS(L3)</f>
        <v>2.2222294184446333E-2</v>
      </c>
      <c r="N3" t="s">
        <v>45</v>
      </c>
    </row>
    <row r="4" spans="1:14" x14ac:dyDescent="0.25">
      <c r="A4" t="s">
        <v>41</v>
      </c>
      <c r="C4">
        <v>1000</v>
      </c>
      <c r="D4">
        <v>250</v>
      </c>
      <c r="E4" s="1">
        <f t="shared" si="1"/>
        <v>300000</v>
      </c>
      <c r="F4" s="1">
        <f t="shared" si="0"/>
        <v>200</v>
      </c>
      <c r="G4" s="1">
        <f t="shared" si="0"/>
        <v>0</v>
      </c>
      <c r="H4" s="1">
        <f t="shared" si="0"/>
        <v>3.3333327936166528</v>
      </c>
      <c r="I4">
        <v>1300000</v>
      </c>
      <c r="J4">
        <f>D4*C4*H4</f>
        <v>833333.19840416324</v>
      </c>
      <c r="K4">
        <f t="shared" si="2"/>
        <v>1333333.1984041631</v>
      </c>
      <c r="L4" s="2">
        <f t="shared" si="3"/>
        <v>2.5640921849356249E-2</v>
      </c>
      <c r="M4" s="2">
        <f t="shared" si="4"/>
        <v>2.5640921849356249E-2</v>
      </c>
      <c r="N4" t="s">
        <v>45</v>
      </c>
    </row>
    <row r="5" spans="1:14" x14ac:dyDescent="0.25">
      <c r="A5" t="s">
        <v>46</v>
      </c>
      <c r="C5">
        <v>600</v>
      </c>
      <c r="D5">
        <v>220</v>
      </c>
      <c r="E5" s="1">
        <f t="shared" si="1"/>
        <v>300000</v>
      </c>
      <c r="F5" s="1">
        <f t="shared" si="0"/>
        <v>200</v>
      </c>
      <c r="G5" s="1">
        <f t="shared" si="0"/>
        <v>0</v>
      </c>
      <c r="H5" s="1">
        <f t="shared" si="0"/>
        <v>3.3333327936166528</v>
      </c>
      <c r="I5">
        <v>850000</v>
      </c>
      <c r="J5">
        <f>D5*C5*H5</f>
        <v>439999.92875739816</v>
      </c>
      <c r="K5">
        <f t="shared" si="2"/>
        <v>859999.92875739816</v>
      </c>
      <c r="L5" s="2">
        <f t="shared" si="3"/>
        <v>1.1764622067527243E-2</v>
      </c>
      <c r="M5" s="2">
        <f t="shared" si="4"/>
        <v>1.1764622067527243E-2</v>
      </c>
      <c r="N5" t="s">
        <v>45</v>
      </c>
    </row>
    <row r="6" spans="1:14" x14ac:dyDescent="0.25">
      <c r="A6" t="s">
        <v>42</v>
      </c>
      <c r="C6">
        <v>1200</v>
      </c>
      <c r="D6">
        <v>190</v>
      </c>
      <c r="E6" s="1">
        <f t="shared" si="1"/>
        <v>300000</v>
      </c>
      <c r="F6" s="1">
        <f t="shared" si="0"/>
        <v>200</v>
      </c>
      <c r="G6" s="1">
        <f t="shared" si="0"/>
        <v>0</v>
      </c>
      <c r="H6" s="1">
        <f t="shared" si="0"/>
        <v>3.3333327936166528</v>
      </c>
      <c r="J6">
        <f>D6*C6*H6</f>
        <v>759999.87694459688</v>
      </c>
      <c r="K6">
        <f t="shared" si="2"/>
        <v>1299999.8769445969</v>
      </c>
    </row>
    <row r="8" spans="1:14" ht="45" x14ac:dyDescent="0.25">
      <c r="D8" s="3" t="s">
        <v>58</v>
      </c>
      <c r="E8" s="8">
        <v>300000</v>
      </c>
      <c r="F8" s="8">
        <v>200</v>
      </c>
      <c r="G8" s="8">
        <v>0</v>
      </c>
      <c r="H8" s="8">
        <v>3.3333327936166528</v>
      </c>
      <c r="L8" t="s">
        <v>55</v>
      </c>
      <c r="M8" s="4">
        <f>MAX(M2:M5)</f>
        <v>2.5640921849356249E-2</v>
      </c>
    </row>
    <row r="9" spans="1:14" x14ac:dyDescent="0.25">
      <c r="L9" t="s">
        <v>49</v>
      </c>
      <c r="M9" s="4">
        <f>AVERAGE(M2:M5)</f>
        <v>1.7159176404261726E-2</v>
      </c>
      <c r="N9" t="s">
        <v>48</v>
      </c>
    </row>
    <row r="10" spans="1:14" ht="255" x14ac:dyDescent="0.25">
      <c r="N10" s="3" t="s">
        <v>57</v>
      </c>
    </row>
    <row r="11" spans="1:14" x14ac:dyDescent="0.25">
      <c r="E11" t="s">
        <v>51</v>
      </c>
    </row>
    <row r="12" spans="1:14" x14ac:dyDescent="0.25">
      <c r="E12" t="s">
        <v>53</v>
      </c>
      <c r="F12" t="s">
        <v>4</v>
      </c>
      <c r="G12" t="s">
        <v>5</v>
      </c>
      <c r="H12" t="s">
        <v>52</v>
      </c>
    </row>
    <row r="13" spans="1:14" x14ac:dyDescent="0.25">
      <c r="E13" s="5">
        <f>E2</f>
        <v>300000</v>
      </c>
      <c r="F13" s="5">
        <f>F2*C2</f>
        <v>200000</v>
      </c>
      <c r="G13" s="5">
        <f>G2*D2</f>
        <v>0</v>
      </c>
      <c r="H13" s="5">
        <f>H2*C2*D2</f>
        <v>3233332.8098081532</v>
      </c>
    </row>
    <row r="14" spans="1:14" x14ac:dyDescent="0.25">
      <c r="E14" s="5">
        <f>E3</f>
        <v>300000</v>
      </c>
      <c r="F14" s="5">
        <f>F3*C3</f>
        <v>100000</v>
      </c>
      <c r="G14" s="5">
        <f>G3*D3</f>
        <v>0</v>
      </c>
      <c r="H14" s="5">
        <f>H3*C3*D3</f>
        <v>333333.27936166531</v>
      </c>
    </row>
    <row r="15" spans="1:14" x14ac:dyDescent="0.25">
      <c r="E15" s="5">
        <f>E4</f>
        <v>300000</v>
      </c>
      <c r="F15" s="5">
        <f>F4*C4</f>
        <v>200000</v>
      </c>
      <c r="G15" s="5">
        <f>G4*D4</f>
        <v>0</v>
      </c>
      <c r="H15" s="5">
        <f>H4*C4*D4</f>
        <v>833333.19840416324</v>
      </c>
    </row>
    <row r="16" spans="1:14" x14ac:dyDescent="0.25">
      <c r="E16" s="5">
        <f>E5</f>
        <v>300000</v>
      </c>
      <c r="F16" s="5">
        <f>F5*C5</f>
        <v>120000</v>
      </c>
      <c r="G16" s="5">
        <f>G5*D5</f>
        <v>0</v>
      </c>
      <c r="H16" s="5">
        <f>H5*C5*D5</f>
        <v>439999.92875739816</v>
      </c>
    </row>
    <row r="17" spans="3:8" x14ac:dyDescent="0.25">
      <c r="D17" t="s">
        <v>54</v>
      </c>
      <c r="E17" s="6">
        <f>E13/(SUM($E13:$H13))</f>
        <v>8.035715412562329E-2</v>
      </c>
      <c r="F17" s="6">
        <f t="shared" ref="F17:H17" si="5">F13/(SUM($E13:$H13))</f>
        <v>5.3571436083748855E-2</v>
      </c>
      <c r="G17" s="6">
        <f t="shared" si="5"/>
        <v>0</v>
      </c>
      <c r="H17" s="6">
        <f t="shared" si="5"/>
        <v>0.86607140979062791</v>
      </c>
    </row>
    <row r="18" spans="3:8" x14ac:dyDescent="0.25">
      <c r="E18" s="6">
        <f t="shared" ref="E18:H18" si="6">E14/(SUM($E14:$H14))</f>
        <v>0.40909093919907324</v>
      </c>
      <c r="F18" s="6">
        <f t="shared" si="6"/>
        <v>0.13636364639969109</v>
      </c>
      <c r="G18" s="6">
        <f t="shared" si="6"/>
        <v>0</v>
      </c>
      <c r="H18" s="6">
        <f t="shared" si="6"/>
        <v>0.45454541440123575</v>
      </c>
    </row>
    <row r="19" spans="3:8" x14ac:dyDescent="0.25">
      <c r="E19" s="6">
        <f t="shared" ref="E19:H19" si="7">E15/(SUM($E15:$H15))</f>
        <v>0.22500002276929978</v>
      </c>
      <c r="F19" s="6">
        <f t="shared" si="7"/>
        <v>0.15000001517953318</v>
      </c>
      <c r="G19" s="6">
        <f t="shared" si="7"/>
        <v>0</v>
      </c>
      <c r="H19" s="6">
        <f t="shared" si="7"/>
        <v>0.62499996205116715</v>
      </c>
    </row>
    <row r="20" spans="3:8" x14ac:dyDescent="0.25">
      <c r="E20" s="6">
        <f t="shared" ref="E20:H20" si="8">E16/(SUM($E16:$H16))</f>
        <v>0.34883723820008428</v>
      </c>
      <c r="F20" s="6">
        <f t="shared" si="8"/>
        <v>0.13953489528003371</v>
      </c>
      <c r="G20" s="6">
        <f t="shared" si="8"/>
        <v>0</v>
      </c>
      <c r="H20" s="6">
        <f t="shared" si="8"/>
        <v>0.51162786651988201</v>
      </c>
    </row>
    <row r="22" spans="3:8" x14ac:dyDescent="0.25">
      <c r="C22" s="7" t="s">
        <v>56</v>
      </c>
      <c r="D22" s="7"/>
      <c r="E22" s="7"/>
      <c r="F22" s="7"/>
    </row>
    <row r="23" spans="3:8" x14ac:dyDescent="0.25">
      <c r="C23" t="s">
        <v>0</v>
      </c>
      <c r="D23" t="s">
        <v>1</v>
      </c>
      <c r="E23" t="s">
        <v>2</v>
      </c>
      <c r="F23" t="s">
        <v>3</v>
      </c>
    </row>
    <row r="24" spans="3:8" x14ac:dyDescent="0.25">
      <c r="C24">
        <v>409107.04084647918</v>
      </c>
      <c r="D24">
        <v>1.8</v>
      </c>
      <c r="E24">
        <v>8.9898522653981239</v>
      </c>
      <c r="F24">
        <v>3.3817958684822615</v>
      </c>
    </row>
  </sheetData>
  <mergeCells count="1">
    <mergeCell ref="C22:F22"/>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935B36-4EE4-49C6-96ED-7F79465A0024}">
  <dimension ref="A1:M16"/>
  <sheetViews>
    <sheetView workbookViewId="0">
      <selection activeCell="F34" sqref="F34"/>
    </sheetView>
  </sheetViews>
  <sheetFormatPr defaultRowHeight="15" x14ac:dyDescent="0.25"/>
  <cols>
    <col min="1" max="1" width="29.85546875" customWidth="1"/>
    <col min="2" max="2" width="13.85546875" customWidth="1"/>
    <col min="6" max="6" width="74.5703125" bestFit="1" customWidth="1"/>
    <col min="7" max="7" width="14.5703125" bestFit="1" customWidth="1"/>
    <col min="11" max="11" width="20.28515625" bestFit="1" customWidth="1"/>
    <col min="12" max="12" width="16.28515625" bestFit="1" customWidth="1"/>
  </cols>
  <sheetData>
    <row r="1" spans="1:13" x14ac:dyDescent="0.25">
      <c r="A1" t="s">
        <v>8</v>
      </c>
    </row>
    <row r="2" spans="1:13" x14ac:dyDescent="0.25">
      <c r="A2" t="s">
        <v>9</v>
      </c>
    </row>
    <row r="4" spans="1:13" x14ac:dyDescent="0.25">
      <c r="A4" t="s">
        <v>11</v>
      </c>
      <c r="B4" t="s">
        <v>12</v>
      </c>
      <c r="F4" t="s">
        <v>11</v>
      </c>
      <c r="G4" t="s">
        <v>14</v>
      </c>
      <c r="K4" t="s">
        <v>25</v>
      </c>
      <c r="L4" t="s">
        <v>29</v>
      </c>
    </row>
    <row r="5" spans="1:13" x14ac:dyDescent="0.25">
      <c r="A5" t="s">
        <v>10</v>
      </c>
      <c r="B5">
        <v>964</v>
      </c>
      <c r="F5" t="s">
        <v>15</v>
      </c>
      <c r="G5">
        <v>592</v>
      </c>
      <c r="K5" t="s">
        <v>3</v>
      </c>
      <c r="L5" t="s">
        <v>26</v>
      </c>
      <c r="M5">
        <f>(B6+B7)/1200</f>
        <v>4.2941666666666665</v>
      </c>
    </row>
    <row r="6" spans="1:13" x14ac:dyDescent="0.25">
      <c r="A6" t="s">
        <v>17</v>
      </c>
      <c r="B6">
        <v>5059</v>
      </c>
      <c r="F6" t="s">
        <v>16</v>
      </c>
      <c r="G6">
        <v>1220</v>
      </c>
      <c r="K6" t="s">
        <v>28</v>
      </c>
      <c r="L6" t="s">
        <v>30</v>
      </c>
      <c r="M6">
        <f>(G5+G6+G7+G9*6+G10*2+G12*4+G13*2)/1200</f>
        <v>91.454166666666666</v>
      </c>
    </row>
    <row r="7" spans="1:13" x14ac:dyDescent="0.25">
      <c r="A7" t="s">
        <v>13</v>
      </c>
      <c r="B7">
        <v>94</v>
      </c>
      <c r="F7" t="s">
        <v>18</v>
      </c>
      <c r="G7">
        <v>793</v>
      </c>
      <c r="K7" t="s">
        <v>28</v>
      </c>
      <c r="L7" t="s">
        <v>34</v>
      </c>
      <c r="M7">
        <f>G16/1000</f>
        <v>3.6880000000000002</v>
      </c>
    </row>
    <row r="8" spans="1:13" x14ac:dyDescent="0.25">
      <c r="F8" t="s">
        <v>19</v>
      </c>
      <c r="G8">
        <v>1360</v>
      </c>
    </row>
    <row r="9" spans="1:13" x14ac:dyDescent="0.25">
      <c r="F9" t="s">
        <v>20</v>
      </c>
      <c r="G9">
        <v>1540</v>
      </c>
      <c r="K9" t="s">
        <v>27</v>
      </c>
    </row>
    <row r="10" spans="1:13" x14ac:dyDescent="0.25">
      <c r="F10" t="s">
        <v>21</v>
      </c>
      <c r="G10">
        <v>45000</v>
      </c>
    </row>
    <row r="11" spans="1:13" x14ac:dyDescent="0.25">
      <c r="F11" t="s">
        <v>22</v>
      </c>
      <c r="G11">
        <v>27000</v>
      </c>
    </row>
    <row r="12" spans="1:13" x14ac:dyDescent="0.25">
      <c r="F12" t="s">
        <v>23</v>
      </c>
      <c r="G12">
        <v>1510</v>
      </c>
    </row>
    <row r="13" spans="1:13" x14ac:dyDescent="0.25">
      <c r="F13" t="s">
        <v>24</v>
      </c>
      <c r="G13">
        <v>930</v>
      </c>
    </row>
    <row r="14" spans="1:13" x14ac:dyDescent="0.25">
      <c r="F14" t="s">
        <v>31</v>
      </c>
      <c r="G14">
        <v>1275</v>
      </c>
    </row>
    <row r="15" spans="1:13" x14ac:dyDescent="0.25">
      <c r="F15" t="s">
        <v>32</v>
      </c>
      <c r="G15">
        <v>381</v>
      </c>
    </row>
    <row r="16" spans="1:13" x14ac:dyDescent="0.25">
      <c r="F16" t="s">
        <v>33</v>
      </c>
      <c r="G16">
        <v>3688</v>
      </c>
    </row>
  </sheetData>
  <pageMargins left="0.7" right="0.7" top="0.75" bottom="0.75" header="0.3" footer="0.3"/>
</worksheet>
</file>

<file path=docMetadata/LabelInfo.xml><?xml version="1.0" encoding="utf-8"?>
<clbl:labelList xmlns:clbl="http://schemas.microsoft.com/office/2020/mipLabelMetadata">
  <clbl:label id="{d65a070e-ad16-4345-879f-c1de6464f1fb}" enabled="1" method="Privileged" siteId="{eccd734e-7022-4709-aba5-a5dd77929e27}"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3</vt:i4>
      </vt:variant>
    </vt:vector>
  </HeadingPairs>
  <TitlesOfParts>
    <vt:vector size="3" baseType="lpstr">
      <vt:lpstr>riassunto</vt:lpstr>
      <vt:lpstr>calcolo</vt:lpstr>
      <vt:lpstr>dati costi</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Santo Luca (Terna)</dc:creator>
  <cp:lastModifiedBy>Santo Luca (Terna)</cp:lastModifiedBy>
  <dcterms:created xsi:type="dcterms:W3CDTF">2015-06-05T18:19:34Z</dcterms:created>
  <dcterms:modified xsi:type="dcterms:W3CDTF">2025-06-22T09:33:05Z</dcterms:modified>
</cp:coreProperties>
</file>