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ty\Desktop\Dataset personali\"/>
    </mc:Choice>
  </mc:AlternateContent>
  <xr:revisionPtr revIDLastSave="0" documentId="13_ncr:1_{DA2242F2-3D57-416B-B9AB-1D752BFCAB9B}" xr6:coauthVersionLast="47" xr6:coauthVersionMax="47" xr10:uidLastSave="{00000000-0000-0000-0000-000000000000}"/>
  <bookViews>
    <workbookView xWindow="-108" yWindow="-108" windowWidth="30936" windowHeight="12456" xr2:uid="{6116113C-D21B-41DF-B66B-162BE221EC55}"/>
  </bookViews>
  <sheets>
    <sheet name="Database" sheetId="1" r:id="rId1"/>
    <sheet name="Statistiche" sheetId="3" r:id="rId2"/>
    <sheet name="Commissioni" sheetId="5" r:id="rId3"/>
    <sheet name="Rendimenti" sheetId="4" r:id="rId4"/>
    <sheet name="Cumulativo" sheetId="2" r:id="rId5"/>
  </sheets>
  <definedNames>
    <definedName name="Bias">Database!$E$33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3" l="1"/>
  <c r="D49" i="3"/>
  <c r="C49" i="3"/>
  <c r="D48" i="3"/>
  <c r="C48" i="3"/>
  <c r="D47" i="3"/>
  <c r="C47" i="3"/>
  <c r="D46" i="3"/>
  <c r="C46" i="3"/>
  <c r="D45" i="3"/>
  <c r="C45" i="3"/>
  <c r="L78" i="3"/>
  <c r="K78" i="3"/>
  <c r="L62" i="3"/>
  <c r="Q4" i="1"/>
  <c r="E133" i="3"/>
  <c r="L83" i="3"/>
  <c r="K83" i="3"/>
  <c r="K82" i="3"/>
  <c r="K81" i="3"/>
  <c r="K80" i="3"/>
  <c r="K79" i="3"/>
  <c r="L67" i="3"/>
  <c r="L82" i="3"/>
  <c r="L81" i="3"/>
  <c r="L80" i="3"/>
  <c r="L79" i="3"/>
  <c r="C80" i="3"/>
  <c r="C79" i="3"/>
  <c r="C78" i="3"/>
  <c r="C77" i="3"/>
  <c r="C76" i="3"/>
  <c r="D76" i="3"/>
  <c r="D78" i="3"/>
  <c r="D80" i="3"/>
  <c r="D79" i="3"/>
  <c r="D77" i="3"/>
  <c r="J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D2" i="4"/>
  <c r="D3" i="4"/>
  <c r="E3" i="4" s="1"/>
  <c r="K29" i="4"/>
  <c r="K28" i="4"/>
  <c r="K27" i="4"/>
  <c r="K26" i="4"/>
  <c r="K25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134" i="3"/>
  <c r="G133" i="3"/>
  <c r="F134" i="3"/>
  <c r="F133" i="3"/>
  <c r="E134" i="3"/>
  <c r="D134" i="3"/>
  <c r="D133" i="3"/>
  <c r="E120" i="3"/>
  <c r="D120" i="3"/>
  <c r="E119" i="3"/>
  <c r="D119" i="3"/>
  <c r="H108" i="3"/>
  <c r="H107" i="3"/>
  <c r="H106" i="3"/>
  <c r="H105" i="3"/>
  <c r="G108" i="3"/>
  <c r="F108" i="3"/>
  <c r="F107" i="3"/>
  <c r="G107" i="3"/>
  <c r="F106" i="3"/>
  <c r="G106" i="3"/>
  <c r="G105" i="3"/>
  <c r="F105" i="3"/>
  <c r="E108" i="3"/>
  <c r="E107" i="3"/>
  <c r="E106" i="3"/>
  <c r="E105" i="3"/>
  <c r="D108" i="3"/>
  <c r="D107" i="3"/>
  <c r="D106" i="3"/>
  <c r="D105" i="3"/>
  <c r="D21" i="3"/>
  <c r="D20" i="3"/>
  <c r="C21" i="3"/>
  <c r="C20" i="3"/>
  <c r="L66" i="3"/>
  <c r="L65" i="3"/>
  <c r="L64" i="3"/>
  <c r="L63" i="3"/>
  <c r="C31" i="3"/>
  <c r="C30" i="3"/>
  <c r="D10" i="3" s="1"/>
  <c r="C29" i="3"/>
  <c r="D8" i="3"/>
  <c r="D7" i="3"/>
  <c r="D6" i="3"/>
  <c r="D5" i="3"/>
  <c r="J2" i="1"/>
  <c r="J3" i="1"/>
  <c r="J4" i="1"/>
  <c r="J5" i="1"/>
  <c r="J6" i="1"/>
  <c r="J7" i="1"/>
  <c r="J8" i="1"/>
  <c r="K179" i="4" l="1"/>
  <c r="E2" i="4"/>
  <c r="D9" i="3"/>
  <c r="F3" i="4" l="1"/>
  <c r="G3" i="4" s="1"/>
  <c r="F15" i="4"/>
  <c r="G15" i="4" s="1"/>
  <c r="F27" i="4"/>
  <c r="G27" i="4" s="1"/>
  <c r="F39" i="4"/>
  <c r="G39" i="4" s="1"/>
  <c r="F51" i="4"/>
  <c r="G51" i="4" s="1"/>
  <c r="F63" i="4"/>
  <c r="G63" i="4" s="1"/>
  <c r="F75" i="4"/>
  <c r="G75" i="4" s="1"/>
  <c r="F87" i="4"/>
  <c r="G87" i="4" s="1"/>
  <c r="F99" i="4"/>
  <c r="G99" i="4" s="1"/>
  <c r="F111" i="4"/>
  <c r="G111" i="4" s="1"/>
  <c r="F123" i="4"/>
  <c r="G123" i="4" s="1"/>
  <c r="F135" i="4"/>
  <c r="G135" i="4" s="1"/>
  <c r="F147" i="4"/>
  <c r="G147" i="4" s="1"/>
  <c r="F159" i="4"/>
  <c r="G159" i="4" s="1"/>
  <c r="F171" i="4"/>
  <c r="G171" i="4" s="1"/>
  <c r="F183" i="4"/>
  <c r="G183" i="4" s="1"/>
  <c r="F45" i="4"/>
  <c r="G45" i="4" s="1"/>
  <c r="F129" i="4"/>
  <c r="G129" i="4" s="1"/>
  <c r="F70" i="4"/>
  <c r="G70" i="4" s="1"/>
  <c r="F142" i="4"/>
  <c r="G142" i="4" s="1"/>
  <c r="F47" i="4"/>
  <c r="G47" i="4" s="1"/>
  <c r="F119" i="4"/>
  <c r="G119" i="4" s="1"/>
  <c r="F12" i="4"/>
  <c r="G12" i="4" s="1"/>
  <c r="F84" i="4"/>
  <c r="G84" i="4" s="1"/>
  <c r="F156" i="4"/>
  <c r="G156" i="4" s="1"/>
  <c r="F37" i="4"/>
  <c r="G37" i="4" s="1"/>
  <c r="F109" i="4"/>
  <c r="G109" i="4" s="1"/>
  <c r="F62" i="4"/>
  <c r="G62" i="4" s="1"/>
  <c r="F122" i="4"/>
  <c r="G122" i="4" s="1"/>
  <c r="F2" i="4"/>
  <c r="G2" i="4" s="1"/>
  <c r="F4" i="4"/>
  <c r="G4" i="4" s="1"/>
  <c r="F16" i="4"/>
  <c r="G16" i="4" s="1"/>
  <c r="F28" i="4"/>
  <c r="G28" i="4" s="1"/>
  <c r="F40" i="4"/>
  <c r="G40" i="4" s="1"/>
  <c r="F52" i="4"/>
  <c r="G52" i="4" s="1"/>
  <c r="F64" i="4"/>
  <c r="G64" i="4" s="1"/>
  <c r="F76" i="4"/>
  <c r="G76" i="4" s="1"/>
  <c r="F88" i="4"/>
  <c r="G88" i="4" s="1"/>
  <c r="F100" i="4"/>
  <c r="G100" i="4" s="1"/>
  <c r="F112" i="4"/>
  <c r="G112" i="4" s="1"/>
  <c r="F124" i="4"/>
  <c r="G124" i="4" s="1"/>
  <c r="F136" i="4"/>
  <c r="G136" i="4" s="1"/>
  <c r="F148" i="4"/>
  <c r="G148" i="4" s="1"/>
  <c r="F160" i="4"/>
  <c r="G160" i="4" s="1"/>
  <c r="F172" i="4"/>
  <c r="G172" i="4" s="1"/>
  <c r="F184" i="4"/>
  <c r="G184" i="4" s="1"/>
  <c r="F57" i="4"/>
  <c r="G57" i="4" s="1"/>
  <c r="F117" i="4"/>
  <c r="G117" i="4" s="1"/>
  <c r="F189" i="4"/>
  <c r="G189" i="4" s="1"/>
  <c r="F22" i="4"/>
  <c r="G22" i="4" s="1"/>
  <c r="F94" i="4"/>
  <c r="G94" i="4" s="1"/>
  <c r="F166" i="4"/>
  <c r="G166" i="4" s="1"/>
  <c r="F11" i="4"/>
  <c r="G11" i="4" s="1"/>
  <c r="F71" i="4"/>
  <c r="G71" i="4" s="1"/>
  <c r="F107" i="4"/>
  <c r="G107" i="4" s="1"/>
  <c r="F143" i="4"/>
  <c r="G143" i="4" s="1"/>
  <c r="F24" i="4"/>
  <c r="G24" i="4" s="1"/>
  <c r="F108" i="4"/>
  <c r="G108" i="4" s="1"/>
  <c r="F49" i="4"/>
  <c r="G49" i="4" s="1"/>
  <c r="F121" i="4"/>
  <c r="G121" i="4" s="1"/>
  <c r="F181" i="4"/>
  <c r="G181" i="4" s="1"/>
  <c r="F26" i="4"/>
  <c r="G26" i="4" s="1"/>
  <c r="F98" i="4"/>
  <c r="G98" i="4" s="1"/>
  <c r="F170" i="4"/>
  <c r="G170" i="4" s="1"/>
  <c r="F5" i="4"/>
  <c r="G5" i="4" s="1"/>
  <c r="F17" i="4"/>
  <c r="G17" i="4" s="1"/>
  <c r="F29" i="4"/>
  <c r="G29" i="4" s="1"/>
  <c r="F41" i="4"/>
  <c r="G41" i="4" s="1"/>
  <c r="F53" i="4"/>
  <c r="G53" i="4" s="1"/>
  <c r="F65" i="4"/>
  <c r="G65" i="4" s="1"/>
  <c r="F77" i="4"/>
  <c r="G77" i="4" s="1"/>
  <c r="F89" i="4"/>
  <c r="G89" i="4" s="1"/>
  <c r="F101" i="4"/>
  <c r="G101" i="4" s="1"/>
  <c r="F113" i="4"/>
  <c r="G113" i="4" s="1"/>
  <c r="F125" i="4"/>
  <c r="G125" i="4" s="1"/>
  <c r="F137" i="4"/>
  <c r="G137" i="4" s="1"/>
  <c r="F149" i="4"/>
  <c r="G149" i="4" s="1"/>
  <c r="F161" i="4"/>
  <c r="G161" i="4" s="1"/>
  <c r="F173" i="4"/>
  <c r="G173" i="4" s="1"/>
  <c r="F185" i="4"/>
  <c r="G185" i="4" s="1"/>
  <c r="F21" i="4"/>
  <c r="G21" i="4" s="1"/>
  <c r="F93" i="4"/>
  <c r="G93" i="4" s="1"/>
  <c r="F165" i="4"/>
  <c r="G165" i="4" s="1"/>
  <c r="F34" i="4"/>
  <c r="G34" i="4" s="1"/>
  <c r="F118" i="4"/>
  <c r="G118" i="4" s="1"/>
  <c r="F190" i="4"/>
  <c r="G190" i="4" s="1"/>
  <c r="F83" i="4"/>
  <c r="G83" i="4" s="1"/>
  <c r="F167" i="4"/>
  <c r="G167" i="4" s="1"/>
  <c r="F60" i="4"/>
  <c r="G60" i="4" s="1"/>
  <c r="F132" i="4"/>
  <c r="G132" i="4" s="1"/>
  <c r="F180" i="4"/>
  <c r="G180" i="4" s="1"/>
  <c r="F25" i="4"/>
  <c r="G25" i="4" s="1"/>
  <c r="F97" i="4"/>
  <c r="G97" i="4" s="1"/>
  <c r="F157" i="4"/>
  <c r="G157" i="4" s="1"/>
  <c r="F74" i="4"/>
  <c r="G74" i="4" s="1"/>
  <c r="F146" i="4"/>
  <c r="G146" i="4" s="1"/>
  <c r="F6" i="4"/>
  <c r="G6" i="4" s="1"/>
  <c r="F18" i="4"/>
  <c r="G18" i="4" s="1"/>
  <c r="F30" i="4"/>
  <c r="G30" i="4" s="1"/>
  <c r="F42" i="4"/>
  <c r="G42" i="4" s="1"/>
  <c r="F54" i="4"/>
  <c r="G54" i="4" s="1"/>
  <c r="F66" i="4"/>
  <c r="G66" i="4" s="1"/>
  <c r="F78" i="4"/>
  <c r="G78" i="4" s="1"/>
  <c r="F90" i="4"/>
  <c r="G90" i="4" s="1"/>
  <c r="F102" i="4"/>
  <c r="G102" i="4" s="1"/>
  <c r="F114" i="4"/>
  <c r="G114" i="4" s="1"/>
  <c r="F126" i="4"/>
  <c r="G126" i="4" s="1"/>
  <c r="F138" i="4"/>
  <c r="G138" i="4" s="1"/>
  <c r="F150" i="4"/>
  <c r="G150" i="4" s="1"/>
  <c r="F162" i="4"/>
  <c r="G162" i="4" s="1"/>
  <c r="F174" i="4"/>
  <c r="G174" i="4" s="1"/>
  <c r="F186" i="4"/>
  <c r="G186" i="4" s="1"/>
  <c r="F9" i="4"/>
  <c r="G9" i="4" s="1"/>
  <c r="F105" i="4"/>
  <c r="G105" i="4" s="1"/>
  <c r="F177" i="4"/>
  <c r="G177" i="4" s="1"/>
  <c r="F58" i="4"/>
  <c r="G58" i="4" s="1"/>
  <c r="F106" i="4"/>
  <c r="G106" i="4" s="1"/>
  <c r="F154" i="4"/>
  <c r="G154" i="4" s="1"/>
  <c r="F35" i="4"/>
  <c r="G35" i="4" s="1"/>
  <c r="F131" i="4"/>
  <c r="G131" i="4" s="1"/>
  <c r="F191" i="4"/>
  <c r="G191" i="4" s="1"/>
  <c r="F36" i="4"/>
  <c r="G36" i="4" s="1"/>
  <c r="F96" i="4"/>
  <c r="G96" i="4" s="1"/>
  <c r="F192" i="4"/>
  <c r="G192" i="4" s="1"/>
  <c r="F85" i="4"/>
  <c r="G85" i="4" s="1"/>
  <c r="F169" i="4"/>
  <c r="G169" i="4" s="1"/>
  <c r="F38" i="4"/>
  <c r="G38" i="4" s="1"/>
  <c r="F110" i="4"/>
  <c r="G110" i="4" s="1"/>
  <c r="F182" i="4"/>
  <c r="G182" i="4" s="1"/>
  <c r="F7" i="4"/>
  <c r="G7" i="4" s="1"/>
  <c r="F19" i="4"/>
  <c r="G19" i="4" s="1"/>
  <c r="F31" i="4"/>
  <c r="G31" i="4" s="1"/>
  <c r="F43" i="4"/>
  <c r="G43" i="4" s="1"/>
  <c r="F55" i="4"/>
  <c r="G55" i="4" s="1"/>
  <c r="F67" i="4"/>
  <c r="G67" i="4" s="1"/>
  <c r="F79" i="4"/>
  <c r="G79" i="4" s="1"/>
  <c r="F91" i="4"/>
  <c r="G91" i="4" s="1"/>
  <c r="F103" i="4"/>
  <c r="G103" i="4" s="1"/>
  <c r="F115" i="4"/>
  <c r="G115" i="4" s="1"/>
  <c r="F127" i="4"/>
  <c r="G127" i="4" s="1"/>
  <c r="F139" i="4"/>
  <c r="G139" i="4" s="1"/>
  <c r="F151" i="4"/>
  <c r="G151" i="4" s="1"/>
  <c r="F163" i="4"/>
  <c r="G163" i="4" s="1"/>
  <c r="F175" i="4"/>
  <c r="G175" i="4" s="1"/>
  <c r="F187" i="4"/>
  <c r="G187" i="4" s="1"/>
  <c r="F69" i="4"/>
  <c r="G69" i="4" s="1"/>
  <c r="F141" i="4"/>
  <c r="G141" i="4" s="1"/>
  <c r="F10" i="4"/>
  <c r="G10" i="4" s="1"/>
  <c r="F82" i="4"/>
  <c r="G82" i="4" s="1"/>
  <c r="F178" i="4"/>
  <c r="G178" i="4" s="1"/>
  <c r="F59" i="4"/>
  <c r="G59" i="4" s="1"/>
  <c r="F155" i="4"/>
  <c r="G155" i="4" s="1"/>
  <c r="F48" i="4"/>
  <c r="G48" i="4" s="1"/>
  <c r="F120" i="4"/>
  <c r="G120" i="4" s="1"/>
  <c r="F13" i="4"/>
  <c r="G13" i="4" s="1"/>
  <c r="F73" i="4"/>
  <c r="G73" i="4" s="1"/>
  <c r="F133" i="4"/>
  <c r="G133" i="4" s="1"/>
  <c r="F193" i="4"/>
  <c r="G193" i="4" s="1"/>
  <c r="F14" i="4"/>
  <c r="G14" i="4" s="1"/>
  <c r="F86" i="4"/>
  <c r="G86" i="4" s="1"/>
  <c r="F158" i="4"/>
  <c r="G158" i="4" s="1"/>
  <c r="F8" i="4"/>
  <c r="G8" i="4" s="1"/>
  <c r="F20" i="4"/>
  <c r="G20" i="4" s="1"/>
  <c r="F32" i="4"/>
  <c r="G32" i="4" s="1"/>
  <c r="F44" i="4"/>
  <c r="G44" i="4" s="1"/>
  <c r="F56" i="4"/>
  <c r="G56" i="4" s="1"/>
  <c r="F68" i="4"/>
  <c r="G68" i="4" s="1"/>
  <c r="F80" i="4"/>
  <c r="G80" i="4" s="1"/>
  <c r="F92" i="4"/>
  <c r="G92" i="4" s="1"/>
  <c r="F104" i="4"/>
  <c r="G104" i="4" s="1"/>
  <c r="F116" i="4"/>
  <c r="G116" i="4" s="1"/>
  <c r="F128" i="4"/>
  <c r="G128" i="4" s="1"/>
  <c r="F140" i="4"/>
  <c r="G140" i="4" s="1"/>
  <c r="F152" i="4"/>
  <c r="G152" i="4" s="1"/>
  <c r="F164" i="4"/>
  <c r="G164" i="4" s="1"/>
  <c r="F176" i="4"/>
  <c r="G176" i="4" s="1"/>
  <c r="F188" i="4"/>
  <c r="G188" i="4" s="1"/>
  <c r="F33" i="4"/>
  <c r="G33" i="4" s="1"/>
  <c r="F81" i="4"/>
  <c r="G81" i="4" s="1"/>
  <c r="F153" i="4"/>
  <c r="G153" i="4" s="1"/>
  <c r="F46" i="4"/>
  <c r="G46" i="4" s="1"/>
  <c r="F130" i="4"/>
  <c r="G130" i="4" s="1"/>
  <c r="F23" i="4"/>
  <c r="G23" i="4" s="1"/>
  <c r="F95" i="4"/>
  <c r="G95" i="4" s="1"/>
  <c r="F179" i="4"/>
  <c r="G179" i="4" s="1"/>
  <c r="F72" i="4"/>
  <c r="G72" i="4" s="1"/>
  <c r="F144" i="4"/>
  <c r="G144" i="4" s="1"/>
  <c r="F168" i="4"/>
  <c r="G168" i="4" s="1"/>
  <c r="F61" i="4"/>
  <c r="G61" i="4" s="1"/>
  <c r="F145" i="4"/>
  <c r="G145" i="4" s="1"/>
  <c r="F50" i="4"/>
  <c r="G50" i="4" s="1"/>
  <c r="F134" i="4"/>
  <c r="G134" i="4" s="1"/>
</calcChain>
</file>

<file path=xl/sharedStrings.xml><?xml version="1.0" encoding="utf-8"?>
<sst xmlns="http://schemas.openxmlformats.org/spreadsheetml/2006/main" count="217" uniqueCount="135">
  <si>
    <t>Giorno</t>
  </si>
  <si>
    <t>Data</t>
  </si>
  <si>
    <t>Bias</t>
  </si>
  <si>
    <t>Trigger</t>
  </si>
  <si>
    <t>Zona</t>
  </si>
  <si>
    <t>vwap</t>
  </si>
  <si>
    <t>operazione</t>
  </si>
  <si>
    <t>Equity</t>
  </si>
  <si>
    <t>Result</t>
  </si>
  <si>
    <t>orario</t>
  </si>
  <si>
    <t>MAE</t>
  </si>
  <si>
    <t>Be Point</t>
  </si>
  <si>
    <t>Duration</t>
  </si>
  <si>
    <t>Direction</t>
  </si>
  <si>
    <t>Note</t>
  </si>
  <si>
    <t>Lunedi</t>
  </si>
  <si>
    <t>favore</t>
  </si>
  <si>
    <t>candela iniziative</t>
  </si>
  <si>
    <t>Delta</t>
  </si>
  <si>
    <t>discount</t>
  </si>
  <si>
    <t>SL</t>
  </si>
  <si>
    <t xml:space="preserve">CVD divergenze </t>
  </si>
  <si>
    <t>premium</t>
  </si>
  <si>
    <t>Martedì</t>
  </si>
  <si>
    <t>Nodo</t>
  </si>
  <si>
    <t>BE</t>
  </si>
  <si>
    <t>Mercoledì</t>
  </si>
  <si>
    <t>Giovedì</t>
  </si>
  <si>
    <t>TP</t>
  </si>
  <si>
    <t>Buy</t>
  </si>
  <si>
    <t>Sell</t>
  </si>
  <si>
    <t>contrarian</t>
  </si>
  <si>
    <t>trigger</t>
  </si>
  <si>
    <t>Venerdì</t>
  </si>
  <si>
    <t>Profit Max</t>
  </si>
  <si>
    <t>Media</t>
  </si>
  <si>
    <t>EngulfishDivergenze</t>
  </si>
  <si>
    <t>B</t>
  </si>
  <si>
    <t>B:set di candele divergenti anche 5/6 candele</t>
  </si>
  <si>
    <t>Max/min</t>
  </si>
  <si>
    <t>Win Rate</t>
  </si>
  <si>
    <t>Loss Rate</t>
  </si>
  <si>
    <t>Average Win</t>
  </si>
  <si>
    <t>Average Loss</t>
  </si>
  <si>
    <t>RR</t>
  </si>
  <si>
    <t>Profit Factor</t>
  </si>
  <si>
    <t>Expectancy</t>
  </si>
  <si>
    <t>Capitale di partenza</t>
  </si>
  <si>
    <t>rischio operazione</t>
  </si>
  <si>
    <t>Drowdown Max</t>
  </si>
  <si>
    <t>Martedi</t>
  </si>
  <si>
    <t>Mercoledi</t>
  </si>
  <si>
    <t>Giovedi</t>
  </si>
  <si>
    <t>Venerdi</t>
  </si>
  <si>
    <t>Totale Guadagno</t>
  </si>
  <si>
    <t>TP&gt;=500</t>
  </si>
  <si>
    <t>TP&gt;=450</t>
  </si>
  <si>
    <t>TP&gt;=400</t>
  </si>
  <si>
    <t>TP&gt;=550</t>
  </si>
  <si>
    <t>TP&gt;=600</t>
  </si>
  <si>
    <t>Target</t>
  </si>
  <si>
    <t>N.op</t>
  </si>
  <si>
    <t>Profitto totale</t>
  </si>
  <si>
    <t>TP=330</t>
  </si>
  <si>
    <t>Orario</t>
  </si>
  <si>
    <t>14:30-15:00</t>
  </si>
  <si>
    <t>15:00-15:30</t>
  </si>
  <si>
    <t>15:30-16:00</t>
  </si>
  <si>
    <t>16:00-16:30</t>
  </si>
  <si>
    <t>16:30-17:00</t>
  </si>
  <si>
    <t>17:00-17:40</t>
  </si>
  <si>
    <t>N.Op</t>
  </si>
  <si>
    <t xml:space="preserve">Strategia </t>
  </si>
  <si>
    <t>Profitto</t>
  </si>
  <si>
    <t>N. op Loss</t>
  </si>
  <si>
    <t>N. op Profit</t>
  </si>
  <si>
    <t>N. op Be</t>
  </si>
  <si>
    <t xml:space="preserve">N.operazioni totali </t>
  </si>
  <si>
    <t>N.operazioni totali in profitto</t>
  </si>
  <si>
    <t>Discount</t>
  </si>
  <si>
    <t>Premium</t>
  </si>
  <si>
    <t>N.operazione Buy in profit</t>
  </si>
  <si>
    <t>N.operazione Buy totali</t>
  </si>
  <si>
    <t>N.operazione Sell totali</t>
  </si>
  <si>
    <t>N.operazione Sell profit</t>
  </si>
  <si>
    <t>Monte Carlo Analisis</t>
  </si>
  <si>
    <t>Immagine</t>
  </si>
  <si>
    <t>SQN</t>
  </si>
  <si>
    <t>Risk of Ruin</t>
  </si>
  <si>
    <t>3,3%</t>
  </si>
  <si>
    <t>Rendimenti</t>
  </si>
  <si>
    <t>Maggio</t>
  </si>
  <si>
    <t>Giugno</t>
  </si>
  <si>
    <t>Luglio</t>
  </si>
  <si>
    <t>Agosto</t>
  </si>
  <si>
    <t>Settembre</t>
  </si>
  <si>
    <t>Numero di SL</t>
  </si>
  <si>
    <t>Massimi Relativi</t>
  </si>
  <si>
    <t>% Drowdown</t>
  </si>
  <si>
    <t>Max Drowdown</t>
  </si>
  <si>
    <t>Deposit</t>
  </si>
  <si>
    <t>sda&lt;z</t>
  </si>
  <si>
    <t>Commissions e spreed</t>
  </si>
  <si>
    <t>Axi</t>
  </si>
  <si>
    <t>Spreed</t>
  </si>
  <si>
    <t>6,52</t>
  </si>
  <si>
    <t>Commissioni/lotto</t>
  </si>
  <si>
    <t>13Tick (-8%)</t>
  </si>
  <si>
    <t>Totale op</t>
  </si>
  <si>
    <t>Totale operazioni</t>
  </si>
  <si>
    <t>Totale SL</t>
  </si>
  <si>
    <t>14:00-15:00</t>
  </si>
  <si>
    <t>Entrare solo in BIAS favore</t>
  </si>
  <si>
    <t>Tutti i trigger sono validi e hanno win rate&gt;30%</t>
  </si>
  <si>
    <t>I piu profittevoli sono  buy in premium e sell in discount</t>
  </si>
  <si>
    <t>7,54%</t>
  </si>
  <si>
    <t>Totale Da decurtare ad ogni op</t>
  </si>
  <si>
    <t>FTMO</t>
  </si>
  <si>
    <t>2,67</t>
  </si>
  <si>
    <t xml:space="preserve"> </t>
  </si>
  <si>
    <t>16 Tick (-10%)</t>
  </si>
  <si>
    <t>18 Tick (-12%)</t>
  </si>
  <si>
    <t>Fivers</t>
  </si>
  <si>
    <t>4,0</t>
  </si>
  <si>
    <t>Metriche</t>
  </si>
  <si>
    <t>Risultati</t>
  </si>
  <si>
    <t>N operazioni</t>
  </si>
  <si>
    <t>Operazioni</t>
  </si>
  <si>
    <t>Profitti</t>
  </si>
  <si>
    <t>Orari</t>
  </si>
  <si>
    <t>SL per orario</t>
  </si>
  <si>
    <t>SL Per giorno</t>
  </si>
  <si>
    <t>TRIGGER</t>
  </si>
  <si>
    <t>BIAS</t>
  </si>
  <si>
    <t>VWAP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</si>
</sst>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&quot;:&quot;mm"/>
    <numFmt numFmtId="165" formatCode="hh&quot;:&quot;mm&quot;:&quot;ss"/>
    <numFmt numFmtId="166" formatCode="[h]&quot;:&quot;mm&quot;:&quot;ss"/>
  </numFmts>
  <fonts count="6">
    <font>
      <sz val="11"/>
      <color rgb="FF000000"/>
      <name val="Aptos Narrow"/>
    </font>
    <font>
      <u/>
      <sz val="11"/>
      <color rgb="FF000000"/>
      <name val="Aptos Narrow"/>
    </font>
    <font>
      <sz val="11"/>
      <color rgb="FFFF0000"/>
      <name val="Aptos Narrow"/>
    </font>
    <font>
      <sz val="11"/>
      <color theme="0"/>
      <name val="Aptos Narrow"/>
    </font>
    <font>
      <u/>
      <sz val="11"/>
      <color theme="0"/>
      <name val="Aptos Narrow"/>
    </font>
    <font>
      <b/>
      <sz val="11"/>
      <color theme="0"/>
      <name val="Aptos Narrow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1" fontId="0" fillId="0" borderId="0" xfId="0" applyNumberForma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9" fontId="3" fillId="3" borderId="0" xfId="0" applyNumberFormat="1" applyFont="1" applyFill="1"/>
    <xf numFmtId="0" fontId="4" fillId="3" borderId="0" xfId="0" applyFont="1" applyFill="1"/>
    <xf numFmtId="20" fontId="3" fillId="3" borderId="0" xfId="0" applyNumberFormat="1" applyFont="1" applyFill="1"/>
    <xf numFmtId="14" fontId="3" fillId="3" borderId="0" xfId="0" applyNumberFormat="1" applyFont="1" applyFill="1"/>
    <xf numFmtId="21" fontId="3" fillId="3" borderId="0" xfId="0" applyNumberFormat="1" applyFont="1" applyFill="1"/>
    <xf numFmtId="46" fontId="3" fillId="3" borderId="0" xfId="0" applyNumberFormat="1" applyFont="1" applyFill="1"/>
    <xf numFmtId="165" fontId="3" fillId="3" borderId="0" xfId="0" applyNumberFormat="1" applyFont="1" applyFill="1"/>
    <xf numFmtId="164" fontId="3" fillId="3" borderId="0" xfId="0" applyNumberFormat="1" applyFont="1" applyFill="1"/>
    <xf numFmtId="166" fontId="3" fillId="3" borderId="0" xfId="0" applyNumberFormat="1" applyFont="1" applyFill="1"/>
    <xf numFmtId="2" fontId="3" fillId="3" borderId="0" xfId="0" applyNumberFormat="1" applyFont="1" applyFill="1"/>
    <xf numFmtId="20" fontId="4" fillId="3" borderId="0" xfId="0" applyNumberFormat="1" applyFont="1" applyFill="1"/>
    <xf numFmtId="0" fontId="3" fillId="4" borderId="0" xfId="0" applyFont="1" applyFill="1"/>
    <xf numFmtId="0" fontId="0" fillId="4" borderId="0" xfId="0" applyFill="1"/>
    <xf numFmtId="0" fontId="1" fillId="3" borderId="0" xfId="0" applyFont="1" applyFill="1"/>
    <xf numFmtId="10" fontId="3" fillId="4" borderId="0" xfId="0" applyNumberFormat="1" applyFont="1" applyFill="1"/>
    <xf numFmtId="10" fontId="3" fillId="3" borderId="0" xfId="0" applyNumberFormat="1" applyFont="1" applyFill="1"/>
    <xf numFmtId="10" fontId="0" fillId="3" borderId="0" xfId="0" applyNumberFormat="1" applyFill="1"/>
    <xf numFmtId="0" fontId="3" fillId="5" borderId="0" xfId="0" applyFont="1" applyFill="1"/>
    <xf numFmtId="0" fontId="3" fillId="0" borderId="0" xfId="0" applyFont="1"/>
    <xf numFmtId="0" fontId="3" fillId="6" borderId="0" xfId="0" applyFont="1" applyFill="1"/>
    <xf numFmtId="9" fontId="3" fillId="6" borderId="0" xfId="0" applyNumberFormat="1" applyFont="1" applyFill="1"/>
    <xf numFmtId="0" fontId="3" fillId="6" borderId="0" xfId="0" applyFont="1" applyFill="1" applyAlignment="1">
      <alignment horizontal="right"/>
    </xf>
    <xf numFmtId="0" fontId="3" fillId="7" borderId="0" xfId="0" applyFont="1" applyFill="1"/>
    <xf numFmtId="0" fontId="5" fillId="7" borderId="0" xfId="0" applyFont="1" applyFill="1"/>
    <xf numFmtId="0" fontId="5" fillId="6" borderId="0" xfId="0" applyFont="1" applyFill="1"/>
    <xf numFmtId="0" fontId="0" fillId="7" borderId="0" xfId="0" applyFill="1"/>
    <xf numFmtId="9" fontId="3" fillId="7" borderId="0" xfId="0" applyNumberFormat="1" applyFont="1" applyFill="1"/>
    <xf numFmtId="0" fontId="5" fillId="4" borderId="0" xfId="0" applyFont="1" applyFill="1"/>
  </cellXfs>
  <cellStyles count="1">
    <cellStyle name="Normale" xfId="0" builtinId="0" customBuiltin="1"/>
  </cellStyles>
  <dxfs count="0"/>
  <tableStyles count="0" defaultTableStyle="TableStyleMedium2" defaultPivotStyle="PivotStyleLight16"/>
  <colors>
    <mruColors>
      <color rgb="FF95F397"/>
      <color rgb="FFEE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bg1"/>
                </a:solidFill>
              </a:rPr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5F397"/>
            </a:solidFill>
          </c:spPr>
          <c:dPt>
            <c:idx val="0"/>
            <c:bubble3D val="0"/>
            <c:spPr>
              <a:solidFill>
                <a:srgbClr val="95F39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8C-4C09-B2F9-3D95A1F259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8C-4C09-B2F9-3D95A1F25901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8C-4C09-B2F9-3D95A1F2590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Statistiche!$A$29:$A$31</c:f>
              <c:numCache>
                <c:formatCode>General</c:formatCode>
                <c:ptCount val="3"/>
              </c:numCache>
            </c:numRef>
          </c:cat>
          <c:val>
            <c:numRef>
              <c:f>Statistiche!$C$29:$C$31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D-4A77-B602-B4483A7229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69100578490509E-2"/>
          <c:y val="7.5959351280225337E-2"/>
          <c:w val="0.88766595528129411"/>
          <c:h val="0.83764511058403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Statistiche!$K$77</c:f>
              <c:strCache>
                <c:ptCount val="1"/>
                <c:pt idx="0">
                  <c:v>Numero di SL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Statistiche!$J$78:$J$83</c:f>
              <c:strCache>
                <c:ptCount val="6"/>
                <c:pt idx="0">
                  <c:v>14:30-15:00</c:v>
                </c:pt>
                <c:pt idx="1">
                  <c:v>15:00-15:30</c:v>
                </c:pt>
                <c:pt idx="2">
                  <c:v>15:30-16:00</c:v>
                </c:pt>
                <c:pt idx="3">
                  <c:v>16:00-16:30</c:v>
                </c:pt>
                <c:pt idx="4">
                  <c:v>16:30-17:00</c:v>
                </c:pt>
                <c:pt idx="5">
                  <c:v>17:00-17:40</c:v>
                </c:pt>
              </c:strCache>
            </c:strRef>
          </c:cat>
          <c:val>
            <c:numRef>
              <c:f>Statistiche!$K$78:$K$83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F-432B-96A6-D5030C214712}"/>
            </c:ext>
          </c:extLst>
        </c:ser>
        <c:ser>
          <c:idx val="1"/>
          <c:order val="1"/>
          <c:tx>
            <c:strRef>
              <c:f>Statistiche!$L$77</c:f>
              <c:strCache>
                <c:ptCount val="1"/>
                <c:pt idx="0">
                  <c:v>Totale op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Statistiche!$J$78:$J$83</c:f>
              <c:strCache>
                <c:ptCount val="6"/>
                <c:pt idx="0">
                  <c:v>14:30-15:00</c:v>
                </c:pt>
                <c:pt idx="1">
                  <c:v>15:00-15:30</c:v>
                </c:pt>
                <c:pt idx="2">
                  <c:v>15:30-16:00</c:v>
                </c:pt>
                <c:pt idx="3">
                  <c:v>16:00-16:30</c:v>
                </c:pt>
                <c:pt idx="4">
                  <c:v>16:30-17:00</c:v>
                </c:pt>
                <c:pt idx="5">
                  <c:v>17:00-17:40</c:v>
                </c:pt>
              </c:strCache>
            </c:strRef>
          </c:cat>
          <c:val>
            <c:numRef>
              <c:f>Statistiche!$L$78:$L$83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1-4512-A36D-C99C116A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26368"/>
        <c:axId val="659326848"/>
      </c:barChart>
      <c:catAx>
        <c:axId val="6593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326848"/>
        <c:crosses val="autoZero"/>
        <c:auto val="1"/>
        <c:lblAlgn val="ctr"/>
        <c:lblOffset val="100"/>
        <c:noMultiLvlLbl val="0"/>
      </c:catAx>
      <c:valAx>
        <c:axId val="65932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326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SL per 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96361885822874"/>
          <c:y val="0.18485765957015995"/>
          <c:w val="0.80942353177381021"/>
          <c:h val="0.602772173963702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Statistiche!$C$75</c:f>
              <c:strCache>
                <c:ptCount val="1"/>
                <c:pt idx="0">
                  <c:v>Totale operazioni</c:v>
                </c:pt>
              </c:strCache>
            </c:strRef>
          </c:tx>
          <c:spPr>
            <a:solidFill>
              <a:srgbClr val="95F397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Statistiche!$B$76:$B$80</c:f>
              <c:strCache>
                <c:ptCount val="5"/>
                <c:pt idx="0">
                  <c:v>Lunedi</c:v>
                </c:pt>
                <c:pt idx="1">
                  <c:v>Martedi</c:v>
                </c:pt>
                <c:pt idx="2">
                  <c:v>Mercoledi</c:v>
                </c:pt>
                <c:pt idx="3">
                  <c:v>Giovedi</c:v>
                </c:pt>
                <c:pt idx="4">
                  <c:v>Venerdi</c:v>
                </c:pt>
              </c:strCache>
            </c:strRef>
          </c:cat>
          <c:val>
            <c:numRef>
              <c:f>Statistiche!$C$76:$C$80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EE1-81C5-C5AFAE21BC2B}"/>
            </c:ext>
          </c:extLst>
        </c:ser>
        <c:ser>
          <c:idx val="1"/>
          <c:order val="1"/>
          <c:tx>
            <c:strRef>
              <c:f>Statistiche!$D$75</c:f>
              <c:strCache>
                <c:ptCount val="1"/>
                <c:pt idx="0">
                  <c:v>Totale SL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Statistiche!$B$76:$B$80</c:f>
              <c:strCache>
                <c:ptCount val="5"/>
                <c:pt idx="0">
                  <c:v>Lunedi</c:v>
                </c:pt>
                <c:pt idx="1">
                  <c:v>Martedi</c:v>
                </c:pt>
                <c:pt idx="2">
                  <c:v>Mercoledi</c:v>
                </c:pt>
                <c:pt idx="3">
                  <c:v>Giovedi</c:v>
                </c:pt>
                <c:pt idx="4">
                  <c:v>Venerdi</c:v>
                </c:pt>
              </c:strCache>
            </c:strRef>
          </c:cat>
          <c:val>
            <c:numRef>
              <c:f>Statistiche!$D$76:$D$80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EE1-81C5-C5AFAE21BC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6715535"/>
        <c:axId val="636700175"/>
      </c:barChart>
      <c:catAx>
        <c:axId val="63671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700175"/>
        <c:crosses val="autoZero"/>
        <c:auto val="1"/>
        <c:lblAlgn val="ctr"/>
        <c:lblOffset val="100"/>
        <c:noMultiLvlLbl val="0"/>
      </c:catAx>
      <c:valAx>
        <c:axId val="6367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7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Equity Line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008845751691916E-2"/>
          <c:y val="2.3933285665524988E-2"/>
          <c:w val="0.91657056001208115"/>
          <c:h val="0.93217341666372422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Rendimenti!$E$2:$E$193</c:f>
              <c:numCache>
                <c:formatCode>General</c:formatCode>
                <c:ptCount val="192"/>
                <c:pt idx="0">
                  <c:v>30330</c:v>
                </c:pt>
                <c:pt idx="1">
                  <c:v>30660</c:v>
                </c:pt>
                <c:pt idx="2">
                  <c:v>30990</c:v>
                </c:pt>
                <c:pt idx="3">
                  <c:v>30660</c:v>
                </c:pt>
                <c:pt idx="4">
                  <c:v>30660</c:v>
                </c:pt>
                <c:pt idx="5">
                  <c:v>30660</c:v>
                </c:pt>
                <c:pt idx="6">
                  <c:v>30990</c:v>
                </c:pt>
                <c:pt idx="7">
                  <c:v>30660</c:v>
                </c:pt>
                <c:pt idx="8">
                  <c:v>30330</c:v>
                </c:pt>
                <c:pt idx="9">
                  <c:v>30660</c:v>
                </c:pt>
                <c:pt idx="10">
                  <c:v>30990</c:v>
                </c:pt>
                <c:pt idx="11">
                  <c:v>31320</c:v>
                </c:pt>
                <c:pt idx="12">
                  <c:v>30990</c:v>
                </c:pt>
                <c:pt idx="13">
                  <c:v>31320</c:v>
                </c:pt>
                <c:pt idx="14">
                  <c:v>31320</c:v>
                </c:pt>
                <c:pt idx="15">
                  <c:v>30990</c:v>
                </c:pt>
                <c:pt idx="16">
                  <c:v>30660</c:v>
                </c:pt>
                <c:pt idx="17">
                  <c:v>30990</c:v>
                </c:pt>
                <c:pt idx="18">
                  <c:v>30660</c:v>
                </c:pt>
                <c:pt idx="19">
                  <c:v>30990</c:v>
                </c:pt>
                <c:pt idx="20">
                  <c:v>31320</c:v>
                </c:pt>
                <c:pt idx="21">
                  <c:v>31650</c:v>
                </c:pt>
                <c:pt idx="22">
                  <c:v>31320</c:v>
                </c:pt>
                <c:pt idx="23">
                  <c:v>31650</c:v>
                </c:pt>
                <c:pt idx="24">
                  <c:v>31980</c:v>
                </c:pt>
                <c:pt idx="25">
                  <c:v>31650</c:v>
                </c:pt>
                <c:pt idx="26">
                  <c:v>31320</c:v>
                </c:pt>
                <c:pt idx="27">
                  <c:v>30990</c:v>
                </c:pt>
                <c:pt idx="28">
                  <c:v>31320</c:v>
                </c:pt>
                <c:pt idx="29">
                  <c:v>30990</c:v>
                </c:pt>
                <c:pt idx="30">
                  <c:v>30990</c:v>
                </c:pt>
                <c:pt idx="31">
                  <c:v>30660</c:v>
                </c:pt>
                <c:pt idx="32">
                  <c:v>30450</c:v>
                </c:pt>
                <c:pt idx="33">
                  <c:v>30170</c:v>
                </c:pt>
                <c:pt idx="34">
                  <c:v>30170</c:v>
                </c:pt>
                <c:pt idx="35">
                  <c:v>29850</c:v>
                </c:pt>
                <c:pt idx="36">
                  <c:v>30100</c:v>
                </c:pt>
                <c:pt idx="37">
                  <c:v>29850</c:v>
                </c:pt>
                <c:pt idx="38">
                  <c:v>29570</c:v>
                </c:pt>
                <c:pt idx="39">
                  <c:v>30070</c:v>
                </c:pt>
                <c:pt idx="40">
                  <c:v>30520</c:v>
                </c:pt>
                <c:pt idx="41">
                  <c:v>30220</c:v>
                </c:pt>
                <c:pt idx="42">
                  <c:v>29920</c:v>
                </c:pt>
                <c:pt idx="43">
                  <c:v>30320</c:v>
                </c:pt>
                <c:pt idx="44">
                  <c:v>30670</c:v>
                </c:pt>
                <c:pt idx="45">
                  <c:v>31020</c:v>
                </c:pt>
                <c:pt idx="46">
                  <c:v>31360</c:v>
                </c:pt>
                <c:pt idx="47">
                  <c:v>31990</c:v>
                </c:pt>
                <c:pt idx="48">
                  <c:v>32390</c:v>
                </c:pt>
                <c:pt idx="49">
                  <c:v>32750</c:v>
                </c:pt>
                <c:pt idx="50">
                  <c:v>33090</c:v>
                </c:pt>
                <c:pt idx="51">
                  <c:v>33470</c:v>
                </c:pt>
                <c:pt idx="52">
                  <c:v>33770</c:v>
                </c:pt>
                <c:pt idx="53">
                  <c:v>34030</c:v>
                </c:pt>
                <c:pt idx="54">
                  <c:v>34490</c:v>
                </c:pt>
                <c:pt idx="55">
                  <c:v>34890</c:v>
                </c:pt>
                <c:pt idx="56">
                  <c:v>35270</c:v>
                </c:pt>
                <c:pt idx="57">
                  <c:v>34940</c:v>
                </c:pt>
                <c:pt idx="58">
                  <c:v>35200</c:v>
                </c:pt>
                <c:pt idx="59">
                  <c:v>35040</c:v>
                </c:pt>
                <c:pt idx="60">
                  <c:v>34700</c:v>
                </c:pt>
                <c:pt idx="61">
                  <c:v>34480</c:v>
                </c:pt>
                <c:pt idx="62">
                  <c:v>34870</c:v>
                </c:pt>
                <c:pt idx="63">
                  <c:v>34480</c:v>
                </c:pt>
                <c:pt idx="64">
                  <c:v>34830</c:v>
                </c:pt>
                <c:pt idx="65">
                  <c:v>35080</c:v>
                </c:pt>
                <c:pt idx="66">
                  <c:v>34780</c:v>
                </c:pt>
                <c:pt idx="67">
                  <c:v>35740</c:v>
                </c:pt>
                <c:pt idx="68">
                  <c:v>35460</c:v>
                </c:pt>
                <c:pt idx="69">
                  <c:v>35840</c:v>
                </c:pt>
                <c:pt idx="70">
                  <c:v>36170</c:v>
                </c:pt>
                <c:pt idx="71">
                  <c:v>35840</c:v>
                </c:pt>
                <c:pt idx="72">
                  <c:v>35510</c:v>
                </c:pt>
                <c:pt idx="73">
                  <c:v>35180</c:v>
                </c:pt>
                <c:pt idx="74">
                  <c:v>34850</c:v>
                </c:pt>
                <c:pt idx="75">
                  <c:v>35180</c:v>
                </c:pt>
                <c:pt idx="76">
                  <c:v>35510</c:v>
                </c:pt>
                <c:pt idx="77">
                  <c:v>35840</c:v>
                </c:pt>
                <c:pt idx="78">
                  <c:v>36170</c:v>
                </c:pt>
                <c:pt idx="79">
                  <c:v>36500</c:v>
                </c:pt>
                <c:pt idx="80">
                  <c:v>36170</c:v>
                </c:pt>
                <c:pt idx="81">
                  <c:v>36480</c:v>
                </c:pt>
                <c:pt idx="82">
                  <c:v>36800</c:v>
                </c:pt>
                <c:pt idx="83">
                  <c:v>36470</c:v>
                </c:pt>
                <c:pt idx="84">
                  <c:v>36140</c:v>
                </c:pt>
                <c:pt idx="85">
                  <c:v>36470</c:v>
                </c:pt>
                <c:pt idx="86">
                  <c:v>36800</c:v>
                </c:pt>
                <c:pt idx="87">
                  <c:v>36920</c:v>
                </c:pt>
                <c:pt idx="88">
                  <c:v>37250</c:v>
                </c:pt>
                <c:pt idx="89">
                  <c:v>36920</c:v>
                </c:pt>
                <c:pt idx="90">
                  <c:v>36590</c:v>
                </c:pt>
                <c:pt idx="91">
                  <c:v>36240</c:v>
                </c:pt>
                <c:pt idx="92">
                  <c:v>35910</c:v>
                </c:pt>
                <c:pt idx="93">
                  <c:v>36240</c:v>
                </c:pt>
                <c:pt idx="94">
                  <c:v>35910</c:v>
                </c:pt>
                <c:pt idx="95">
                  <c:v>35580</c:v>
                </c:pt>
                <c:pt idx="96">
                  <c:v>35910</c:v>
                </c:pt>
                <c:pt idx="97">
                  <c:v>36240</c:v>
                </c:pt>
                <c:pt idx="98">
                  <c:v>36570</c:v>
                </c:pt>
                <c:pt idx="99">
                  <c:v>36900</c:v>
                </c:pt>
                <c:pt idx="100">
                  <c:v>36570</c:v>
                </c:pt>
                <c:pt idx="101">
                  <c:v>36240</c:v>
                </c:pt>
                <c:pt idx="102">
                  <c:v>36570</c:v>
                </c:pt>
                <c:pt idx="103">
                  <c:v>36880</c:v>
                </c:pt>
                <c:pt idx="104">
                  <c:v>37210</c:v>
                </c:pt>
                <c:pt idx="105">
                  <c:v>37520</c:v>
                </c:pt>
                <c:pt idx="106">
                  <c:v>37520</c:v>
                </c:pt>
                <c:pt idx="107">
                  <c:v>37850</c:v>
                </c:pt>
                <c:pt idx="108">
                  <c:v>38180</c:v>
                </c:pt>
                <c:pt idx="109">
                  <c:v>37850</c:v>
                </c:pt>
                <c:pt idx="110">
                  <c:v>37520</c:v>
                </c:pt>
                <c:pt idx="111">
                  <c:v>37190</c:v>
                </c:pt>
                <c:pt idx="112">
                  <c:v>36860</c:v>
                </c:pt>
                <c:pt idx="113">
                  <c:v>37190</c:v>
                </c:pt>
                <c:pt idx="114">
                  <c:v>37520</c:v>
                </c:pt>
                <c:pt idx="115">
                  <c:v>37730</c:v>
                </c:pt>
                <c:pt idx="116">
                  <c:v>38060</c:v>
                </c:pt>
                <c:pt idx="117">
                  <c:v>38390</c:v>
                </c:pt>
                <c:pt idx="118">
                  <c:v>38060</c:v>
                </c:pt>
                <c:pt idx="119">
                  <c:v>38390</c:v>
                </c:pt>
                <c:pt idx="120">
                  <c:v>38060</c:v>
                </c:pt>
                <c:pt idx="121">
                  <c:v>38390</c:v>
                </c:pt>
                <c:pt idx="122">
                  <c:v>38720</c:v>
                </c:pt>
                <c:pt idx="123">
                  <c:v>39050</c:v>
                </c:pt>
                <c:pt idx="124">
                  <c:v>39380</c:v>
                </c:pt>
                <c:pt idx="125">
                  <c:v>39710</c:v>
                </c:pt>
                <c:pt idx="126">
                  <c:v>39380</c:v>
                </c:pt>
                <c:pt idx="127">
                  <c:v>39710</c:v>
                </c:pt>
                <c:pt idx="128">
                  <c:v>39380</c:v>
                </c:pt>
                <c:pt idx="129">
                  <c:v>39710</c:v>
                </c:pt>
                <c:pt idx="130">
                  <c:v>40540</c:v>
                </c:pt>
                <c:pt idx="131">
                  <c:v>40870</c:v>
                </c:pt>
                <c:pt idx="132">
                  <c:v>41200</c:v>
                </c:pt>
                <c:pt idx="133">
                  <c:v>41530</c:v>
                </c:pt>
                <c:pt idx="134">
                  <c:v>41860</c:v>
                </c:pt>
                <c:pt idx="135">
                  <c:v>42140</c:v>
                </c:pt>
                <c:pt idx="136">
                  <c:v>42470</c:v>
                </c:pt>
                <c:pt idx="137">
                  <c:v>42140</c:v>
                </c:pt>
                <c:pt idx="138">
                  <c:v>41810</c:v>
                </c:pt>
                <c:pt idx="139">
                  <c:v>42090</c:v>
                </c:pt>
                <c:pt idx="140">
                  <c:v>42420</c:v>
                </c:pt>
                <c:pt idx="141">
                  <c:v>42750</c:v>
                </c:pt>
                <c:pt idx="142">
                  <c:v>42420</c:v>
                </c:pt>
                <c:pt idx="143">
                  <c:v>42090</c:v>
                </c:pt>
                <c:pt idx="144">
                  <c:v>42420</c:v>
                </c:pt>
                <c:pt idx="145">
                  <c:v>42750</c:v>
                </c:pt>
                <c:pt idx="146">
                  <c:v>43080</c:v>
                </c:pt>
                <c:pt idx="147">
                  <c:v>42750</c:v>
                </c:pt>
                <c:pt idx="148">
                  <c:v>43080</c:v>
                </c:pt>
                <c:pt idx="149">
                  <c:v>43410</c:v>
                </c:pt>
                <c:pt idx="150">
                  <c:v>43080</c:v>
                </c:pt>
                <c:pt idx="151">
                  <c:v>42750</c:v>
                </c:pt>
                <c:pt idx="152">
                  <c:v>42420</c:v>
                </c:pt>
                <c:pt idx="153">
                  <c:v>42750</c:v>
                </c:pt>
                <c:pt idx="154">
                  <c:v>42420</c:v>
                </c:pt>
                <c:pt idx="155">
                  <c:v>42750</c:v>
                </c:pt>
                <c:pt idx="156">
                  <c:v>43080</c:v>
                </c:pt>
                <c:pt idx="157">
                  <c:v>43080</c:v>
                </c:pt>
                <c:pt idx="158">
                  <c:v>43410</c:v>
                </c:pt>
                <c:pt idx="159">
                  <c:v>43080</c:v>
                </c:pt>
                <c:pt idx="160">
                  <c:v>42750</c:v>
                </c:pt>
                <c:pt idx="161">
                  <c:v>43080</c:v>
                </c:pt>
                <c:pt idx="162">
                  <c:v>43410</c:v>
                </c:pt>
                <c:pt idx="163">
                  <c:v>43740</c:v>
                </c:pt>
                <c:pt idx="164">
                  <c:v>44070</c:v>
                </c:pt>
                <c:pt idx="165">
                  <c:v>44400</c:v>
                </c:pt>
                <c:pt idx="166">
                  <c:v>44730</c:v>
                </c:pt>
                <c:pt idx="167">
                  <c:v>44730</c:v>
                </c:pt>
                <c:pt idx="168">
                  <c:v>44400</c:v>
                </c:pt>
                <c:pt idx="169">
                  <c:v>44070</c:v>
                </c:pt>
                <c:pt idx="170">
                  <c:v>44400</c:v>
                </c:pt>
                <c:pt idx="171">
                  <c:v>44070</c:v>
                </c:pt>
                <c:pt idx="172">
                  <c:v>43740</c:v>
                </c:pt>
                <c:pt idx="173">
                  <c:v>43740</c:v>
                </c:pt>
                <c:pt idx="174">
                  <c:v>44070</c:v>
                </c:pt>
                <c:pt idx="175">
                  <c:v>44400</c:v>
                </c:pt>
                <c:pt idx="176">
                  <c:v>44400</c:v>
                </c:pt>
                <c:pt idx="177">
                  <c:v>44730</c:v>
                </c:pt>
                <c:pt idx="178">
                  <c:v>44400</c:v>
                </c:pt>
                <c:pt idx="179">
                  <c:v>44730</c:v>
                </c:pt>
                <c:pt idx="180">
                  <c:v>45060</c:v>
                </c:pt>
                <c:pt idx="181">
                  <c:v>45390</c:v>
                </c:pt>
                <c:pt idx="182">
                  <c:v>45720</c:v>
                </c:pt>
                <c:pt idx="183">
                  <c:v>45390</c:v>
                </c:pt>
                <c:pt idx="184">
                  <c:v>45060</c:v>
                </c:pt>
                <c:pt idx="185">
                  <c:v>45390</c:v>
                </c:pt>
                <c:pt idx="186">
                  <c:v>45060</c:v>
                </c:pt>
                <c:pt idx="187">
                  <c:v>44730</c:v>
                </c:pt>
                <c:pt idx="188">
                  <c:v>45060</c:v>
                </c:pt>
                <c:pt idx="189">
                  <c:v>45390</c:v>
                </c:pt>
                <c:pt idx="190">
                  <c:v>45060</c:v>
                </c:pt>
                <c:pt idx="191">
                  <c:v>45390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2-4D11-ABA7-88DEC3B45205}"/>
            </c:ext>
          </c:extLst>
        </c:ser>
        <c:ser>
          <c:idx val="1"/>
          <c:order val="1"/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Rendimenti!$F$2:$F$193</c:f>
              <c:numCache>
                <c:formatCode>General</c:formatCode>
                <c:ptCount val="192"/>
                <c:pt idx="0">
                  <c:v>30330</c:v>
                </c:pt>
                <c:pt idx="1">
                  <c:v>30660</c:v>
                </c:pt>
                <c:pt idx="2">
                  <c:v>30990</c:v>
                </c:pt>
                <c:pt idx="3">
                  <c:v>30990</c:v>
                </c:pt>
                <c:pt idx="4">
                  <c:v>30990</c:v>
                </c:pt>
                <c:pt idx="5">
                  <c:v>30990</c:v>
                </c:pt>
                <c:pt idx="6">
                  <c:v>30990</c:v>
                </c:pt>
                <c:pt idx="7">
                  <c:v>30990</c:v>
                </c:pt>
                <c:pt idx="8">
                  <c:v>30990</c:v>
                </c:pt>
                <c:pt idx="9">
                  <c:v>30990</c:v>
                </c:pt>
                <c:pt idx="10">
                  <c:v>30990</c:v>
                </c:pt>
                <c:pt idx="11">
                  <c:v>31320</c:v>
                </c:pt>
                <c:pt idx="12">
                  <c:v>31320</c:v>
                </c:pt>
                <c:pt idx="13">
                  <c:v>31320</c:v>
                </c:pt>
                <c:pt idx="14">
                  <c:v>31320</c:v>
                </c:pt>
                <c:pt idx="15">
                  <c:v>31320</c:v>
                </c:pt>
                <c:pt idx="16">
                  <c:v>31320</c:v>
                </c:pt>
                <c:pt idx="17">
                  <c:v>31320</c:v>
                </c:pt>
                <c:pt idx="18">
                  <c:v>31320</c:v>
                </c:pt>
                <c:pt idx="19">
                  <c:v>31320</c:v>
                </c:pt>
                <c:pt idx="20">
                  <c:v>31320</c:v>
                </c:pt>
                <c:pt idx="21">
                  <c:v>31650</c:v>
                </c:pt>
                <c:pt idx="22">
                  <c:v>31650</c:v>
                </c:pt>
                <c:pt idx="23">
                  <c:v>31650</c:v>
                </c:pt>
                <c:pt idx="24">
                  <c:v>31980</c:v>
                </c:pt>
                <c:pt idx="25">
                  <c:v>31980</c:v>
                </c:pt>
                <c:pt idx="26">
                  <c:v>31980</c:v>
                </c:pt>
                <c:pt idx="27">
                  <c:v>31980</c:v>
                </c:pt>
                <c:pt idx="28">
                  <c:v>31980</c:v>
                </c:pt>
                <c:pt idx="29">
                  <c:v>31980</c:v>
                </c:pt>
                <c:pt idx="30">
                  <c:v>31980</c:v>
                </c:pt>
                <c:pt idx="31">
                  <c:v>31980</c:v>
                </c:pt>
                <c:pt idx="32">
                  <c:v>31980</c:v>
                </c:pt>
                <c:pt idx="33">
                  <c:v>31980</c:v>
                </c:pt>
                <c:pt idx="34">
                  <c:v>31980</c:v>
                </c:pt>
                <c:pt idx="35">
                  <c:v>31980</c:v>
                </c:pt>
                <c:pt idx="36">
                  <c:v>31980</c:v>
                </c:pt>
                <c:pt idx="37">
                  <c:v>31980</c:v>
                </c:pt>
                <c:pt idx="38">
                  <c:v>31980</c:v>
                </c:pt>
                <c:pt idx="39">
                  <c:v>31980</c:v>
                </c:pt>
                <c:pt idx="40">
                  <c:v>31980</c:v>
                </c:pt>
                <c:pt idx="41">
                  <c:v>31980</c:v>
                </c:pt>
                <c:pt idx="42">
                  <c:v>31980</c:v>
                </c:pt>
                <c:pt idx="43">
                  <c:v>31980</c:v>
                </c:pt>
                <c:pt idx="44">
                  <c:v>31980</c:v>
                </c:pt>
                <c:pt idx="45">
                  <c:v>31980</c:v>
                </c:pt>
                <c:pt idx="46">
                  <c:v>31980</c:v>
                </c:pt>
                <c:pt idx="47">
                  <c:v>31990</c:v>
                </c:pt>
                <c:pt idx="48">
                  <c:v>32390</c:v>
                </c:pt>
                <c:pt idx="49">
                  <c:v>32750</c:v>
                </c:pt>
                <c:pt idx="50">
                  <c:v>33090</c:v>
                </c:pt>
                <c:pt idx="51">
                  <c:v>33470</c:v>
                </c:pt>
                <c:pt idx="52">
                  <c:v>33770</c:v>
                </c:pt>
                <c:pt idx="53">
                  <c:v>34030</c:v>
                </c:pt>
                <c:pt idx="54">
                  <c:v>34490</c:v>
                </c:pt>
                <c:pt idx="55">
                  <c:v>34890</c:v>
                </c:pt>
                <c:pt idx="56">
                  <c:v>35270</c:v>
                </c:pt>
                <c:pt idx="57">
                  <c:v>35270</c:v>
                </c:pt>
                <c:pt idx="58">
                  <c:v>35270</c:v>
                </c:pt>
                <c:pt idx="59">
                  <c:v>35270</c:v>
                </c:pt>
                <c:pt idx="60">
                  <c:v>35270</c:v>
                </c:pt>
                <c:pt idx="61">
                  <c:v>35270</c:v>
                </c:pt>
                <c:pt idx="62">
                  <c:v>35270</c:v>
                </c:pt>
                <c:pt idx="63">
                  <c:v>35270</c:v>
                </c:pt>
                <c:pt idx="64">
                  <c:v>35270</c:v>
                </c:pt>
                <c:pt idx="65">
                  <c:v>35270</c:v>
                </c:pt>
                <c:pt idx="66">
                  <c:v>35270</c:v>
                </c:pt>
                <c:pt idx="67">
                  <c:v>35740</c:v>
                </c:pt>
                <c:pt idx="68">
                  <c:v>35740</c:v>
                </c:pt>
                <c:pt idx="69">
                  <c:v>35840</c:v>
                </c:pt>
                <c:pt idx="70">
                  <c:v>36170</c:v>
                </c:pt>
                <c:pt idx="71">
                  <c:v>36170</c:v>
                </c:pt>
                <c:pt idx="72">
                  <c:v>36170</c:v>
                </c:pt>
                <c:pt idx="73">
                  <c:v>36170</c:v>
                </c:pt>
                <c:pt idx="74">
                  <c:v>36170</c:v>
                </c:pt>
                <c:pt idx="75">
                  <c:v>36170</c:v>
                </c:pt>
                <c:pt idx="76">
                  <c:v>36170</c:v>
                </c:pt>
                <c:pt idx="77">
                  <c:v>36170</c:v>
                </c:pt>
                <c:pt idx="78">
                  <c:v>36170</c:v>
                </c:pt>
                <c:pt idx="79">
                  <c:v>36500</c:v>
                </c:pt>
                <c:pt idx="80">
                  <c:v>36500</c:v>
                </c:pt>
                <c:pt idx="81">
                  <c:v>36500</c:v>
                </c:pt>
                <c:pt idx="82">
                  <c:v>36800</c:v>
                </c:pt>
                <c:pt idx="83">
                  <c:v>36800</c:v>
                </c:pt>
                <c:pt idx="84">
                  <c:v>36800</c:v>
                </c:pt>
                <c:pt idx="85">
                  <c:v>36800</c:v>
                </c:pt>
                <c:pt idx="86">
                  <c:v>36800</c:v>
                </c:pt>
                <c:pt idx="87">
                  <c:v>36920</c:v>
                </c:pt>
                <c:pt idx="88">
                  <c:v>37250</c:v>
                </c:pt>
                <c:pt idx="89">
                  <c:v>37250</c:v>
                </c:pt>
                <c:pt idx="90">
                  <c:v>37250</c:v>
                </c:pt>
                <c:pt idx="91">
                  <c:v>37250</c:v>
                </c:pt>
                <c:pt idx="92">
                  <c:v>37250</c:v>
                </c:pt>
                <c:pt idx="93">
                  <c:v>37250</c:v>
                </c:pt>
                <c:pt idx="94">
                  <c:v>37250</c:v>
                </c:pt>
                <c:pt idx="95">
                  <c:v>37250</c:v>
                </c:pt>
                <c:pt idx="96">
                  <c:v>37250</c:v>
                </c:pt>
                <c:pt idx="97">
                  <c:v>37250</c:v>
                </c:pt>
                <c:pt idx="98">
                  <c:v>37250</c:v>
                </c:pt>
                <c:pt idx="99">
                  <c:v>37250</c:v>
                </c:pt>
                <c:pt idx="100">
                  <c:v>37250</c:v>
                </c:pt>
                <c:pt idx="101">
                  <c:v>37250</c:v>
                </c:pt>
                <c:pt idx="102">
                  <c:v>37250</c:v>
                </c:pt>
                <c:pt idx="103">
                  <c:v>37250</c:v>
                </c:pt>
                <c:pt idx="104">
                  <c:v>37250</c:v>
                </c:pt>
                <c:pt idx="105">
                  <c:v>37520</c:v>
                </c:pt>
                <c:pt idx="106">
                  <c:v>37520</c:v>
                </c:pt>
                <c:pt idx="107">
                  <c:v>37850</c:v>
                </c:pt>
                <c:pt idx="108">
                  <c:v>38180</c:v>
                </c:pt>
                <c:pt idx="109">
                  <c:v>38180</c:v>
                </c:pt>
                <c:pt idx="110">
                  <c:v>38180</c:v>
                </c:pt>
                <c:pt idx="111">
                  <c:v>38180</c:v>
                </c:pt>
                <c:pt idx="112">
                  <c:v>38180</c:v>
                </c:pt>
                <c:pt idx="113">
                  <c:v>38180</c:v>
                </c:pt>
                <c:pt idx="114">
                  <c:v>38180</c:v>
                </c:pt>
                <c:pt idx="115">
                  <c:v>38180</c:v>
                </c:pt>
                <c:pt idx="116">
                  <c:v>38180</c:v>
                </c:pt>
                <c:pt idx="117">
                  <c:v>38390</c:v>
                </c:pt>
                <c:pt idx="118">
                  <c:v>38390</c:v>
                </c:pt>
                <c:pt idx="119">
                  <c:v>38390</c:v>
                </c:pt>
                <c:pt idx="120">
                  <c:v>38390</c:v>
                </c:pt>
                <c:pt idx="121">
                  <c:v>38390</c:v>
                </c:pt>
                <c:pt idx="122">
                  <c:v>38720</c:v>
                </c:pt>
                <c:pt idx="123">
                  <c:v>39050</c:v>
                </c:pt>
                <c:pt idx="124">
                  <c:v>39380</c:v>
                </c:pt>
                <c:pt idx="125">
                  <c:v>39710</c:v>
                </c:pt>
                <c:pt idx="126">
                  <c:v>39710</c:v>
                </c:pt>
                <c:pt idx="127">
                  <c:v>39710</c:v>
                </c:pt>
                <c:pt idx="128">
                  <c:v>39710</c:v>
                </c:pt>
                <c:pt idx="129">
                  <c:v>39710</c:v>
                </c:pt>
                <c:pt idx="130">
                  <c:v>40540</c:v>
                </c:pt>
                <c:pt idx="131">
                  <c:v>40870</c:v>
                </c:pt>
                <c:pt idx="132">
                  <c:v>41200</c:v>
                </c:pt>
                <c:pt idx="133">
                  <c:v>41530</c:v>
                </c:pt>
                <c:pt idx="134">
                  <c:v>41860</c:v>
                </c:pt>
                <c:pt idx="135">
                  <c:v>42140</c:v>
                </c:pt>
                <c:pt idx="136">
                  <c:v>42470</c:v>
                </c:pt>
                <c:pt idx="137">
                  <c:v>42470</c:v>
                </c:pt>
                <c:pt idx="138">
                  <c:v>42470</c:v>
                </c:pt>
                <c:pt idx="139">
                  <c:v>42470</c:v>
                </c:pt>
                <c:pt idx="140">
                  <c:v>42470</c:v>
                </c:pt>
                <c:pt idx="141">
                  <c:v>42750</c:v>
                </c:pt>
                <c:pt idx="142">
                  <c:v>42750</c:v>
                </c:pt>
                <c:pt idx="143">
                  <c:v>42750</c:v>
                </c:pt>
                <c:pt idx="144">
                  <c:v>42750</c:v>
                </c:pt>
                <c:pt idx="145">
                  <c:v>42750</c:v>
                </c:pt>
                <c:pt idx="146">
                  <c:v>43080</c:v>
                </c:pt>
                <c:pt idx="147">
                  <c:v>43080</c:v>
                </c:pt>
                <c:pt idx="148">
                  <c:v>43080</c:v>
                </c:pt>
                <c:pt idx="149">
                  <c:v>43410</c:v>
                </c:pt>
                <c:pt idx="150">
                  <c:v>43410</c:v>
                </c:pt>
                <c:pt idx="151">
                  <c:v>43410</c:v>
                </c:pt>
                <c:pt idx="152">
                  <c:v>43410</c:v>
                </c:pt>
                <c:pt idx="153">
                  <c:v>43410</c:v>
                </c:pt>
                <c:pt idx="154">
                  <c:v>43410</c:v>
                </c:pt>
                <c:pt idx="155">
                  <c:v>43410</c:v>
                </c:pt>
                <c:pt idx="156">
                  <c:v>43410</c:v>
                </c:pt>
                <c:pt idx="157">
                  <c:v>43410</c:v>
                </c:pt>
                <c:pt idx="158">
                  <c:v>43410</c:v>
                </c:pt>
                <c:pt idx="159">
                  <c:v>43410</c:v>
                </c:pt>
                <c:pt idx="160">
                  <c:v>43410</c:v>
                </c:pt>
                <c:pt idx="161">
                  <c:v>43410</c:v>
                </c:pt>
                <c:pt idx="162">
                  <c:v>43410</c:v>
                </c:pt>
                <c:pt idx="163">
                  <c:v>43740</c:v>
                </c:pt>
                <c:pt idx="164">
                  <c:v>44070</c:v>
                </c:pt>
                <c:pt idx="165">
                  <c:v>44400</c:v>
                </c:pt>
                <c:pt idx="166">
                  <c:v>44730</c:v>
                </c:pt>
                <c:pt idx="167">
                  <c:v>44730</c:v>
                </c:pt>
                <c:pt idx="168">
                  <c:v>44730</c:v>
                </c:pt>
                <c:pt idx="169">
                  <c:v>44730</c:v>
                </c:pt>
                <c:pt idx="170">
                  <c:v>44730</c:v>
                </c:pt>
                <c:pt idx="171">
                  <c:v>44730</c:v>
                </c:pt>
                <c:pt idx="172">
                  <c:v>44730</c:v>
                </c:pt>
                <c:pt idx="173">
                  <c:v>44730</c:v>
                </c:pt>
                <c:pt idx="174">
                  <c:v>44730</c:v>
                </c:pt>
                <c:pt idx="175">
                  <c:v>44730</c:v>
                </c:pt>
                <c:pt idx="176">
                  <c:v>44730</c:v>
                </c:pt>
                <c:pt idx="177">
                  <c:v>44730</c:v>
                </c:pt>
                <c:pt idx="178">
                  <c:v>44730</c:v>
                </c:pt>
                <c:pt idx="179">
                  <c:v>44730</c:v>
                </c:pt>
                <c:pt idx="180">
                  <c:v>45060</c:v>
                </c:pt>
                <c:pt idx="181">
                  <c:v>45390</c:v>
                </c:pt>
                <c:pt idx="182">
                  <c:v>45720</c:v>
                </c:pt>
                <c:pt idx="183">
                  <c:v>45720</c:v>
                </c:pt>
                <c:pt idx="184">
                  <c:v>45720</c:v>
                </c:pt>
                <c:pt idx="185">
                  <c:v>45720</c:v>
                </c:pt>
                <c:pt idx="186">
                  <c:v>45720</c:v>
                </c:pt>
                <c:pt idx="187">
                  <c:v>45720</c:v>
                </c:pt>
                <c:pt idx="188">
                  <c:v>45720</c:v>
                </c:pt>
                <c:pt idx="189">
                  <c:v>45720</c:v>
                </c:pt>
                <c:pt idx="190">
                  <c:v>45720</c:v>
                </c:pt>
                <c:pt idx="191">
                  <c:v>45720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E-4839-B91F-9DAC1B85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78624"/>
        <c:axId val="500984384"/>
      </c:lineChart>
      <c:catAx>
        <c:axId val="5009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984384"/>
        <c:crosses val="autoZero"/>
        <c:auto val="1"/>
        <c:lblAlgn val="ctr"/>
        <c:lblOffset val="100"/>
        <c:noMultiLvlLbl val="0"/>
      </c:catAx>
      <c:valAx>
        <c:axId val="50098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9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Profitti mensii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Rendimenti!$J$25</c:f>
              <c:strCache>
                <c:ptCount val="1"/>
                <c:pt idx="0">
                  <c:v>Maggio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2,2%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Rendimenti!$K$25</c:f>
              <c:numCache>
                <c:formatCode>General</c:formatCode>
                <c:ptCount val="1"/>
                <c:pt idx="0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4-473D-B164-84674754FAD8}"/>
            </c:ext>
          </c:extLst>
        </c:ser>
        <c:ser>
          <c:idx val="1"/>
          <c:order val="1"/>
          <c:tx>
            <c:strRef>
              <c:f>Rendimenti!$J$26</c:f>
              <c:strCache>
                <c:ptCount val="1"/>
                <c:pt idx="0">
                  <c:v>Giugno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14,42%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Rendimenti!$K$26</c:f>
              <c:numCache>
                <c:formatCode>General</c:formatCode>
                <c:ptCount val="1"/>
                <c:pt idx="0">
                  <c:v>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4-473D-B164-84674754FAD8}"/>
            </c:ext>
          </c:extLst>
        </c:ser>
        <c:ser>
          <c:idx val="2"/>
          <c:order val="2"/>
          <c:tx>
            <c:strRef>
              <c:f>Rendimenti!$J$27</c:f>
              <c:strCache>
                <c:ptCount val="1"/>
                <c:pt idx="0">
                  <c:v>Luglio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7,55%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Rendimenti!$K$27</c:f>
              <c:numCache>
                <c:formatCode>General</c:formatCode>
                <c:ptCount val="1"/>
                <c:pt idx="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4-473D-B164-84674754FAD8}"/>
            </c:ext>
          </c:extLst>
        </c:ser>
        <c:ser>
          <c:idx val="3"/>
          <c:order val="3"/>
          <c:tx>
            <c:strRef>
              <c:f>Rendimenti!$J$28</c:f>
              <c:strCache>
                <c:ptCount val="1"/>
                <c:pt idx="0">
                  <c:v>Agosto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12,11%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Rendimenti!$K$28</c:f>
              <c:numCache>
                <c:formatCode>General</c:formatCode>
                <c:ptCount val="1"/>
                <c:pt idx="0">
                  <c:v>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4-473D-B164-84674754FAD8}"/>
            </c:ext>
          </c:extLst>
        </c:ser>
        <c:ser>
          <c:idx val="4"/>
          <c:order val="4"/>
          <c:tx>
            <c:strRef>
              <c:f>Rendimenti!$J$29</c:f>
              <c:strCache>
                <c:ptCount val="1"/>
                <c:pt idx="0">
                  <c:v>Settembre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6,24%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Rendimenti!$K$29</c:f>
              <c:numCache>
                <c:formatCode>General</c:formatCode>
                <c:ptCount val="1"/>
                <c:pt idx="0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4-473D-B164-84674754F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1257552"/>
        <c:axId val="271248912"/>
      </c:barChart>
      <c:catAx>
        <c:axId val="2712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248912"/>
        <c:crosses val="autoZero"/>
        <c:auto val="1"/>
        <c:lblAlgn val="ctr"/>
        <c:lblOffset val="100"/>
        <c:noMultiLvlLbl val="0"/>
      </c:catAx>
      <c:valAx>
        <c:axId val="27124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2575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Profit different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Statistiche!$A$45:$A$49</c:f>
              <c:strCache>
                <c:ptCount val="5"/>
                <c:pt idx="0">
                  <c:v>TP&gt;=400</c:v>
                </c:pt>
                <c:pt idx="1">
                  <c:v>TP&gt;=450</c:v>
                </c:pt>
                <c:pt idx="2">
                  <c:v>TP&gt;=500</c:v>
                </c:pt>
                <c:pt idx="3">
                  <c:v>TP&gt;=550</c:v>
                </c:pt>
                <c:pt idx="4">
                  <c:v>TP&gt;=600</c:v>
                </c:pt>
              </c:strCache>
            </c:strRef>
          </c:cat>
          <c:val>
            <c:numRef>
              <c:f>Statistiche!$C$45:$C$49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F-4C60-B24D-F94E9761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66079"/>
        <c:axId val="1201760319"/>
      </c:barChart>
      <c:catAx>
        <c:axId val="12017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760319"/>
        <c:crosses val="autoZero"/>
        <c:auto val="1"/>
        <c:lblAlgn val="ctr"/>
        <c:lblOffset val="100"/>
        <c:noMultiLvlLbl val="0"/>
      </c:catAx>
      <c:valAx>
        <c:axId val="120176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7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Statistiche!$L$61</c:f>
              <c:strCache>
                <c:ptCount val="1"/>
                <c:pt idx="0">
                  <c:v>Totale Guadagno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Statistiche!$K$62:$K$67</c:f>
              <c:strCache>
                <c:ptCount val="6"/>
                <c:pt idx="0">
                  <c:v>14:00-15:00</c:v>
                </c:pt>
                <c:pt idx="1">
                  <c:v>15:00-15:30</c:v>
                </c:pt>
                <c:pt idx="2">
                  <c:v>15:30-16:00</c:v>
                </c:pt>
                <c:pt idx="3">
                  <c:v>16:00-16:30</c:v>
                </c:pt>
                <c:pt idx="4">
                  <c:v>16:30-17:00</c:v>
                </c:pt>
                <c:pt idx="5">
                  <c:v>17:00-17:40</c:v>
                </c:pt>
              </c:strCache>
            </c:strRef>
          </c:cat>
          <c:val>
            <c:numRef>
              <c:f>Statistiche!$L$62:$L$67</c:f>
              <c:numCache>
                <c:formatCode>General</c:formatCode>
                <c:ptCount val="6"/>
                <c:pt idx="0">
                  <c:v>330</c:v>
                </c:pt>
                <c:pt idx="1">
                  <c:v>330</c:v>
                </c:pt>
                <c:pt idx="2">
                  <c:v>-330</c:v>
                </c:pt>
                <c:pt idx="3">
                  <c:v>0</c:v>
                </c:pt>
                <c:pt idx="4">
                  <c:v>330</c:v>
                </c:pt>
                <c:pt idx="5">
                  <c:v>-330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52F-AE3A-4D8ED17D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16223"/>
        <c:axId val="647712383"/>
      </c:barChart>
      <c:catAx>
        <c:axId val="6477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712383"/>
        <c:crosses val="autoZero"/>
        <c:auto val="1"/>
        <c:lblAlgn val="ctr"/>
        <c:lblOffset val="100"/>
        <c:noMultiLvlLbl val="0"/>
      </c:catAx>
      <c:valAx>
        <c:axId val="64771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71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bg1"/>
                </a:solidFill>
              </a:rPr>
              <a:t>Buy and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429540011246495E-2"/>
          <c:y val="0.2324357907247826"/>
          <c:w val="0.83186591021844214"/>
          <c:h val="0.69197540868772167"/>
        </c:manualLayout>
      </c:layout>
      <c:pie3D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EC-49E4-A8FD-544496FBF962}"/>
              </c:ext>
            </c:extLst>
          </c:dPt>
          <c:dPt>
            <c:idx val="1"/>
            <c:bubble3D val="0"/>
            <c:spPr>
              <a:solidFill>
                <a:srgbClr val="EE3A3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BEC-49E4-A8FD-544496FBF96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Statistiche!$A$20:$A$21</c:f>
              <c:numCache>
                <c:formatCode>General</c:formatCode>
                <c:ptCount val="2"/>
              </c:numCache>
            </c:numRef>
          </c:cat>
          <c:val>
            <c:numRef>
              <c:f>Statistiche!$C$20:$C$21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32B-ADD6-BB62527B54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operazioni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1C-4694-8A4C-DD44C27E5F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1C-4694-8A4C-DD44C27E5F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Statistiche!$C$119:$C$120</c:f>
              <c:strCache>
                <c:ptCount val="2"/>
                <c:pt idx="0">
                  <c:v>favore</c:v>
                </c:pt>
                <c:pt idx="1">
                  <c:v>contrarian</c:v>
                </c:pt>
              </c:strCache>
            </c:strRef>
          </c:cat>
          <c:val>
            <c:numRef>
              <c:f>Statistiche!$D$119:$D$120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511-ABE7-6207777792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N.operazioni totali in profitto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29-4CA7-967E-EF8431F7197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29-4CA7-967E-EF8431F719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Statistiche!$C$119:$C$120</c:f>
              <c:strCache>
                <c:ptCount val="2"/>
                <c:pt idx="0">
                  <c:v>favore</c:v>
                </c:pt>
                <c:pt idx="1">
                  <c:v>contrarian</c:v>
                </c:pt>
              </c:strCache>
            </c:strRef>
          </c:cat>
          <c:val>
            <c:numRef>
              <c:f>Statistiche!$F$119:$F$120</c:f>
              <c:numCache>
                <c:formatCode>0%</c:formatCode>
                <c:ptCount val="2"/>
                <c:pt idx="0">
                  <c:v>0.59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A-4DB7-8C77-D3D13ABE1C5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VWAP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Statistiche!$C$133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Statistiche!$D$132:$G$132</c:f>
              <c:strCache>
                <c:ptCount val="4"/>
                <c:pt idx="0">
                  <c:v>N.operazione Buy totali</c:v>
                </c:pt>
                <c:pt idx="1">
                  <c:v>N.operazione Sell totali</c:v>
                </c:pt>
                <c:pt idx="2">
                  <c:v>N.operazione Buy in profit</c:v>
                </c:pt>
                <c:pt idx="3">
                  <c:v>N.operazione Sell profit</c:v>
                </c:pt>
              </c:strCache>
            </c:strRef>
          </c:cat>
          <c:val>
            <c:numRef>
              <c:f>Statistiche!$D$133:$G$133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3-49E4-9B28-E36925128A85}"/>
            </c:ext>
          </c:extLst>
        </c:ser>
        <c:ser>
          <c:idx val="1"/>
          <c:order val="1"/>
          <c:tx>
            <c:strRef>
              <c:f>Statistiche!$C$134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rgbClr val="EE3A3A"/>
            </a:solidFill>
            <a:ln>
              <a:noFill/>
            </a:ln>
            <a:effectLst/>
          </c:spPr>
          <c:invertIfNegative val="0"/>
          <c:cat>
            <c:strRef>
              <c:f>Statistiche!$D$132:$G$132</c:f>
              <c:strCache>
                <c:ptCount val="4"/>
                <c:pt idx="0">
                  <c:v>N.operazione Buy totali</c:v>
                </c:pt>
                <c:pt idx="1">
                  <c:v>N.operazione Sell totali</c:v>
                </c:pt>
                <c:pt idx="2">
                  <c:v>N.operazione Buy in profit</c:v>
                </c:pt>
                <c:pt idx="3">
                  <c:v>N.operazione Sell profit</c:v>
                </c:pt>
              </c:strCache>
            </c:strRef>
          </c:cat>
          <c:val>
            <c:numRef>
              <c:f>Statistiche!$D$134:$G$134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3-49E4-9B28-E3692512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7852880"/>
        <c:axId val="1857838480"/>
      </c:barChart>
      <c:catAx>
        <c:axId val="185785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38480"/>
        <c:crosses val="autoZero"/>
        <c:auto val="1"/>
        <c:lblAlgn val="ctr"/>
        <c:lblOffset val="100"/>
        <c:noMultiLvlLbl val="0"/>
      </c:catAx>
      <c:valAx>
        <c:axId val="18578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5288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Trigger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Statistiche!$E$105:$E$108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0-43FA-A475-5EA5E1E195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Statistiche!$F$105:$F$108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0-43FA-A475-5EA5E1E1953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Statistiche!$G$105:$G$108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0-43FA-A475-5EA5E1E1953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Statistiche!$H$105:$H$108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0-43FA-A475-5EA5E1E1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2982352"/>
        <c:axId val="1782969872"/>
      </c:barChart>
      <c:catAx>
        <c:axId val="178298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969872"/>
        <c:crosses val="autoZero"/>
        <c:auto val="1"/>
        <c:lblAlgn val="ctr"/>
        <c:lblOffset val="100"/>
        <c:noMultiLvlLbl val="0"/>
      </c:catAx>
      <c:valAx>
        <c:axId val="17829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9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Trigger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Statistiche!$D$105:$D$108</c:f>
              <c:numCache>
                <c:formatCode>General</c:formatCode>
                <c:ptCount val="4"/>
                <c:pt idx="0">
                  <c:v>0</c:v>
                </c:pt>
                <c:pt idx="1">
                  <c:v>330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4-4E82-A608-751C8B6A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7858160"/>
        <c:axId val="1857849040"/>
      </c:barChart>
      <c:catAx>
        <c:axId val="185785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49040"/>
        <c:crosses val="autoZero"/>
        <c:auto val="1"/>
        <c:lblAlgn val="ctr"/>
        <c:lblOffset val="100"/>
        <c:noMultiLvlLbl val="0"/>
      </c:catAx>
      <c:valAx>
        <c:axId val="18578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376744</xdr:colOff>
      <xdr:row>25</xdr:row>
      <xdr:rowOff>164054</xdr:rowOff>
    </xdr:from>
    <xdr:to>
      <xdr:col>6</xdr:col>
      <xdr:colOff>446315</xdr:colOff>
      <xdr:row>37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1F754A1-C396-5C2C-DAB3-1C196AA7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1925139</xdr:colOff>
      <xdr:row>41</xdr:row>
      <xdr:rowOff>19594</xdr:rowOff>
    </xdr:from>
    <xdr:to>
      <xdr:col>8</xdr:col>
      <xdr:colOff>108857</xdr:colOff>
      <xdr:row>54</xdr:row>
      <xdr:rowOff>170906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AABFC5C-04CD-0D4F-B976-126573E9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150479</xdr:colOff>
      <xdr:row>57</xdr:row>
      <xdr:rowOff>91617</xdr:rowOff>
    </xdr:from>
    <xdr:to>
      <xdr:col>17</xdr:col>
      <xdr:colOff>277906</xdr:colOff>
      <xdr:row>70</xdr:row>
      <xdr:rowOff>132649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583EF7-5310-7291-82BB-155E2DD5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483457</xdr:colOff>
      <xdr:row>11</xdr:row>
      <xdr:rowOff>134471</xdr:rowOff>
    </xdr:from>
    <xdr:to>
      <xdr:col>6</xdr:col>
      <xdr:colOff>533402</xdr:colOff>
      <xdr:row>24</xdr:row>
      <xdr:rowOff>54429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F783D11-CB12-A23C-9824-D0ABE1CB3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829235</xdr:colOff>
      <xdr:row>114</xdr:row>
      <xdr:rowOff>9736</xdr:rowOff>
    </xdr:from>
    <xdr:to>
      <xdr:col>8</xdr:col>
      <xdr:colOff>2141667</xdr:colOff>
      <xdr:row>127</xdr:row>
      <xdr:rowOff>15241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A8542CE4-EF44-02EC-E9A6-8910856A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3111660</xdr:colOff>
      <xdr:row>113</xdr:row>
      <xdr:rowOff>143705</xdr:rowOff>
    </xdr:from>
    <xdr:to>
      <xdr:col>13</xdr:col>
      <xdr:colOff>316675</xdr:colOff>
      <xdr:row>126</xdr:row>
      <xdr:rowOff>158990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8C23EA86-C9EB-B1E0-4D5D-3C0EB42E3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1927413</xdr:colOff>
      <xdr:row>135</xdr:row>
      <xdr:rowOff>170328</xdr:rowOff>
    </xdr:from>
    <xdr:to>
      <xdr:col>6</xdr:col>
      <xdr:colOff>1164771</xdr:colOff>
      <xdr:row>157</xdr:row>
      <xdr:rowOff>87086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2F73C47E-BDB8-5F45-F073-1C6062EED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1000205</xdr:colOff>
      <xdr:row>99</xdr:row>
      <xdr:rowOff>164567</xdr:rowOff>
    </xdr:from>
    <xdr:to>
      <xdr:col>15</xdr:col>
      <xdr:colOff>2266151</xdr:colOff>
      <xdr:row>113</xdr:row>
      <xdr:rowOff>39701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40B8C63A-B3DF-26A3-D7F8-8F56F1EA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978433</xdr:colOff>
      <xdr:row>99</xdr:row>
      <xdr:rowOff>74280</xdr:rowOff>
    </xdr:from>
    <xdr:to>
      <xdr:col>12</xdr:col>
      <xdr:colOff>348343</xdr:colOff>
      <xdr:row>112</xdr:row>
      <xdr:rowOff>141515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E5609461-301D-0CF4-B072-24113ED7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716281</xdr:colOff>
      <xdr:row>164</xdr:row>
      <xdr:rowOff>144780</xdr:rowOff>
    </xdr:from>
    <xdr:to>
      <xdr:col>3</xdr:col>
      <xdr:colOff>2468881</xdr:colOff>
      <xdr:row>181</xdr:row>
      <xdr:rowOff>923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52F7636-1B05-4335-AD4A-6DB144C9D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1" y="28887420"/>
          <a:ext cx="6507480" cy="282595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1143000</xdr:colOff>
      <xdr:row>182</xdr:row>
      <xdr:rowOff>60960</xdr:rowOff>
    </xdr:from>
    <xdr:to>
      <xdr:col>3</xdr:col>
      <xdr:colOff>2171700</xdr:colOff>
      <xdr:row>189</xdr:row>
      <xdr:rowOff>129036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D19163A4-8D70-D67D-F09F-7D07C7ED5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1958280"/>
          <a:ext cx="5783580" cy="1294896"/>
        </a:xfrm>
        <a:prstGeom prst="rect">
          <a:avLst/>
        </a:prstGeom>
      </xdr:spPr>
    </xdr:pic>
    <xdr:clientData/>
  </xdr:twoCellAnchor>
  <xdr:twoCellAnchor>
    <xdr:from>
      <xdr:col>14</xdr:col>
      <xdr:colOff>884943</xdr:colOff>
      <xdr:row>76</xdr:row>
      <xdr:rowOff>42902</xdr:rowOff>
    </xdr:from>
    <xdr:to>
      <xdr:col>16</xdr:col>
      <xdr:colOff>305324</xdr:colOff>
      <xdr:row>91</xdr:row>
      <xdr:rowOff>105446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873964-BFF1-9766-B56E-C8B535A2B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481692</xdr:colOff>
      <xdr:row>67</xdr:row>
      <xdr:rowOff>43543</xdr:rowOff>
    </xdr:from>
    <xdr:to>
      <xdr:col>6</xdr:col>
      <xdr:colOff>1197428</xdr:colOff>
      <xdr:row>83</xdr:row>
      <xdr:rowOff>71847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35F9D59-F519-7DBB-964A-E31CB6E9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40</xdr:row>
      <xdr:rowOff>152400</xdr:rowOff>
    </xdr:from>
    <xdr:to>
      <xdr:col>46</xdr:col>
      <xdr:colOff>476250</xdr:colOff>
      <xdr:row>124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ED48FA-FAF2-4754-9A5C-BE473BA2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232410</xdr:colOff>
      <xdr:row>12</xdr:row>
      <xdr:rowOff>114300</xdr:rowOff>
    </xdr:from>
    <xdr:to>
      <xdr:col>35</xdr:col>
      <xdr:colOff>0</xdr:colOff>
      <xdr:row>38</xdr:row>
      <xdr:rowOff>68580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D89D93-6987-001E-5498-73AEE9F2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8420-4581-46D8-80FF-6997C425A397}">
  <dimension ref="A1:R213"/>
  <sheetViews>
    <sheetView tabSelected="1" zoomScale="55" zoomScaleNormal="55" workbookViewId="0">
      <selection activeCell="D22" sqref="D22"/>
    </sheetView>
  </sheetViews>
  <sheetFormatPr defaultRowHeight="13.8"/>
  <cols>
    <col min="1" max="1" width="8.796875" customWidth="1"/>
    <col min="2" max="2" width="15" customWidth="1"/>
    <col min="3" max="3" width="8.796875" customWidth="1"/>
    <col min="4" max="4" width="25.3984375" customWidth="1"/>
    <col min="5" max="5" width="11.69921875" customWidth="1"/>
    <col min="6" max="8" width="17.09765625" customWidth="1"/>
    <col min="9" max="9" width="13.5" customWidth="1"/>
    <col min="10" max="10" width="22.296875" customWidth="1"/>
    <col min="11" max="11" width="8.796875" customWidth="1"/>
    <col min="12" max="12" width="10.8984375" customWidth="1"/>
    <col min="13" max="13" width="8.796875" customWidth="1"/>
    <col min="14" max="14" width="12.296875" customWidth="1"/>
    <col min="15" max="15" width="17.69921875" customWidth="1"/>
    <col min="16" max="17" width="22.8984375" customWidth="1"/>
    <col min="18" max="18" width="93" customWidth="1"/>
  </cols>
  <sheetData>
    <row r="1" spans="1:18">
      <c r="A1" s="35" t="s">
        <v>0</v>
      </c>
      <c r="B1" s="35" t="s">
        <v>1</v>
      </c>
      <c r="C1" s="35" t="s">
        <v>9</v>
      </c>
      <c r="D1" s="35" t="s">
        <v>13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34</v>
      </c>
      <c r="M1" s="35" t="s">
        <v>10</v>
      </c>
      <c r="N1" s="35" t="s">
        <v>11</v>
      </c>
      <c r="O1" s="35" t="s">
        <v>12</v>
      </c>
      <c r="P1" s="35" t="s">
        <v>39</v>
      </c>
      <c r="Q1" s="35" t="s">
        <v>14</v>
      </c>
      <c r="R1" s="35"/>
    </row>
    <row r="2" spans="1:18" s="4" customFormat="1">
      <c r="A2" s="7" t="s">
        <v>27</v>
      </c>
      <c r="B2" s="11">
        <v>45414</v>
      </c>
      <c r="C2" s="10">
        <v>0.69097222222222221</v>
      </c>
      <c r="D2" s="7" t="s">
        <v>29</v>
      </c>
      <c r="E2" s="7" t="s">
        <v>16</v>
      </c>
      <c r="F2" s="7" t="s">
        <v>21</v>
      </c>
      <c r="G2" s="7" t="s">
        <v>5</v>
      </c>
      <c r="H2" s="7" t="s">
        <v>22</v>
      </c>
      <c r="I2" s="7">
        <v>330</v>
      </c>
      <c r="J2" s="7" t="e">
        <f>I2+#REF!</f>
        <v>#REF!</v>
      </c>
      <c r="K2" s="7" t="s">
        <v>28</v>
      </c>
      <c r="L2" s="7">
        <v>830</v>
      </c>
      <c r="M2" s="7"/>
      <c r="N2" s="8">
        <v>0.6</v>
      </c>
      <c r="O2" s="12">
        <v>0.41666666666666669</v>
      </c>
      <c r="P2" s="7"/>
      <c r="Q2" s="7"/>
      <c r="R2" s="7"/>
    </row>
    <row r="3" spans="1:18" s="4" customFormat="1">
      <c r="A3" s="7" t="s">
        <v>33</v>
      </c>
      <c r="B3" s="11">
        <v>45415</v>
      </c>
      <c r="C3" s="10">
        <v>0.62152777777777779</v>
      </c>
      <c r="D3" s="7" t="s">
        <v>29</v>
      </c>
      <c r="E3" s="7" t="s">
        <v>31</v>
      </c>
      <c r="F3" s="7" t="s">
        <v>21</v>
      </c>
      <c r="G3" s="7" t="s">
        <v>5</v>
      </c>
      <c r="H3" s="7" t="s">
        <v>35</v>
      </c>
      <c r="I3" s="7">
        <v>330</v>
      </c>
      <c r="J3" s="7" t="e">
        <f>I2+#REF!+I3</f>
        <v>#REF!</v>
      </c>
      <c r="K3" s="7" t="s">
        <v>28</v>
      </c>
      <c r="L3" s="7">
        <v>570</v>
      </c>
      <c r="M3" s="7"/>
      <c r="N3" s="8">
        <v>0.6</v>
      </c>
      <c r="O3" s="12">
        <v>0.41666666666666669</v>
      </c>
      <c r="P3" s="7"/>
      <c r="Q3" s="7"/>
      <c r="R3" s="7"/>
    </row>
    <row r="4" spans="1:18" s="4" customFormat="1">
      <c r="A4" s="7" t="s">
        <v>33</v>
      </c>
      <c r="B4" s="11">
        <v>45415</v>
      </c>
      <c r="C4" s="10">
        <v>0.72569444444444442</v>
      </c>
      <c r="D4" s="7" t="s">
        <v>30</v>
      </c>
      <c r="E4" s="7" t="s">
        <v>16</v>
      </c>
      <c r="F4" s="7" t="s">
        <v>21</v>
      </c>
      <c r="G4" s="7" t="s">
        <v>5</v>
      </c>
      <c r="H4" s="7" t="s">
        <v>35</v>
      </c>
      <c r="I4" s="7">
        <v>-330</v>
      </c>
      <c r="J4" s="7" t="e">
        <f>#REF!+I2+I3+I4</f>
        <v>#REF!</v>
      </c>
      <c r="K4" s="7" t="s">
        <v>20</v>
      </c>
      <c r="L4" s="7"/>
      <c r="M4" s="7"/>
      <c r="N4" s="8">
        <v>0.6</v>
      </c>
      <c r="O4" s="12">
        <v>0.41666666666666669</v>
      </c>
      <c r="P4" s="7"/>
      <c r="Q4" s="7">
        <f>SUM(I2:I192)</f>
        <v>330</v>
      </c>
      <c r="R4" s="7"/>
    </row>
    <row r="5" spans="1:18" s="4" customFormat="1">
      <c r="A5" s="7" t="s">
        <v>33</v>
      </c>
      <c r="B5" s="11">
        <v>45415</v>
      </c>
      <c r="C5" s="10">
        <v>0.73958333333333337</v>
      </c>
      <c r="D5" s="7" t="s">
        <v>30</v>
      </c>
      <c r="E5" s="7" t="s">
        <v>16</v>
      </c>
      <c r="F5" s="7" t="s">
        <v>21</v>
      </c>
      <c r="G5" s="7" t="s">
        <v>5</v>
      </c>
      <c r="H5" s="7" t="s">
        <v>35</v>
      </c>
      <c r="I5" s="7">
        <v>0</v>
      </c>
      <c r="J5" s="7" t="e">
        <f>#REF!+I2+I3+I4+I5</f>
        <v>#REF!</v>
      </c>
      <c r="K5" s="7" t="s">
        <v>25</v>
      </c>
      <c r="L5" s="7"/>
      <c r="M5" s="7"/>
      <c r="N5" s="8">
        <v>0.6</v>
      </c>
      <c r="O5" s="12">
        <v>0.41666666666666669</v>
      </c>
      <c r="P5" s="7"/>
      <c r="Q5" s="7"/>
      <c r="R5" s="7"/>
    </row>
    <row r="6" spans="1:18" s="4" customFormat="1">
      <c r="A6" s="7" t="s">
        <v>23</v>
      </c>
      <c r="B6" s="11">
        <v>45419</v>
      </c>
      <c r="C6" s="10">
        <v>0.66666666666666663</v>
      </c>
      <c r="D6" s="7" t="s">
        <v>29</v>
      </c>
      <c r="E6" s="7" t="s">
        <v>16</v>
      </c>
      <c r="F6" s="7" t="s">
        <v>21</v>
      </c>
      <c r="G6" s="7" t="s">
        <v>5</v>
      </c>
      <c r="H6" s="7" t="s">
        <v>22</v>
      </c>
      <c r="I6" s="7">
        <v>0</v>
      </c>
      <c r="J6" s="7" t="e">
        <f>#REF!+I2+I3+I4+I5+I6</f>
        <v>#REF!</v>
      </c>
      <c r="K6" s="7" t="s">
        <v>25</v>
      </c>
      <c r="L6" s="7"/>
      <c r="M6" s="7"/>
      <c r="N6" s="8">
        <v>0.6</v>
      </c>
      <c r="O6" s="12">
        <v>0.41666666666666669</v>
      </c>
      <c r="P6" s="7"/>
      <c r="Q6" s="7"/>
      <c r="R6" s="7"/>
    </row>
    <row r="7" spans="1:18" s="4" customFormat="1">
      <c r="A7" s="7" t="s">
        <v>23</v>
      </c>
      <c r="B7" s="11">
        <v>45419</v>
      </c>
      <c r="C7" s="10">
        <v>0.64236111111111116</v>
      </c>
      <c r="D7" s="7" t="s">
        <v>30</v>
      </c>
      <c r="E7" s="7" t="s">
        <v>16</v>
      </c>
      <c r="F7" s="7" t="s">
        <v>21</v>
      </c>
      <c r="G7" s="7" t="s">
        <v>5</v>
      </c>
      <c r="H7" s="7" t="s">
        <v>35</v>
      </c>
      <c r="I7" s="7">
        <v>330</v>
      </c>
      <c r="J7" s="7" t="e">
        <f>#REF!+I2+I3+I4+I5+I6+I7</f>
        <v>#REF!</v>
      </c>
      <c r="K7" s="7" t="s">
        <v>28</v>
      </c>
      <c r="L7" s="7">
        <v>330</v>
      </c>
      <c r="M7" s="7"/>
      <c r="N7" s="8">
        <v>0.6</v>
      </c>
      <c r="O7" s="12">
        <v>0.41666666666666669</v>
      </c>
      <c r="P7" s="7"/>
      <c r="Q7" s="7"/>
      <c r="R7" s="7"/>
    </row>
    <row r="8" spans="1:18" s="4" customFormat="1">
      <c r="A8" s="7" t="s">
        <v>23</v>
      </c>
      <c r="B8" s="11">
        <v>45419</v>
      </c>
      <c r="C8" s="10">
        <v>0.65277777777777779</v>
      </c>
      <c r="D8" s="7" t="s">
        <v>29</v>
      </c>
      <c r="E8" s="7" t="s">
        <v>16</v>
      </c>
      <c r="F8" s="7" t="s">
        <v>21</v>
      </c>
      <c r="G8" s="7" t="s">
        <v>5</v>
      </c>
      <c r="H8" s="7" t="s">
        <v>35</v>
      </c>
      <c r="I8" s="7">
        <v>-330</v>
      </c>
      <c r="J8" s="7" t="e">
        <f>#REF!+I2+I3+I4+I5+I6+I7+I8</f>
        <v>#REF!</v>
      </c>
      <c r="K8" s="7" t="s">
        <v>20</v>
      </c>
      <c r="L8" s="7"/>
      <c r="M8" s="7"/>
      <c r="N8" s="8"/>
      <c r="O8" s="12">
        <v>0.41666666666666669</v>
      </c>
      <c r="P8" s="7"/>
      <c r="Q8" s="7"/>
      <c r="R8" s="7"/>
    </row>
    <row r="9" spans="1:18" s="4" customFormat="1">
      <c r="A9" s="7"/>
      <c r="B9" s="11"/>
      <c r="C9" s="10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12"/>
      <c r="P9" s="7"/>
      <c r="Q9" s="7"/>
      <c r="R9" s="7"/>
    </row>
    <row r="10" spans="1:18" s="4" customFormat="1">
      <c r="A10" s="7"/>
      <c r="B10" s="11"/>
      <c r="C10" s="10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12"/>
      <c r="P10" s="7"/>
      <c r="Q10" s="7"/>
      <c r="R10" s="7"/>
    </row>
    <row r="11" spans="1:18" s="4" customFormat="1">
      <c r="A11" s="7"/>
      <c r="B11" s="11"/>
      <c r="C11" s="10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12"/>
      <c r="P11" s="7"/>
      <c r="Q11" s="7"/>
      <c r="R11" s="7"/>
    </row>
    <row r="12" spans="1:18" s="4" customFormat="1">
      <c r="A12" s="7"/>
      <c r="B12" s="11"/>
      <c r="C12" s="10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12"/>
      <c r="P12" s="7"/>
      <c r="Q12" s="7"/>
      <c r="R12" s="7"/>
    </row>
    <row r="13" spans="1:18" s="4" customFormat="1">
      <c r="A13" s="7"/>
      <c r="B13" s="11"/>
      <c r="C13" s="10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12"/>
      <c r="P13" s="7"/>
      <c r="Q13" s="7"/>
      <c r="R13" s="7"/>
    </row>
    <row r="14" spans="1:18" s="4" customFormat="1">
      <c r="A14" s="7"/>
      <c r="B14" s="11"/>
      <c r="C14" s="10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12"/>
      <c r="P14" s="7"/>
      <c r="Q14" s="7"/>
      <c r="R14" s="7"/>
    </row>
    <row r="15" spans="1:18" s="4" customFormat="1">
      <c r="A15" s="7"/>
      <c r="B15" s="11"/>
      <c r="C15" s="10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12"/>
      <c r="P15" s="7"/>
      <c r="Q15" s="7"/>
      <c r="R15" s="7"/>
    </row>
    <row r="16" spans="1:18" s="4" customFormat="1">
      <c r="A16" s="7"/>
      <c r="B16" s="11"/>
      <c r="C16" s="10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12"/>
      <c r="P16" s="7"/>
      <c r="Q16" s="7"/>
      <c r="R16" s="7"/>
    </row>
    <row r="17" spans="1:18" s="4" customFormat="1">
      <c r="A17" s="7"/>
      <c r="B17" s="11"/>
      <c r="C17" s="10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12"/>
      <c r="P17" s="7"/>
      <c r="Q17" s="7"/>
      <c r="R17" s="7"/>
    </row>
    <row r="18" spans="1:18" s="4" customFormat="1">
      <c r="A18" s="7"/>
      <c r="B18" s="11"/>
      <c r="C18" s="10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12"/>
      <c r="P18" s="7"/>
      <c r="Q18" s="7"/>
      <c r="R18" s="7"/>
    </row>
    <row r="19" spans="1:18" s="4" customFormat="1">
      <c r="A19" s="7"/>
      <c r="B19" s="11"/>
      <c r="C19" s="10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12"/>
      <c r="P19" s="7"/>
      <c r="Q19" s="7"/>
      <c r="R19" s="7"/>
    </row>
    <row r="20" spans="1:18" s="4" customFormat="1">
      <c r="A20" s="7"/>
      <c r="B20" s="11"/>
      <c r="C20" s="10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12"/>
      <c r="P20" s="7"/>
      <c r="Q20" s="7"/>
      <c r="R20" s="7"/>
    </row>
    <row r="21" spans="1:18" s="4" customFormat="1">
      <c r="A21" s="7"/>
      <c r="B21" s="11"/>
      <c r="C21" s="10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12"/>
      <c r="P21" s="7"/>
      <c r="Q21" s="7"/>
      <c r="R21" s="7"/>
    </row>
    <row r="22" spans="1:18" s="4" customFormat="1">
      <c r="A22" s="7"/>
      <c r="B22" s="11"/>
      <c r="C22" s="10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12"/>
      <c r="P22" s="7"/>
      <c r="Q22" s="7"/>
      <c r="R22" s="7"/>
    </row>
    <row r="23" spans="1:18" s="4" customFormat="1">
      <c r="A23" s="7"/>
      <c r="B23" s="11"/>
      <c r="C23" s="10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12"/>
      <c r="P23" s="7"/>
      <c r="Q23" s="7"/>
      <c r="R23" s="7"/>
    </row>
    <row r="24" spans="1:18" s="4" customFormat="1">
      <c r="A24" s="7"/>
      <c r="B24" s="11"/>
      <c r="C24" s="10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12"/>
      <c r="P24" s="7"/>
      <c r="Q24" s="7"/>
      <c r="R24" s="7"/>
    </row>
    <row r="25" spans="1:18" s="4" customFormat="1">
      <c r="A25" s="7"/>
      <c r="B25" s="11"/>
      <c r="C25" s="10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12"/>
      <c r="P25" s="7"/>
      <c r="Q25" s="7"/>
      <c r="R25" s="7"/>
    </row>
    <row r="26" spans="1:18" s="4" customFormat="1">
      <c r="A26" s="7"/>
      <c r="B26" s="11"/>
      <c r="C26" s="10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12"/>
      <c r="P26" s="7"/>
      <c r="Q26" s="7"/>
      <c r="R26" s="7"/>
    </row>
    <row r="27" spans="1:18" s="4" customFormat="1">
      <c r="A27" s="7"/>
      <c r="B27" s="11"/>
      <c r="C27" s="10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12"/>
      <c r="P27" s="7"/>
      <c r="Q27" s="7"/>
      <c r="R27" s="7"/>
    </row>
    <row r="28" spans="1:18" s="4" customFormat="1">
      <c r="A28" s="7"/>
      <c r="B28" s="11"/>
      <c r="C28" s="10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12"/>
      <c r="P28" s="7"/>
      <c r="Q28" s="7"/>
      <c r="R28" s="7"/>
    </row>
    <row r="29" spans="1:18" s="4" customFormat="1">
      <c r="A29" s="7"/>
      <c r="B29" s="11"/>
      <c r="C29" s="10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12"/>
      <c r="P29" s="7"/>
      <c r="Q29" s="7"/>
      <c r="R29" s="7"/>
    </row>
    <row r="30" spans="1:18" s="4" customFormat="1">
      <c r="A30" s="7"/>
      <c r="B30" s="11"/>
      <c r="C30" s="10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  <c r="O30" s="12"/>
      <c r="P30" s="7"/>
      <c r="Q30" s="7"/>
      <c r="R30" s="7"/>
    </row>
    <row r="31" spans="1:18" s="4" customFormat="1">
      <c r="A31" s="7"/>
      <c r="B31" s="11"/>
      <c r="C31" s="10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13"/>
      <c r="P31" s="7"/>
      <c r="Q31" s="7"/>
      <c r="R31" s="7"/>
    </row>
    <row r="32" spans="1:18" s="4" customFormat="1">
      <c r="A32" s="7"/>
      <c r="B32" s="11"/>
      <c r="C32" s="10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12"/>
      <c r="P32" s="7"/>
      <c r="Q32" s="7"/>
      <c r="R32" s="7"/>
    </row>
    <row r="33" spans="1:18">
      <c r="A33" s="7"/>
      <c r="B33" s="11"/>
      <c r="C33" s="10"/>
      <c r="D33" s="7"/>
      <c r="E33" s="7"/>
      <c r="F33" s="7"/>
      <c r="G33" s="9"/>
      <c r="H33" s="9"/>
      <c r="I33" s="7"/>
      <c r="J33" s="7"/>
      <c r="K33" s="15"/>
      <c r="L33" s="8"/>
      <c r="M33" s="8"/>
      <c r="N33" s="8"/>
      <c r="O33" s="7"/>
      <c r="P33" s="7"/>
      <c r="Q33" s="7"/>
      <c r="R33" s="7"/>
    </row>
    <row r="34" spans="1:18">
      <c r="A34" s="7"/>
      <c r="B34" s="11"/>
      <c r="C34" s="15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  <c r="O34" s="7"/>
      <c r="P34" s="7"/>
      <c r="Q34" s="7"/>
      <c r="R34" s="7"/>
    </row>
    <row r="35" spans="1:18">
      <c r="A35" s="7"/>
      <c r="B35" s="11"/>
      <c r="C35" s="15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7"/>
      <c r="P35" s="7"/>
      <c r="Q35" s="7"/>
      <c r="R35" s="7"/>
    </row>
    <row r="36" spans="1:18">
      <c r="A36" s="7"/>
      <c r="B36" s="11"/>
      <c r="C36" s="1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11"/>
      <c r="C37" s="15"/>
      <c r="D37" s="7"/>
      <c r="E37" s="7"/>
      <c r="F37" s="7"/>
      <c r="G37" s="7"/>
      <c r="H37" s="7"/>
      <c r="I37" s="7"/>
      <c r="J37" s="7"/>
      <c r="K37" s="7"/>
      <c r="L37" s="9"/>
      <c r="M37" s="7"/>
      <c r="N37" s="7"/>
      <c r="O37" s="15"/>
      <c r="P37" s="7"/>
      <c r="Q37" s="7"/>
      <c r="R37" s="7"/>
    </row>
    <row r="38" spans="1:18">
      <c r="A38" s="7"/>
      <c r="B38" s="11"/>
      <c r="C38" s="1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11"/>
      <c r="C39" s="1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11"/>
      <c r="C40" s="1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11"/>
      <c r="C41" s="15"/>
      <c r="D41" s="7"/>
      <c r="E41" s="7"/>
      <c r="F41" s="7"/>
      <c r="G41" s="7"/>
      <c r="H41" s="7"/>
      <c r="I41" s="7"/>
      <c r="J41" s="7"/>
      <c r="K41" s="9"/>
      <c r="L41" s="7"/>
      <c r="M41" s="7"/>
      <c r="N41" s="7"/>
      <c r="O41" s="7"/>
      <c r="P41" s="7"/>
      <c r="Q41" s="7"/>
      <c r="R41" s="7"/>
    </row>
    <row r="42" spans="1:18">
      <c r="A42" s="7"/>
      <c r="B42" s="11"/>
      <c r="C42" s="1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4"/>
      <c r="P42" s="9"/>
      <c r="Q42" s="9"/>
      <c r="R42" s="7"/>
    </row>
    <row r="43" spans="1:18">
      <c r="A43" s="7"/>
      <c r="B43" s="11"/>
      <c r="C43" s="1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16"/>
      <c r="P43" s="7"/>
      <c r="Q43" s="7"/>
      <c r="R43" s="7"/>
    </row>
    <row r="44" spans="1:18">
      <c r="A44" s="7"/>
      <c r="B44" s="11"/>
      <c r="C44" s="15"/>
      <c r="D44" s="7"/>
      <c r="E44" s="7"/>
      <c r="F44" s="7"/>
      <c r="G44" s="7"/>
      <c r="H44" s="7"/>
      <c r="I44" s="7"/>
      <c r="J44" s="7"/>
      <c r="K44" s="7"/>
      <c r="L44" s="7"/>
      <c r="M44" s="7"/>
      <c r="N44" s="9"/>
      <c r="O44" s="7"/>
      <c r="P44" s="7"/>
      <c r="Q44" s="7"/>
      <c r="R44" s="7"/>
    </row>
    <row r="45" spans="1:18">
      <c r="A45" s="7"/>
      <c r="B45" s="11"/>
      <c r="C45" s="1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5"/>
      <c r="P45" s="7"/>
      <c r="Q45" s="7"/>
      <c r="R45" s="7"/>
    </row>
    <row r="46" spans="1:18">
      <c r="A46" s="7"/>
      <c r="B46" s="11"/>
      <c r="C46" s="1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11"/>
      <c r="C47" s="10"/>
      <c r="D47" s="7"/>
      <c r="E47" s="7"/>
      <c r="F47" s="7"/>
      <c r="G47" s="7"/>
      <c r="H47" s="7"/>
      <c r="I47" s="9"/>
      <c r="J47" s="9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11"/>
      <c r="C48" s="1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2"/>
      <c r="P48" s="7"/>
      <c r="Q48" s="7"/>
      <c r="R48" s="7"/>
    </row>
    <row r="49" spans="1:18">
      <c r="A49" s="7"/>
      <c r="B49" s="11"/>
      <c r="C49" s="1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3"/>
      <c r="P49" s="7"/>
      <c r="Q49" s="7"/>
      <c r="R49" s="7"/>
    </row>
    <row r="50" spans="1:18">
      <c r="A50" s="7"/>
      <c r="B50" s="11"/>
      <c r="C50" s="1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12"/>
      <c r="P50" s="7"/>
      <c r="Q50" s="7"/>
      <c r="R50" s="7"/>
    </row>
    <row r="51" spans="1:18">
      <c r="A51" s="7"/>
      <c r="B51" s="11"/>
      <c r="C51" s="1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2"/>
      <c r="P51" s="7"/>
      <c r="Q51" s="7"/>
      <c r="R51" s="7"/>
    </row>
    <row r="52" spans="1:18">
      <c r="A52" s="7"/>
      <c r="B52" s="11"/>
      <c r="C52" s="1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0"/>
      <c r="P52" s="7"/>
      <c r="Q52" s="7"/>
      <c r="R52" s="7"/>
    </row>
    <row r="53" spans="1:18">
      <c r="A53" s="7"/>
      <c r="B53" s="11"/>
      <c r="C53" s="1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3"/>
      <c r="P53" s="7"/>
      <c r="Q53" s="7"/>
      <c r="R53" s="9"/>
    </row>
    <row r="54" spans="1:18">
      <c r="A54" s="7"/>
      <c r="B54" s="11"/>
      <c r="C54" s="1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3"/>
      <c r="P54" s="7"/>
      <c r="Q54" s="7"/>
      <c r="R54" s="7"/>
    </row>
    <row r="55" spans="1:18">
      <c r="A55" s="7"/>
      <c r="B55" s="11"/>
      <c r="C55" s="10"/>
      <c r="D55" s="7"/>
      <c r="E55" s="7"/>
      <c r="F55" s="7"/>
      <c r="G55" s="7"/>
      <c r="H55" s="7"/>
      <c r="I55" s="7"/>
      <c r="J55" s="7"/>
      <c r="K55" s="9"/>
      <c r="L55" s="7"/>
      <c r="M55" s="7"/>
      <c r="N55" s="7"/>
      <c r="O55" s="12"/>
      <c r="P55" s="7"/>
      <c r="Q55" s="7"/>
      <c r="R55" s="7"/>
    </row>
    <row r="56" spans="1:18">
      <c r="A56" s="7"/>
      <c r="B56" s="11"/>
      <c r="C56" s="1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0"/>
      <c r="P56" s="7"/>
      <c r="Q56" s="7"/>
      <c r="R56" s="7"/>
    </row>
    <row r="57" spans="1:18">
      <c r="A57" s="7"/>
      <c r="B57" s="11"/>
      <c r="C57" s="1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3"/>
      <c r="P57" s="7"/>
      <c r="Q57" s="7"/>
      <c r="R57" s="7"/>
    </row>
    <row r="58" spans="1:18">
      <c r="A58" s="7"/>
      <c r="B58" s="11"/>
      <c r="C58" s="10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2"/>
      <c r="P58" s="7"/>
      <c r="Q58" s="7"/>
      <c r="R58" s="7"/>
    </row>
    <row r="59" spans="1:18">
      <c r="A59" s="7"/>
      <c r="B59" s="11"/>
      <c r="C59" s="10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2"/>
      <c r="P59" s="7"/>
      <c r="Q59" s="7"/>
      <c r="R59" s="7"/>
    </row>
    <row r="60" spans="1:18">
      <c r="A60" s="7"/>
      <c r="B60" s="11"/>
      <c r="C60" s="10"/>
      <c r="D60" s="7"/>
      <c r="E60" s="7"/>
      <c r="F60" s="7"/>
      <c r="G60" s="7"/>
      <c r="H60" s="9"/>
      <c r="I60" s="7"/>
      <c r="J60" s="7"/>
      <c r="K60" s="7"/>
      <c r="L60" s="7"/>
      <c r="M60" s="9"/>
      <c r="N60" s="7"/>
      <c r="O60" s="7"/>
      <c r="P60" s="7"/>
      <c r="Q60" s="7"/>
      <c r="R60" s="7"/>
    </row>
    <row r="61" spans="1:18">
      <c r="A61" s="7"/>
      <c r="B61" s="11"/>
      <c r="C61" s="10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0"/>
      <c r="P61" s="7"/>
      <c r="Q61" s="7"/>
      <c r="R61" s="7"/>
    </row>
    <row r="62" spans="1:18">
      <c r="A62" s="7"/>
      <c r="B62" s="11"/>
      <c r="C62" s="10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0"/>
      <c r="P62" s="7"/>
      <c r="Q62" s="7"/>
      <c r="R62" s="7"/>
    </row>
    <row r="63" spans="1:18">
      <c r="A63" s="7"/>
      <c r="B63" s="11"/>
      <c r="C63" s="10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  <c r="O63" s="12"/>
      <c r="P63" s="7"/>
      <c r="Q63" s="7"/>
      <c r="R63" s="7"/>
    </row>
    <row r="64" spans="1:18">
      <c r="A64" s="7"/>
      <c r="B64" s="11"/>
      <c r="C64" s="10"/>
      <c r="D64" s="7"/>
      <c r="E64" s="7"/>
      <c r="F64" s="7"/>
      <c r="G64" s="7"/>
      <c r="H64" s="7"/>
      <c r="I64" s="7"/>
      <c r="J64" s="7"/>
      <c r="K64" s="9"/>
      <c r="L64" s="7"/>
      <c r="M64" s="7"/>
      <c r="N64" s="7"/>
      <c r="O64" s="7"/>
      <c r="P64" s="7"/>
      <c r="Q64" s="7"/>
      <c r="R64" s="7"/>
    </row>
    <row r="65" spans="1:18">
      <c r="A65" s="7"/>
      <c r="B65" s="11"/>
      <c r="C65" s="10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0"/>
      <c r="P65" s="7"/>
      <c r="Q65" s="7"/>
      <c r="R65" s="7"/>
    </row>
    <row r="66" spans="1:18">
      <c r="A66" s="7"/>
      <c r="B66" s="11"/>
      <c r="C66" s="10"/>
      <c r="D66" s="7"/>
      <c r="E66" s="7"/>
      <c r="F66" s="7"/>
      <c r="G66" s="9"/>
      <c r="H66" s="7"/>
      <c r="I66" s="7"/>
      <c r="J66" s="7"/>
      <c r="K66" s="7"/>
      <c r="L66" s="7"/>
      <c r="M66" s="7"/>
      <c r="N66" s="8"/>
      <c r="O66" s="12"/>
      <c r="P66" s="7"/>
      <c r="Q66" s="7"/>
      <c r="R66" s="7"/>
    </row>
    <row r="67" spans="1:18">
      <c r="A67" s="7"/>
      <c r="B67" s="11"/>
      <c r="C67" s="10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2"/>
      <c r="P67" s="7"/>
      <c r="Q67" s="7"/>
      <c r="R67" s="7"/>
    </row>
    <row r="68" spans="1:18">
      <c r="A68" s="7"/>
      <c r="B68" s="11"/>
      <c r="C68" s="10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11"/>
      <c r="C69" s="10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2"/>
      <c r="P69" s="7"/>
      <c r="Q69" s="7"/>
      <c r="R69" s="7"/>
    </row>
    <row r="70" spans="1:18">
      <c r="A70" s="7"/>
      <c r="B70" s="11"/>
      <c r="C70" s="10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2"/>
      <c r="P70" s="7"/>
      <c r="Q70" s="7"/>
      <c r="R70" s="7"/>
    </row>
    <row r="71" spans="1:18">
      <c r="A71" s="7"/>
      <c r="B71" s="11"/>
      <c r="C71" s="1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2"/>
      <c r="P71" s="7"/>
      <c r="Q71" s="7"/>
      <c r="R71" s="7"/>
    </row>
    <row r="72" spans="1:18">
      <c r="A72" s="7"/>
      <c r="B72" s="11"/>
      <c r="C72" s="10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3"/>
      <c r="P72" s="7"/>
      <c r="Q72" s="7"/>
      <c r="R72" s="7"/>
    </row>
    <row r="73" spans="1:18">
      <c r="A73" s="7"/>
      <c r="B73" s="11"/>
      <c r="C73" s="10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12"/>
      <c r="P73" s="7"/>
      <c r="Q73" s="7"/>
      <c r="R73" s="7"/>
    </row>
    <row r="74" spans="1:18">
      <c r="A74" s="7"/>
      <c r="B74" s="11"/>
      <c r="C74" s="1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12"/>
      <c r="P74" s="7"/>
      <c r="Q74" s="7"/>
      <c r="R74" s="7"/>
    </row>
    <row r="75" spans="1:18">
      <c r="A75" s="7"/>
      <c r="B75" s="11"/>
      <c r="C75" s="10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12"/>
      <c r="P75" s="7"/>
      <c r="Q75" s="7"/>
      <c r="R75" s="7"/>
    </row>
    <row r="76" spans="1:18">
      <c r="A76" s="7"/>
      <c r="B76" s="11"/>
      <c r="C76" s="10"/>
      <c r="D76" s="7"/>
      <c r="E76" s="7"/>
      <c r="F76" s="7"/>
      <c r="G76" s="7"/>
      <c r="H76" s="9"/>
      <c r="I76" s="7"/>
      <c r="J76" s="7"/>
      <c r="K76" s="7"/>
      <c r="L76" s="7"/>
      <c r="M76" s="7"/>
      <c r="N76" s="7"/>
      <c r="O76" s="12"/>
      <c r="P76" s="7"/>
      <c r="Q76" s="7"/>
      <c r="R76" s="7"/>
    </row>
    <row r="77" spans="1:18">
      <c r="A77" s="7"/>
      <c r="B77" s="11"/>
      <c r="C77" s="10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12"/>
      <c r="P77" s="7"/>
      <c r="Q77" s="7"/>
      <c r="R77" s="7"/>
    </row>
    <row r="78" spans="1:18">
      <c r="A78" s="7"/>
      <c r="B78" s="11"/>
      <c r="C78" s="10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3"/>
      <c r="P78" s="7"/>
      <c r="Q78" s="7"/>
      <c r="R78" s="7"/>
    </row>
    <row r="79" spans="1:18">
      <c r="A79" s="7"/>
      <c r="B79" s="11"/>
      <c r="C79" s="10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3"/>
      <c r="P79" s="7"/>
      <c r="Q79" s="7"/>
      <c r="R79" s="7"/>
    </row>
    <row r="80" spans="1:18">
      <c r="A80" s="7"/>
      <c r="B80" s="11"/>
      <c r="C80" s="10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2"/>
      <c r="P80" s="7"/>
      <c r="Q80" s="7"/>
      <c r="R80" s="7"/>
    </row>
    <row r="81" spans="1:18">
      <c r="A81" s="7"/>
      <c r="B81" s="11"/>
      <c r="C81" s="10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2"/>
      <c r="P81" s="9"/>
      <c r="Q81" s="7"/>
      <c r="R81" s="7"/>
    </row>
    <row r="82" spans="1:18">
      <c r="A82" s="7"/>
      <c r="B82" s="11"/>
      <c r="C82" s="10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3"/>
      <c r="P82" s="7"/>
      <c r="Q82" s="7"/>
      <c r="R82" s="7"/>
    </row>
    <row r="83" spans="1:18">
      <c r="A83" s="7"/>
      <c r="B83" s="11"/>
      <c r="C83" s="10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2"/>
      <c r="P83" s="7"/>
      <c r="Q83" s="7"/>
      <c r="R83" s="7"/>
    </row>
    <row r="84" spans="1:18">
      <c r="A84" s="7"/>
      <c r="B84" s="11"/>
      <c r="C84" s="10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12"/>
      <c r="P84" s="7"/>
      <c r="Q84" s="7"/>
      <c r="R84" s="7"/>
    </row>
    <row r="85" spans="1:18">
      <c r="A85" s="7"/>
      <c r="B85" s="11"/>
      <c r="C85" s="10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12"/>
      <c r="P85" s="7"/>
      <c r="Q85" s="7"/>
      <c r="R85" s="7"/>
    </row>
    <row r="86" spans="1:18">
      <c r="A86" s="7"/>
      <c r="B86" s="11"/>
      <c r="C86" s="10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10"/>
      <c r="P86" s="7"/>
      <c r="Q86" s="7"/>
      <c r="R86" s="7"/>
    </row>
    <row r="87" spans="1:18">
      <c r="A87" s="7"/>
      <c r="B87" s="11"/>
      <c r="C87" s="10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12"/>
      <c r="P87" s="7"/>
      <c r="Q87" s="7"/>
      <c r="R87" s="7"/>
    </row>
    <row r="88" spans="1:18">
      <c r="A88" s="7"/>
      <c r="B88" s="11"/>
      <c r="C88" s="10"/>
      <c r="D88" s="7"/>
      <c r="E88" s="7"/>
      <c r="F88" s="7"/>
      <c r="G88" s="7"/>
      <c r="H88" s="7"/>
      <c r="I88" s="7"/>
      <c r="J88" s="9"/>
      <c r="K88" s="7"/>
      <c r="L88" s="7"/>
      <c r="M88" s="7"/>
      <c r="N88" s="7"/>
      <c r="O88" s="12"/>
      <c r="P88" s="7"/>
      <c r="Q88" s="7"/>
      <c r="R88" s="7"/>
    </row>
    <row r="89" spans="1:18">
      <c r="A89" s="7"/>
      <c r="B89" s="11"/>
      <c r="C89" s="10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12"/>
      <c r="P89" s="7"/>
      <c r="Q89" s="7"/>
      <c r="R89" s="7"/>
    </row>
    <row r="90" spans="1:18">
      <c r="A90" s="7"/>
      <c r="B90" s="11"/>
      <c r="C90" s="10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12"/>
      <c r="P90" s="7"/>
      <c r="Q90" s="7"/>
      <c r="R90" s="7"/>
    </row>
    <row r="91" spans="1:18">
      <c r="A91" s="7"/>
      <c r="B91" s="11"/>
      <c r="C91" s="10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12"/>
      <c r="P91" s="7"/>
      <c r="Q91" s="7"/>
      <c r="R91" s="7"/>
    </row>
    <row r="92" spans="1:18">
      <c r="A92" s="7"/>
      <c r="B92" s="11"/>
      <c r="C92" s="10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2"/>
      <c r="P92" s="7"/>
      <c r="Q92" s="7"/>
      <c r="R92" s="7"/>
    </row>
    <row r="93" spans="1:18">
      <c r="A93" s="7"/>
      <c r="B93" s="11"/>
      <c r="C93" s="10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3"/>
      <c r="P93" s="7"/>
      <c r="Q93" s="7"/>
      <c r="R93" s="7"/>
    </row>
    <row r="94" spans="1:18">
      <c r="A94" s="7"/>
      <c r="B94" s="11"/>
      <c r="C94" s="10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12"/>
      <c r="P94" s="7"/>
      <c r="Q94" s="7"/>
      <c r="R94" s="7"/>
    </row>
    <row r="95" spans="1:18">
      <c r="A95" s="7"/>
      <c r="B95" s="11"/>
      <c r="C95" s="10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10"/>
      <c r="P95" s="7"/>
      <c r="Q95" s="7"/>
      <c r="R95" s="7"/>
    </row>
    <row r="96" spans="1:18">
      <c r="A96" s="7"/>
      <c r="B96" s="11"/>
      <c r="C96" s="10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12"/>
      <c r="P96" s="7"/>
      <c r="Q96" s="7"/>
      <c r="R96" s="7"/>
    </row>
    <row r="97" spans="1:18">
      <c r="A97" s="7"/>
      <c r="B97" s="11"/>
      <c r="C97" s="10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13"/>
      <c r="P97" s="7"/>
      <c r="Q97" s="9"/>
      <c r="R97" s="7"/>
    </row>
    <row r="98" spans="1:18">
      <c r="A98" s="7"/>
      <c r="B98" s="11"/>
      <c r="C98" s="10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10"/>
      <c r="P98" s="7"/>
      <c r="Q98" s="7"/>
      <c r="R98" s="7"/>
    </row>
    <row r="99" spans="1:18">
      <c r="A99" s="7"/>
      <c r="B99" s="11"/>
      <c r="C99" s="10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10"/>
      <c r="P99" s="7"/>
      <c r="Q99" s="7"/>
      <c r="R99" s="7"/>
    </row>
    <row r="100" spans="1:18">
      <c r="A100" s="7"/>
      <c r="B100" s="11"/>
      <c r="C100" s="10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13"/>
      <c r="P100" s="7"/>
      <c r="Q100" s="7"/>
      <c r="R100" s="7"/>
    </row>
    <row r="101" spans="1:18">
      <c r="A101" s="7"/>
      <c r="B101" s="11"/>
      <c r="C101" s="10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3"/>
      <c r="P101" s="7"/>
      <c r="Q101" s="7"/>
      <c r="R101" s="7"/>
    </row>
    <row r="102" spans="1:18">
      <c r="A102" s="7"/>
      <c r="B102" s="11"/>
      <c r="C102" s="10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12"/>
      <c r="P102" s="7"/>
      <c r="Q102" s="7"/>
      <c r="R102" s="7"/>
    </row>
    <row r="103" spans="1:18">
      <c r="A103" s="7"/>
      <c r="B103" s="11"/>
      <c r="C103" s="10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2"/>
      <c r="P103" s="7"/>
      <c r="Q103" s="7"/>
      <c r="R103" s="7"/>
    </row>
    <row r="104" spans="1:18">
      <c r="A104" s="7"/>
      <c r="B104" s="11"/>
      <c r="C104" s="10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11"/>
      <c r="C105" s="10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11"/>
      <c r="C106" s="10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11"/>
      <c r="C107" s="10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3"/>
      <c r="P107" s="7"/>
      <c r="Q107" s="7"/>
      <c r="R107" s="7"/>
    </row>
    <row r="108" spans="1:18">
      <c r="A108" s="7"/>
      <c r="B108" s="11"/>
      <c r="C108" s="10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2"/>
      <c r="P108" s="7"/>
      <c r="Q108" s="7"/>
      <c r="R108" s="7"/>
    </row>
    <row r="109" spans="1:18">
      <c r="A109" s="7"/>
      <c r="B109" s="11"/>
      <c r="C109" s="10"/>
      <c r="D109" s="7"/>
      <c r="E109" s="7"/>
      <c r="F109" s="7"/>
      <c r="G109" s="7"/>
      <c r="H109" s="7"/>
      <c r="I109" s="7"/>
      <c r="J109" s="7"/>
      <c r="K109" s="7"/>
      <c r="L109" s="17"/>
      <c r="M109" s="7"/>
      <c r="N109" s="7"/>
      <c r="O109" s="12"/>
      <c r="P109" s="7"/>
      <c r="Q109" s="7"/>
      <c r="R109" s="7"/>
    </row>
    <row r="110" spans="1:18">
      <c r="A110" s="7"/>
      <c r="B110" s="11"/>
      <c r="C110" s="10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2"/>
      <c r="P110" s="7"/>
      <c r="Q110" s="7"/>
      <c r="R110" s="7"/>
    </row>
    <row r="111" spans="1:18">
      <c r="A111" s="7"/>
      <c r="B111" s="11"/>
      <c r="C111" s="10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2"/>
      <c r="P111" s="7"/>
      <c r="Q111" s="7"/>
      <c r="R111" s="7"/>
    </row>
    <row r="112" spans="1:18">
      <c r="A112" s="7"/>
      <c r="B112" s="11"/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2"/>
      <c r="P112" s="7"/>
      <c r="Q112" s="7"/>
      <c r="R112" s="7"/>
    </row>
    <row r="113" spans="1:18">
      <c r="A113" s="7"/>
      <c r="B113" s="11"/>
      <c r="C113" s="10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2"/>
      <c r="P113" s="7"/>
      <c r="Q113" s="7"/>
      <c r="R113" s="7"/>
    </row>
    <row r="114" spans="1:18">
      <c r="A114" s="7"/>
      <c r="B114" s="11"/>
      <c r="C114" s="10"/>
      <c r="D114" s="7"/>
      <c r="E114" s="7"/>
      <c r="F114" s="7"/>
      <c r="G114" s="7"/>
      <c r="H114" s="7"/>
      <c r="I114" s="7"/>
      <c r="J114" s="7"/>
      <c r="K114" s="7"/>
      <c r="L114" s="17"/>
      <c r="M114" s="7"/>
      <c r="N114" s="7"/>
      <c r="O114" s="10"/>
      <c r="P114" s="7"/>
      <c r="Q114" s="7"/>
      <c r="R114" s="7"/>
    </row>
    <row r="115" spans="1:18">
      <c r="A115" s="7"/>
      <c r="B115" s="11"/>
      <c r="C115" s="10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2"/>
      <c r="P115" s="7"/>
      <c r="Q115" s="7"/>
      <c r="R115" s="7"/>
    </row>
    <row r="116" spans="1:18">
      <c r="A116" s="7"/>
      <c r="B116" s="11"/>
      <c r="C116" s="10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13"/>
      <c r="P116" s="7"/>
      <c r="Q116" s="7"/>
      <c r="R116" s="7"/>
    </row>
    <row r="117" spans="1:18">
      <c r="A117" s="7"/>
      <c r="B117" s="11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2"/>
      <c r="P117" s="7"/>
      <c r="Q117" s="7"/>
      <c r="R117" s="7"/>
    </row>
    <row r="118" spans="1:18">
      <c r="A118" s="7"/>
      <c r="B118" s="11"/>
      <c r="C118" s="10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2"/>
      <c r="P118" s="7"/>
      <c r="Q118" s="7"/>
      <c r="R118" s="7"/>
    </row>
    <row r="119" spans="1:18">
      <c r="A119" s="7"/>
      <c r="B119" s="11"/>
      <c r="C119" s="10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2"/>
      <c r="P119" s="7"/>
      <c r="Q119" s="7"/>
      <c r="R119" s="7"/>
    </row>
    <row r="120" spans="1:18">
      <c r="A120" s="7"/>
      <c r="B120" s="11"/>
      <c r="C120" s="10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2"/>
      <c r="P120" s="7"/>
      <c r="Q120" s="7"/>
      <c r="R120" s="7"/>
    </row>
    <row r="121" spans="1:18">
      <c r="A121" s="7"/>
      <c r="B121" s="11"/>
      <c r="C121" s="10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2"/>
      <c r="P121" s="7"/>
      <c r="Q121" s="7"/>
      <c r="R121" s="7"/>
    </row>
    <row r="122" spans="1:18">
      <c r="A122" s="7"/>
      <c r="B122" s="11"/>
      <c r="C122" s="10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2"/>
      <c r="P122" s="7"/>
      <c r="Q122" s="7"/>
      <c r="R122" s="7"/>
    </row>
    <row r="123" spans="1:18">
      <c r="A123" s="7"/>
      <c r="B123" s="11"/>
      <c r="C123" s="10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2"/>
      <c r="P123" s="7"/>
      <c r="Q123" s="7"/>
      <c r="R123" s="7"/>
    </row>
    <row r="124" spans="1:18">
      <c r="A124" s="7"/>
      <c r="B124" s="11"/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2"/>
      <c r="P124" s="7"/>
      <c r="Q124" s="7"/>
      <c r="R124" s="7"/>
    </row>
    <row r="125" spans="1:18">
      <c r="A125" s="7"/>
      <c r="B125" s="11"/>
      <c r="C125" s="10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2"/>
      <c r="P125" s="7"/>
      <c r="Q125" s="7"/>
      <c r="R125" s="7"/>
    </row>
    <row r="126" spans="1:18">
      <c r="A126" s="7"/>
      <c r="B126" s="11"/>
      <c r="C126" s="10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2"/>
      <c r="P126" s="7"/>
      <c r="Q126" s="7"/>
      <c r="R126" s="7"/>
    </row>
    <row r="127" spans="1:18">
      <c r="A127" s="7"/>
      <c r="B127" s="11"/>
      <c r="C127" s="10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2"/>
      <c r="P127" s="7"/>
      <c r="Q127" s="7"/>
      <c r="R127" s="7"/>
    </row>
    <row r="128" spans="1:18">
      <c r="A128" s="7"/>
      <c r="B128" s="11"/>
      <c r="C128" s="10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2"/>
      <c r="P128" s="7"/>
      <c r="Q128" s="7"/>
      <c r="R128" s="7"/>
    </row>
    <row r="129" spans="1:18">
      <c r="A129" s="7"/>
      <c r="B129" s="11"/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2"/>
      <c r="P129" s="7"/>
      <c r="Q129" s="7"/>
      <c r="R129" s="7"/>
    </row>
    <row r="130" spans="1:18">
      <c r="A130" s="7"/>
      <c r="B130" s="11"/>
      <c r="C130" s="10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2"/>
      <c r="P130" s="7"/>
      <c r="Q130" s="7"/>
      <c r="R130" s="7"/>
    </row>
    <row r="131" spans="1:18">
      <c r="A131" s="7"/>
      <c r="B131" s="11"/>
      <c r="C131" s="10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2"/>
      <c r="P131" s="7"/>
      <c r="Q131" s="7"/>
      <c r="R131" s="7"/>
    </row>
    <row r="132" spans="1:18">
      <c r="A132" s="7"/>
      <c r="B132" s="11"/>
      <c r="C132" s="10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2"/>
      <c r="P132" s="7"/>
      <c r="Q132" s="7"/>
      <c r="R132" s="7"/>
    </row>
    <row r="133" spans="1:18">
      <c r="A133" s="7"/>
      <c r="B133" s="11"/>
      <c r="C133" s="10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2"/>
      <c r="P133" s="7"/>
      <c r="Q133" s="7"/>
      <c r="R133" s="7"/>
    </row>
    <row r="134" spans="1:18">
      <c r="A134" s="7"/>
      <c r="B134" s="11"/>
      <c r="C134" s="10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2"/>
      <c r="P134" s="7"/>
      <c r="Q134" s="7"/>
      <c r="R134" s="7"/>
    </row>
    <row r="135" spans="1:18">
      <c r="A135" s="7"/>
      <c r="B135" s="11"/>
      <c r="C135" s="10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12"/>
      <c r="P135" s="7"/>
      <c r="Q135" s="7"/>
      <c r="R135" s="7"/>
    </row>
    <row r="136" spans="1:18">
      <c r="A136" s="7"/>
      <c r="B136" s="11"/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12"/>
      <c r="P136" s="7"/>
      <c r="Q136" s="7"/>
      <c r="R136" s="7"/>
    </row>
    <row r="137" spans="1:18">
      <c r="A137" s="7"/>
      <c r="B137" s="11"/>
      <c r="C137" s="10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12"/>
      <c r="P137" s="7"/>
      <c r="Q137" s="7"/>
      <c r="R137" s="7"/>
    </row>
    <row r="138" spans="1:18">
      <c r="A138" s="7"/>
      <c r="B138" s="11"/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12"/>
      <c r="P138" s="7"/>
      <c r="Q138" s="7"/>
      <c r="R138" s="7"/>
    </row>
    <row r="139" spans="1:18">
      <c r="A139" s="7"/>
      <c r="B139" s="11"/>
      <c r="C139" s="10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12"/>
      <c r="P139" s="7"/>
      <c r="Q139" s="7"/>
      <c r="R139" s="7"/>
    </row>
    <row r="140" spans="1:18">
      <c r="A140" s="7"/>
      <c r="B140" s="11"/>
      <c r="C140" s="10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12"/>
      <c r="P140" s="7"/>
      <c r="Q140" s="7"/>
      <c r="R140" s="7"/>
    </row>
    <row r="141" spans="1:18">
      <c r="A141" s="7"/>
      <c r="B141" s="11"/>
      <c r="C141" s="10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12"/>
      <c r="P141" s="7"/>
      <c r="Q141" s="7"/>
      <c r="R141" s="7"/>
    </row>
    <row r="142" spans="1:18">
      <c r="A142" s="7"/>
      <c r="B142" s="11"/>
      <c r="C142" s="10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12"/>
      <c r="P142" s="7"/>
      <c r="Q142" s="7"/>
      <c r="R142" s="7"/>
    </row>
    <row r="143" spans="1:18">
      <c r="A143" s="7"/>
      <c r="B143" s="11"/>
      <c r="C143" s="10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12"/>
      <c r="P143" s="7"/>
      <c r="Q143" s="7"/>
      <c r="R143" s="7"/>
    </row>
    <row r="144" spans="1:18">
      <c r="A144" s="7"/>
      <c r="B144" s="11"/>
      <c r="C144" s="10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12"/>
      <c r="P144" s="7"/>
      <c r="Q144" s="7"/>
      <c r="R144" s="7"/>
    </row>
    <row r="145" spans="1:18">
      <c r="A145" s="7"/>
      <c r="B145" s="11"/>
      <c r="C145" s="10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12"/>
      <c r="P145" s="7"/>
      <c r="Q145" s="7"/>
      <c r="R145" s="7"/>
    </row>
    <row r="146" spans="1:18">
      <c r="A146" s="7"/>
      <c r="B146" s="11"/>
      <c r="C146" s="10"/>
      <c r="D146" s="7"/>
      <c r="E146" s="7"/>
      <c r="F146" s="7"/>
      <c r="G146" s="7"/>
      <c r="H146" s="7"/>
      <c r="I146" s="9"/>
      <c r="J146" s="7"/>
      <c r="K146" s="7"/>
      <c r="L146" s="7"/>
      <c r="M146" s="7"/>
      <c r="N146" s="7"/>
      <c r="O146" s="12"/>
      <c r="P146" s="7"/>
      <c r="Q146" s="7"/>
      <c r="R146" s="7"/>
    </row>
    <row r="147" spans="1:18">
      <c r="A147" s="7"/>
      <c r="B147" s="11"/>
      <c r="C147" s="10"/>
      <c r="D147" s="7"/>
      <c r="E147" s="7"/>
      <c r="F147" s="7"/>
      <c r="G147" s="7"/>
      <c r="H147" s="7"/>
      <c r="I147" s="9"/>
      <c r="J147" s="7"/>
      <c r="K147" s="7"/>
      <c r="L147" s="7"/>
      <c r="M147" s="7"/>
      <c r="N147" s="7"/>
      <c r="O147" s="12"/>
      <c r="P147" s="7"/>
      <c r="Q147" s="7"/>
      <c r="R147" s="7"/>
    </row>
    <row r="148" spans="1:18">
      <c r="A148" s="7"/>
      <c r="B148" s="11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12"/>
      <c r="P148" s="7"/>
      <c r="Q148" s="7"/>
      <c r="R148" s="7"/>
    </row>
    <row r="149" spans="1:18">
      <c r="A149" s="7"/>
      <c r="B149" s="11"/>
      <c r="C149" s="10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12"/>
      <c r="P149" s="7"/>
      <c r="Q149" s="7"/>
      <c r="R149" s="7"/>
    </row>
    <row r="150" spans="1:18">
      <c r="A150" s="7"/>
      <c r="B150" s="11"/>
      <c r="C150" s="10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12"/>
      <c r="P150" s="7"/>
      <c r="Q150" s="7"/>
      <c r="R150" s="7"/>
    </row>
    <row r="151" spans="1:18">
      <c r="A151" s="7"/>
      <c r="B151" s="11"/>
      <c r="C151" s="10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12"/>
      <c r="P151" s="7"/>
      <c r="Q151" s="7"/>
      <c r="R151" s="7"/>
    </row>
    <row r="152" spans="1:18">
      <c r="A152" s="7"/>
      <c r="B152" s="11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12"/>
      <c r="P152" s="7"/>
      <c r="Q152" s="7"/>
      <c r="R152" s="7"/>
    </row>
    <row r="153" spans="1:18">
      <c r="A153" s="7"/>
      <c r="B153" s="11"/>
      <c r="C153" s="10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12"/>
      <c r="P153" s="7"/>
      <c r="Q153" s="7"/>
      <c r="R153" s="7"/>
    </row>
    <row r="154" spans="1:18">
      <c r="A154" s="7"/>
      <c r="B154" s="11"/>
      <c r="C154" s="10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13"/>
      <c r="P154" s="7"/>
      <c r="Q154" s="7"/>
      <c r="R154" s="7"/>
    </row>
    <row r="155" spans="1:18">
      <c r="A155" s="7"/>
      <c r="B155" s="11"/>
      <c r="C155" s="10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12"/>
      <c r="P155" s="7"/>
      <c r="Q155" s="7"/>
      <c r="R155" s="7"/>
    </row>
    <row r="156" spans="1:18">
      <c r="A156" s="7"/>
      <c r="B156" s="11"/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12"/>
      <c r="P156" s="7"/>
      <c r="Q156" s="7"/>
      <c r="R156" s="7"/>
    </row>
    <row r="157" spans="1:18">
      <c r="A157" s="7"/>
      <c r="B157" s="11"/>
      <c r="C157" s="10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12"/>
      <c r="P157" s="7"/>
      <c r="Q157" s="7"/>
      <c r="R157" s="7"/>
    </row>
    <row r="158" spans="1:18">
      <c r="A158" s="7"/>
      <c r="B158" s="11"/>
      <c r="C158" s="10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12"/>
      <c r="P158" s="7"/>
      <c r="Q158" s="7"/>
      <c r="R158" s="7"/>
    </row>
    <row r="159" spans="1:18">
      <c r="A159" s="7"/>
      <c r="B159" s="11"/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12"/>
      <c r="P159" s="7"/>
      <c r="Q159" s="7"/>
      <c r="R159" s="7"/>
    </row>
    <row r="160" spans="1:18">
      <c r="A160" s="7"/>
      <c r="B160" s="11"/>
      <c r="C160" s="10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10"/>
      <c r="P160" s="7"/>
      <c r="Q160" s="7"/>
      <c r="R160" s="7"/>
    </row>
    <row r="161" spans="1:18">
      <c r="A161" s="7"/>
      <c r="B161" s="11"/>
      <c r="C161" s="10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10"/>
      <c r="P161" s="7"/>
      <c r="Q161" s="7"/>
      <c r="R161" s="7"/>
    </row>
    <row r="162" spans="1:18">
      <c r="A162" s="7"/>
      <c r="B162" s="11"/>
      <c r="C162" s="18"/>
      <c r="D162" s="7"/>
      <c r="E162" s="7"/>
      <c r="F162" s="9"/>
      <c r="G162" s="7"/>
      <c r="H162" s="7"/>
      <c r="I162" s="7"/>
      <c r="J162" s="7"/>
      <c r="K162" s="7"/>
      <c r="L162" s="7"/>
      <c r="M162" s="7"/>
      <c r="N162" s="7"/>
      <c r="O162" s="12"/>
      <c r="P162" s="7"/>
      <c r="Q162" s="7"/>
      <c r="R162" s="7"/>
    </row>
    <row r="163" spans="1:18">
      <c r="A163" s="7"/>
      <c r="B163" s="11"/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12"/>
      <c r="P163" s="7"/>
      <c r="Q163" s="7"/>
      <c r="R163" s="7"/>
    </row>
    <row r="164" spans="1:18">
      <c r="A164" s="7"/>
      <c r="B164" s="11"/>
      <c r="C164" s="10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13"/>
      <c r="P164" s="7"/>
      <c r="Q164" s="7"/>
      <c r="R164" s="7"/>
    </row>
    <row r="165" spans="1:18">
      <c r="A165" s="7"/>
      <c r="B165" s="11"/>
      <c r="C165" s="10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12"/>
      <c r="P165" s="7"/>
      <c r="Q165" s="7"/>
      <c r="R165" s="7"/>
    </row>
    <row r="166" spans="1:18">
      <c r="A166" s="7"/>
      <c r="B166" s="11"/>
      <c r="C166" s="10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12"/>
      <c r="P166" s="7"/>
      <c r="Q166" s="7"/>
      <c r="R166" s="7"/>
    </row>
    <row r="167" spans="1:18">
      <c r="A167" s="7"/>
      <c r="B167" s="11"/>
      <c r="C167" s="10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12"/>
      <c r="P167" s="7"/>
      <c r="Q167" s="7"/>
      <c r="R167" s="7"/>
    </row>
    <row r="168" spans="1:18">
      <c r="A168" s="7"/>
      <c r="B168" s="11"/>
      <c r="C168" s="10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12"/>
      <c r="P168" s="7"/>
      <c r="Q168" s="7"/>
      <c r="R168" s="7"/>
    </row>
    <row r="169" spans="1:18">
      <c r="A169" s="7"/>
      <c r="B169" s="11"/>
      <c r="C169" s="10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12"/>
      <c r="P169" s="7"/>
      <c r="Q169" s="7"/>
      <c r="R169" s="7"/>
    </row>
    <row r="170" spans="1:18">
      <c r="A170" s="7"/>
      <c r="B170" s="11"/>
      <c r="C170" s="10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12"/>
      <c r="P170" s="7"/>
      <c r="Q170" s="7"/>
      <c r="R170" s="7"/>
    </row>
    <row r="171" spans="1:18">
      <c r="A171" s="7"/>
      <c r="B171" s="11"/>
      <c r="C171" s="10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12"/>
      <c r="P171" s="7"/>
      <c r="Q171" s="7"/>
      <c r="R171" s="7"/>
    </row>
    <row r="172" spans="1:18">
      <c r="A172" s="7"/>
      <c r="B172" s="11"/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12"/>
      <c r="P172" s="7"/>
      <c r="Q172" s="7"/>
      <c r="R172" s="7"/>
    </row>
    <row r="173" spans="1:18">
      <c r="A173" s="7"/>
      <c r="B173" s="11"/>
      <c r="C173" s="10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12"/>
      <c r="P173" s="7"/>
      <c r="Q173" s="7"/>
      <c r="R173" s="7"/>
    </row>
    <row r="174" spans="1:18">
      <c r="A174" s="7"/>
      <c r="B174" s="11"/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12"/>
      <c r="P174" s="7"/>
      <c r="Q174" s="7"/>
      <c r="R174" s="7"/>
    </row>
    <row r="175" spans="1:18">
      <c r="A175" s="7"/>
      <c r="B175" s="11"/>
      <c r="C175" s="10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12"/>
      <c r="P175" s="7"/>
      <c r="Q175" s="7"/>
      <c r="R175" s="7"/>
    </row>
    <row r="176" spans="1:18">
      <c r="A176" s="7"/>
      <c r="B176" s="11"/>
      <c r="C176" s="10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12"/>
      <c r="P176" s="7"/>
      <c r="Q176" s="7"/>
      <c r="R176" s="7"/>
    </row>
    <row r="177" spans="1:18">
      <c r="A177" s="7"/>
      <c r="B177" s="11"/>
      <c r="C177" s="10"/>
      <c r="D177" s="7"/>
      <c r="E177" s="7"/>
      <c r="F177" s="7"/>
      <c r="G177" s="7"/>
      <c r="H177" s="9"/>
      <c r="I177" s="7"/>
      <c r="J177" s="7"/>
      <c r="K177" s="7"/>
      <c r="L177" s="7"/>
      <c r="M177" s="7"/>
      <c r="N177" s="8"/>
      <c r="O177" s="12"/>
      <c r="P177" s="7"/>
      <c r="Q177" s="7"/>
      <c r="R177" s="7"/>
    </row>
    <row r="178" spans="1:18">
      <c r="A178" s="7"/>
      <c r="B178" s="11"/>
      <c r="C178" s="10"/>
      <c r="D178" s="7"/>
      <c r="E178" s="7"/>
      <c r="F178" s="7"/>
      <c r="G178" s="7"/>
      <c r="H178" s="9"/>
      <c r="I178" s="7"/>
      <c r="J178" s="7"/>
      <c r="K178" s="7"/>
      <c r="L178" s="7"/>
      <c r="M178" s="7"/>
      <c r="N178" s="8"/>
      <c r="O178" s="12"/>
      <c r="P178" s="7"/>
      <c r="Q178" s="7"/>
      <c r="R178" s="7"/>
    </row>
    <row r="179" spans="1:18">
      <c r="A179" s="7"/>
      <c r="B179" s="11"/>
      <c r="C179" s="10"/>
      <c r="D179" s="7"/>
      <c r="E179" s="7"/>
      <c r="F179" s="7"/>
      <c r="G179" s="7"/>
      <c r="H179" s="9"/>
      <c r="I179" s="7"/>
      <c r="J179" s="7"/>
      <c r="K179" s="7"/>
      <c r="L179" s="7"/>
      <c r="M179" s="7"/>
      <c r="N179" s="8"/>
      <c r="O179" s="12"/>
      <c r="P179" s="7"/>
      <c r="Q179" s="7"/>
      <c r="R179" s="7"/>
    </row>
    <row r="180" spans="1:18">
      <c r="A180" s="7"/>
      <c r="B180" s="11"/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12"/>
      <c r="P180" s="7"/>
      <c r="Q180" s="7"/>
      <c r="R180" s="7"/>
    </row>
    <row r="181" spans="1:18">
      <c r="A181" s="7"/>
      <c r="B181" s="11"/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12"/>
      <c r="P181" s="7"/>
      <c r="Q181" s="7"/>
      <c r="R181" s="7"/>
    </row>
    <row r="182" spans="1:18">
      <c r="A182" s="7"/>
      <c r="B182" s="11"/>
      <c r="C182" s="10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10"/>
      <c r="P182" s="7"/>
      <c r="Q182" s="7"/>
      <c r="R182" s="7"/>
    </row>
    <row r="183" spans="1:18">
      <c r="A183" s="7"/>
      <c r="B183" s="11"/>
      <c r="C183" s="10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10"/>
      <c r="P183" s="7"/>
      <c r="Q183" s="7"/>
      <c r="R183" s="7"/>
    </row>
    <row r="184" spans="1:18">
      <c r="A184" s="7"/>
      <c r="B184" s="11"/>
      <c r="C184" s="10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10"/>
      <c r="P184" s="7"/>
      <c r="Q184" s="7"/>
      <c r="R184" s="7"/>
    </row>
    <row r="185" spans="1:18">
      <c r="A185" s="7"/>
      <c r="B185" s="11"/>
      <c r="C185" s="10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10"/>
      <c r="P185" s="7"/>
      <c r="Q185" s="7"/>
      <c r="R185" s="7"/>
    </row>
    <row r="186" spans="1:18">
      <c r="A186" s="7"/>
      <c r="B186" s="11"/>
      <c r="C186" s="10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10"/>
      <c r="P186" s="7"/>
      <c r="Q186" s="7"/>
      <c r="R186" s="7"/>
    </row>
    <row r="187" spans="1:18">
      <c r="A187" s="7"/>
      <c r="B187" s="11"/>
      <c r="C187" s="10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12"/>
      <c r="P187" s="7"/>
      <c r="Q187" s="7"/>
      <c r="R187" s="7"/>
    </row>
    <row r="188" spans="1:18">
      <c r="A188" s="7"/>
      <c r="B188" s="11"/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12"/>
      <c r="P188" s="7"/>
      <c r="Q188" s="7"/>
      <c r="R188" s="7"/>
    </row>
    <row r="189" spans="1:18">
      <c r="A189" s="7"/>
      <c r="B189" s="11"/>
      <c r="C189" s="10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12"/>
      <c r="P189" s="7"/>
      <c r="Q189" s="7"/>
      <c r="R189" s="7"/>
    </row>
    <row r="190" spans="1:18">
      <c r="A190" s="7"/>
      <c r="B190" s="11"/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12"/>
      <c r="P190" s="7"/>
      <c r="Q190" s="7"/>
      <c r="R190" s="7"/>
    </row>
    <row r="191" spans="1:18">
      <c r="A191" s="7"/>
      <c r="B191" s="11"/>
      <c r="C191" s="10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12"/>
      <c r="P191" s="7"/>
      <c r="Q191" s="7"/>
      <c r="R191" s="7"/>
    </row>
    <row r="192" spans="1:18">
      <c r="A192" s="7"/>
      <c r="B192" s="11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12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13" spans="15:15">
      <c r="O213" s="1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D3C40BC-98F5-4CA8-ADC2-CB4C08C8AC0B}">
          <x14:formula1>
            <xm:f>Cumulativo!$G$2:$G$4</xm:f>
          </x14:formula1>
          <xm:sqref>K1:K1048576</xm:sqref>
        </x14:dataValidation>
        <x14:dataValidation type="list" allowBlank="1" showInputMessage="1" showErrorMessage="1" xr:uid="{3107EC6B-6BF1-405A-910F-9B32C8464F02}">
          <x14:formula1>
            <xm:f>Cumulativo!$A$2:$A$3</xm:f>
          </x14:formula1>
          <xm:sqref>E1:E1048576</xm:sqref>
        </x14:dataValidation>
        <x14:dataValidation type="list" allowBlank="1" showInputMessage="1" showErrorMessage="1" xr:uid="{6FA8B5D8-99F1-481D-BE4C-B85FD989A721}">
          <x14:formula1>
            <xm:f>Cumulativo!$B$2:$B$5</xm:f>
          </x14:formula1>
          <xm:sqref>F1:F1048576</xm:sqref>
        </x14:dataValidation>
        <x14:dataValidation type="list" allowBlank="1" showInputMessage="1" showErrorMessage="1" xr:uid="{438DAFAF-FF56-4563-A921-E3AE32634B8D}">
          <x14:formula1>
            <xm:f>Cumulativo!$C$2:$C$4</xm:f>
          </x14:formula1>
          <xm:sqref>G1:G1048576</xm:sqref>
        </x14:dataValidation>
        <x14:dataValidation type="list" allowBlank="1" showInputMessage="1" showErrorMessage="1" xr:uid="{7AB2C01E-EEB1-4C8C-8855-267B2026D2A1}">
          <x14:formula1>
            <xm:f>Cumulativo!$E$2:$E$6</xm:f>
          </x14:formula1>
          <xm:sqref>A1:A1048576</xm:sqref>
        </x14:dataValidation>
        <x14:dataValidation type="list" allowBlank="1" showInputMessage="1" showErrorMessage="1" xr:uid="{C83FF148-E0C8-4981-AA74-B0620E3ED96A}">
          <x14:formula1>
            <xm:f>Cumulativo!$D$2:$D$4</xm:f>
          </x14:formula1>
          <xm:sqref>H1:H1048576</xm:sqref>
        </x14:dataValidation>
        <x14:dataValidation type="list" allowBlank="1" showInputMessage="1" showErrorMessage="1" xr:uid="{222E4750-659E-4A82-B79C-CF400F350873}">
          <x14:formula1>
            <xm:f>Cumulativo!$H$2:$H$3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D5D8-483F-4893-A2ED-82AEAE9A0679}">
  <dimension ref="A1:BI198"/>
  <sheetViews>
    <sheetView topLeftCell="A166" zoomScale="70" zoomScaleNormal="70" workbookViewId="0">
      <selection activeCell="G132" sqref="G132"/>
    </sheetView>
  </sheetViews>
  <sheetFormatPr defaultRowHeight="13.8"/>
  <cols>
    <col min="1" max="2" width="21.59765625" customWidth="1"/>
    <col min="3" max="3" width="19.19921875" customWidth="1"/>
    <col min="4" max="4" width="39.296875" customWidth="1"/>
    <col min="5" max="5" width="29.296875" customWidth="1"/>
    <col min="6" max="6" width="27.09765625" customWidth="1"/>
    <col min="7" max="7" width="24.3984375" customWidth="1"/>
    <col min="9" max="9" width="38.59765625" customWidth="1"/>
    <col min="10" max="10" width="24.19921875" customWidth="1"/>
    <col min="11" max="11" width="15.796875" customWidth="1"/>
    <col min="12" max="12" width="18.69921875" customWidth="1"/>
    <col min="14" max="14" width="14.796875" customWidth="1"/>
    <col min="15" max="15" width="29" customWidth="1"/>
    <col min="16" max="16" width="33.8984375" customWidth="1"/>
    <col min="18" max="18" width="46.3984375" customWidth="1"/>
    <col min="28" max="28" width="40.3984375" customWidth="1"/>
  </cols>
  <sheetData>
    <row r="1" spans="1:61">
      <c r="A1" s="5"/>
      <c r="B1" s="5"/>
      <c r="C1" s="5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1">
      <c r="A2" s="32" t="s">
        <v>124</v>
      </c>
      <c r="B2" s="5"/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>
      <c r="A3" s="5"/>
      <c r="B3" s="27" t="s">
        <v>47</v>
      </c>
      <c r="C3" s="27"/>
      <c r="D3" s="27">
        <v>30000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1">
      <c r="A4" s="5"/>
      <c r="B4" s="27" t="s">
        <v>48</v>
      </c>
      <c r="C4" s="27"/>
      <c r="D4" s="28">
        <v>0.01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>
      <c r="A5" s="5"/>
      <c r="B5" s="27" t="s">
        <v>40</v>
      </c>
      <c r="C5" s="27"/>
      <c r="D5" s="27">
        <f>COUNTIF(Database!K2:K192, "TP")/192*100</f>
        <v>1.5625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>
      <c r="A6" s="5"/>
      <c r="B6" s="27" t="s">
        <v>41</v>
      </c>
      <c r="C6" s="27"/>
      <c r="D6" s="27">
        <f>100-COUNTIF(Database!K2:K192, "TP")/192*100</f>
        <v>98.4375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>
      <c r="A7" s="5"/>
      <c r="B7" s="27" t="s">
        <v>42</v>
      </c>
      <c r="C7" s="27"/>
      <c r="D7" s="27">
        <f>SUMIF(Database!I2:I192, "&gt;0") / COUNTIF(Database!K2:K192, "TP")</f>
        <v>330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>
      <c r="A8" s="5"/>
      <c r="B8" s="27" t="s">
        <v>43</v>
      </c>
      <c r="C8" s="27"/>
      <c r="D8" s="27">
        <f>ABS(SUMIF(Database!I2:I192, "&lt;0")/COUNTIF(Database!K2:K192, "SL"))</f>
        <v>330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>
      <c r="A9" s="5"/>
      <c r="B9" s="27" t="s">
        <v>44</v>
      </c>
      <c r="C9" s="27"/>
      <c r="D9" s="27">
        <f>D7/D8</f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>
      <c r="A10" s="5"/>
      <c r="B10" s="27" t="s">
        <v>45</v>
      </c>
      <c r="C10" s="27"/>
      <c r="D10" s="27">
        <f>COUNTIF(Database!K2:K192, "TP")/C30</f>
        <v>1.5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>
      <c r="A11" s="5"/>
      <c r="B11" s="27" t="s">
        <v>46</v>
      </c>
      <c r="C11" s="27"/>
      <c r="D11" s="2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>
      <c r="A12" s="5"/>
      <c r="B12" s="27" t="s">
        <v>49</v>
      </c>
      <c r="C12" s="27"/>
      <c r="D12" s="29" t="s">
        <v>115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>
      <c r="A13" s="7"/>
      <c r="B13" s="27" t="s">
        <v>87</v>
      </c>
      <c r="C13" s="27"/>
      <c r="D13" s="27" t="s">
        <v>119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>
      <c r="A14" s="7"/>
      <c r="B14" s="27" t="s">
        <v>88</v>
      </c>
      <c r="C14" s="27"/>
      <c r="D14" s="29" t="s">
        <v>89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>
      <c r="A18" s="31" t="s">
        <v>128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>
      <c r="A19" s="7"/>
      <c r="B19" s="30"/>
      <c r="C19" s="30" t="s">
        <v>71</v>
      </c>
      <c r="D19" s="30" t="s">
        <v>62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>
      <c r="A20" s="7"/>
      <c r="B20" s="30" t="s">
        <v>29</v>
      </c>
      <c r="C20" s="30">
        <f>COUNTIF(Database!D2:D192, "Buy")</f>
        <v>4</v>
      </c>
      <c r="D20" s="30">
        <f>SUMIF(Database!D2:D192, "Buy", Database!I2:I192)</f>
        <v>330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>
      <c r="A21" s="7"/>
      <c r="B21" s="30" t="s">
        <v>30</v>
      </c>
      <c r="C21" s="30">
        <f>COUNTIF(Database!D2:D192, "Sell")</f>
        <v>3</v>
      </c>
      <c r="D21" s="30">
        <f>SUMIF(Database!D2:D192, "Sell", Database!I2:I192)</f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>
      <c r="A27" s="31" t="s">
        <v>127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>
      <c r="A28" s="7"/>
      <c r="B28" s="30" t="s">
        <v>125</v>
      </c>
      <c r="C28" s="30" t="s">
        <v>126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>
      <c r="A29" s="7"/>
      <c r="B29" s="30" t="s">
        <v>28</v>
      </c>
      <c r="C29" s="30">
        <f>COUNTIF(Database!K2:K192, "TP")</f>
        <v>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>
      <c r="A30" s="7"/>
      <c r="B30" s="30" t="s">
        <v>20</v>
      </c>
      <c r="C30" s="30">
        <f>COUNTIF(Database!K2:K192, "SL")</f>
        <v>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5"/>
      <c r="V30" s="5"/>
      <c r="W30" s="5"/>
      <c r="X30" s="5"/>
      <c r="Y30" s="5"/>
      <c r="Z30" s="5"/>
      <c r="AA30" s="5" t="s">
        <v>101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>
      <c r="A31" s="7"/>
      <c r="B31" s="30" t="s">
        <v>25</v>
      </c>
      <c r="C31" s="30">
        <f>COUNTIF(Database!K2:K192, "BE")</f>
        <v>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1:6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>
      <c r="A44" s="30" t="s">
        <v>60</v>
      </c>
      <c r="B44" s="30"/>
      <c r="C44" s="30" t="s">
        <v>61</v>
      </c>
      <c r="D44" s="30" t="s">
        <v>62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>
      <c r="A45" s="30" t="s">
        <v>57</v>
      </c>
      <c r="B45" s="30"/>
      <c r="C45" s="30">
        <f>COUNTIF(Database!L2:L192, "&gt;=400")</f>
        <v>2</v>
      </c>
      <c r="D45" s="30">
        <f>SUMIF(Database!L2:L192, "&gt;=400")</f>
        <v>1400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>
      <c r="A46" s="30" t="s">
        <v>56</v>
      </c>
      <c r="B46" s="30"/>
      <c r="C46" s="30">
        <f>COUNTIF(Database!L2:L192, "&gt;=450")</f>
        <v>2</v>
      </c>
      <c r="D46" s="30">
        <f>SUMIF(Database!L2:L192, "&gt;=450")</f>
        <v>1400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>
      <c r="A47" s="30" t="s">
        <v>55</v>
      </c>
      <c r="B47" s="30"/>
      <c r="C47" s="30">
        <f>COUNTIF(Database!L2:L192, "&gt;=500")</f>
        <v>2</v>
      </c>
      <c r="D47" s="30">
        <f>SUMIF(Database!L2:L192, "&gt;=500")</f>
        <v>1400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>
      <c r="A48" s="30" t="s">
        <v>58</v>
      </c>
      <c r="B48" s="30"/>
      <c r="C48" s="30">
        <f>COUNTIF(Database!L2:L192, "&gt;=550")</f>
        <v>2</v>
      </c>
      <c r="D48" s="30">
        <f>SUMIF(Database!L2:L192, "&gt;=550")</f>
        <v>1400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1:61">
      <c r="A49" s="30" t="s">
        <v>59</v>
      </c>
      <c r="B49" s="30"/>
      <c r="C49" s="30">
        <f>COUNTIF(Database!L2:L192, "&gt;=600")</f>
        <v>1</v>
      </c>
      <c r="D49" s="30">
        <f>SUMIF(Database!L2:L192, "&gt;=650")</f>
        <v>830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1:61">
      <c r="A50" s="30" t="s">
        <v>63</v>
      </c>
      <c r="B50" s="30"/>
      <c r="C50" s="30">
        <f>COUNTIF(Database!I2:I192, "=330")</f>
        <v>3</v>
      </c>
      <c r="D50" s="3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1:6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1:6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1:6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1:6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1:6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1:6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7"/>
      <c r="S56" s="7"/>
      <c r="T56" s="7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1:6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1:6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1:6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1:61">
      <c r="A60" s="7"/>
      <c r="B60" s="7"/>
      <c r="C60" s="7"/>
      <c r="D60" s="7"/>
      <c r="E60" s="7"/>
      <c r="F60" s="7"/>
      <c r="G60" s="7"/>
      <c r="H60" s="7"/>
      <c r="I60" s="7"/>
      <c r="J60" s="31" t="s">
        <v>129</v>
      </c>
      <c r="K60" s="7"/>
      <c r="L60" s="7"/>
      <c r="M60" s="7"/>
      <c r="N60" s="7"/>
      <c r="O60" s="7"/>
      <c r="P60" s="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1:61">
      <c r="A61" s="7"/>
      <c r="B61" s="7"/>
      <c r="C61" s="7"/>
      <c r="D61" s="7"/>
      <c r="E61" s="7"/>
      <c r="F61" s="7"/>
      <c r="G61" s="7"/>
      <c r="H61" s="7"/>
      <c r="I61" s="7"/>
      <c r="J61" s="7"/>
      <c r="K61" s="31" t="s">
        <v>64</v>
      </c>
      <c r="L61" s="31" t="s">
        <v>54</v>
      </c>
      <c r="M61" s="7"/>
      <c r="N61" s="7"/>
      <c r="O61" s="7"/>
      <c r="P61" s="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1:61">
      <c r="A62" s="7"/>
      <c r="B62" s="7"/>
      <c r="C62" s="7"/>
      <c r="D62" s="7"/>
      <c r="E62" s="7"/>
      <c r="F62" s="7"/>
      <c r="G62" s="7"/>
      <c r="H62" s="7"/>
      <c r="I62" s="7"/>
      <c r="J62" s="7"/>
      <c r="K62" s="30" t="s">
        <v>111</v>
      </c>
      <c r="L62" s="30">
        <f>SUMIFS(Database!I2:I192, Database!C2:C192, "&gt;=14:00", Database!C2:C192, "&lt;15:00")</f>
        <v>330</v>
      </c>
      <c r="M62" s="7"/>
      <c r="N62" s="7"/>
      <c r="O62" s="7"/>
      <c r="P62" s="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1:61">
      <c r="A63" s="7"/>
      <c r="B63" s="7"/>
      <c r="C63" s="7"/>
      <c r="D63" s="7"/>
      <c r="E63" s="7"/>
      <c r="F63" s="7"/>
      <c r="G63" s="7"/>
      <c r="H63" s="7"/>
      <c r="I63" s="7"/>
      <c r="J63" s="7"/>
      <c r="K63" s="30" t="s">
        <v>66</v>
      </c>
      <c r="L63" s="30">
        <f>SUMIFS(Database!I2:I192, Database!C2:C192, "&gt;=15:00", Database!C2:C192, "&lt;15:30")</f>
        <v>330</v>
      </c>
      <c r="M63" s="7"/>
      <c r="N63" s="7"/>
      <c r="O63" s="7"/>
      <c r="P63" s="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1:61">
      <c r="A64" s="7"/>
      <c r="B64" s="7"/>
      <c r="C64" s="7"/>
      <c r="D64" s="7"/>
      <c r="E64" s="7"/>
      <c r="F64" s="7"/>
      <c r="G64" s="7"/>
      <c r="H64" s="7"/>
      <c r="I64" s="7"/>
      <c r="J64" s="7"/>
      <c r="K64" s="30" t="s">
        <v>67</v>
      </c>
      <c r="L64" s="30">
        <f>SUMIFS(Database!I2:I192, Database!C2:C192, "&gt;=15:30", Database!C2:C192, "&lt;16:00")</f>
        <v>-330</v>
      </c>
      <c r="M64" s="7"/>
      <c r="N64" s="7"/>
      <c r="O64" s="7"/>
      <c r="P64" s="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1:61">
      <c r="A65" s="7"/>
      <c r="B65" s="7"/>
      <c r="C65" s="7"/>
      <c r="D65" s="7"/>
      <c r="E65" s="7"/>
      <c r="F65" s="7"/>
      <c r="G65" s="7"/>
      <c r="H65" s="7"/>
      <c r="I65" s="7"/>
      <c r="J65" s="7"/>
      <c r="K65" s="30" t="s">
        <v>68</v>
      </c>
      <c r="L65" s="30">
        <f>SUMIFS(Database!I2:I192, Database!C2:C192, "&gt;=16:00", Database!C2:C192, "&lt;16:30")</f>
        <v>0</v>
      </c>
      <c r="M65" s="7"/>
      <c r="N65" s="7"/>
      <c r="O65" s="7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1:61">
      <c r="A66" s="7"/>
      <c r="B66" s="7"/>
      <c r="C66" s="7"/>
      <c r="D66" s="7"/>
      <c r="E66" s="7"/>
      <c r="F66" s="7"/>
      <c r="G66" s="7"/>
      <c r="H66" s="7"/>
      <c r="I66" s="7"/>
      <c r="J66" s="7"/>
      <c r="K66" s="30" t="s">
        <v>69</v>
      </c>
      <c r="L66" s="30">
        <f>SUMIFS(Database!I2:I192, Database!C2:C192, "&gt;=16:30", Database!C2:C192, "&lt;17:00")</f>
        <v>330</v>
      </c>
      <c r="M66" s="7"/>
      <c r="N66" s="7"/>
      <c r="O66" s="7"/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1:61">
      <c r="A67" s="7"/>
      <c r="B67" s="7"/>
      <c r="C67" s="7"/>
      <c r="D67" s="7"/>
      <c r="E67" s="7"/>
      <c r="F67" s="7"/>
      <c r="G67" s="7"/>
      <c r="H67" s="7"/>
      <c r="I67" s="7"/>
      <c r="J67" s="7"/>
      <c r="K67" s="30" t="s">
        <v>70</v>
      </c>
      <c r="L67" s="30">
        <f>SUMIFS(Database!I2:I192, Database!C2:C192, "&gt;=17:00", Database!C2:C192, "&lt;18:00")</f>
        <v>-330</v>
      </c>
      <c r="M67" s="7"/>
      <c r="N67" s="7"/>
      <c r="O67" s="7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1:6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1:6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1:6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1:6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1:6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1:6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1:61">
      <c r="A74" s="31" t="s">
        <v>131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1:61">
      <c r="A75" s="5"/>
      <c r="B75" s="31" t="s">
        <v>0</v>
      </c>
      <c r="C75" s="31" t="s">
        <v>109</v>
      </c>
      <c r="D75" s="31" t="s">
        <v>110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1:61">
      <c r="A76" s="5"/>
      <c r="B76" s="30" t="s">
        <v>15</v>
      </c>
      <c r="C76" s="30">
        <f>COUNTIF(Database!A2:A192, "Lunedi")</f>
        <v>0</v>
      </c>
      <c r="D76" s="30">
        <f>COUNTIFS(Database!A2:A192, "Lunedi", Database!K2:K192, "SL")</f>
        <v>0</v>
      </c>
      <c r="E76" s="7"/>
      <c r="F76" s="7"/>
      <c r="G76" s="7"/>
      <c r="H76" s="7"/>
      <c r="I76" s="31" t="s">
        <v>130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1:61">
      <c r="A77" s="5"/>
      <c r="B77" s="30" t="s">
        <v>50</v>
      </c>
      <c r="C77" s="30">
        <f>COUNTIF(Database!A2:A193, "Martedì")</f>
        <v>3</v>
      </c>
      <c r="D77" s="30">
        <f>COUNTIFS(Database!A2:A192, "Martedì", Database!K2:K192, "SL")</f>
        <v>1</v>
      </c>
      <c r="E77" s="7"/>
      <c r="F77" s="7"/>
      <c r="G77" s="7"/>
      <c r="H77" s="7"/>
      <c r="I77" s="7"/>
      <c r="J77" s="31" t="s">
        <v>64</v>
      </c>
      <c r="K77" s="31" t="s">
        <v>96</v>
      </c>
      <c r="L77" s="31" t="s">
        <v>108</v>
      </c>
      <c r="M77" s="7"/>
      <c r="N77" s="5"/>
      <c r="O77" s="5"/>
      <c r="P77" s="5"/>
      <c r="Q77" s="5"/>
      <c r="R77" s="7"/>
      <c r="S77" s="7"/>
      <c r="T77" s="7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1:61">
      <c r="A78" s="5"/>
      <c r="B78" s="30" t="s">
        <v>51</v>
      </c>
      <c r="C78" s="30">
        <f>COUNTIF(Database!A3:A194, "Mercoledì")</f>
        <v>0</v>
      </c>
      <c r="D78" s="30">
        <f>COUNTIFS(Database!A2:A192, "Mercoledì", Database!K2:K192, "SL")</f>
        <v>0</v>
      </c>
      <c r="E78" s="7"/>
      <c r="F78" s="7"/>
      <c r="G78" s="7"/>
      <c r="H78" s="7"/>
      <c r="I78" s="7"/>
      <c r="J78" s="30" t="s">
        <v>65</v>
      </c>
      <c r="K78" s="30">
        <f>COUNTIFS(Database!K2:K192,"SL", Database!C2:C192, "&gt;=14:00", Database!C2:C192, "&lt;15:00")</f>
        <v>0</v>
      </c>
      <c r="L78" s="30">
        <f>COUNTIFS(Database!C2:C192, "&gt;=14:00", Database!C2:C192, "&lt;15:00")</f>
        <v>1</v>
      </c>
      <c r="M78" s="7"/>
      <c r="N78" s="5"/>
      <c r="O78" s="5"/>
      <c r="P78" s="5"/>
      <c r="Q78" s="5"/>
      <c r="R78" s="7"/>
      <c r="S78" s="7"/>
      <c r="T78" s="7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1:61">
      <c r="A79" s="5"/>
      <c r="B79" s="30" t="s">
        <v>52</v>
      </c>
      <c r="C79" s="30">
        <f>COUNTIF(Database!A4:A195, "Giovedì")</f>
        <v>0</v>
      </c>
      <c r="D79" s="30">
        <f>COUNTIFS(Database!A2:A192, "Giovedì", Database!K2:K192, "SL")</f>
        <v>0</v>
      </c>
      <c r="E79" s="7"/>
      <c r="F79" s="7"/>
      <c r="G79" s="7"/>
      <c r="H79" s="7"/>
      <c r="I79" s="7"/>
      <c r="J79" s="30" t="s">
        <v>66</v>
      </c>
      <c r="K79" s="30">
        <f>COUNTIFS(Database!K2:K192,"SL", Database!C2:C192, "&gt;=15:00", Database!C2:C192, "&lt;15:30")</f>
        <v>0</v>
      </c>
      <c r="L79" s="30">
        <f>COUNTIFS(Database!C2:C192, "&gt;=15:00", Database!C2:C192, "&lt;15:30")</f>
        <v>1</v>
      </c>
      <c r="M79" s="7"/>
      <c r="N79" s="5"/>
      <c r="O79" s="5"/>
      <c r="P79" s="5"/>
      <c r="Q79" s="5"/>
      <c r="R79" s="7"/>
      <c r="S79" s="7"/>
      <c r="T79" s="7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1:61">
      <c r="A80" s="5"/>
      <c r="B80" s="30" t="s">
        <v>53</v>
      </c>
      <c r="C80" s="30">
        <f>COUNTIF(Database!A5:A196, "Venerdì")</f>
        <v>1</v>
      </c>
      <c r="D80" s="30">
        <f>COUNTIFS(Database!A2:A192, "Venerdì", Database!K2:K192, "SL")</f>
        <v>1</v>
      </c>
      <c r="E80" s="7"/>
      <c r="F80" s="7"/>
      <c r="G80" s="7"/>
      <c r="H80" s="7"/>
      <c r="I80" s="7"/>
      <c r="J80" s="30" t="s">
        <v>67</v>
      </c>
      <c r="K80" s="30">
        <f>COUNTIFS(Database!K2:K192,"SL", Database!C2:C192, "&gt;=15:30", Database!C2:C192, "&lt;16:00")</f>
        <v>1</v>
      </c>
      <c r="L80" s="30">
        <f>COUNTIFS(Database!C2:C192, "&gt;=15:30", Database!C2:C192, "&lt;16:00")</f>
        <v>1</v>
      </c>
      <c r="M80" s="7"/>
      <c r="N80" s="5"/>
      <c r="O80" s="5"/>
      <c r="P80" s="5"/>
      <c r="Q80" s="5"/>
      <c r="R80" s="7"/>
      <c r="S80" s="7"/>
      <c r="T80" s="7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1:61">
      <c r="A81" s="7"/>
      <c r="B81" s="7"/>
      <c r="C81" s="7"/>
      <c r="D81" s="7"/>
      <c r="E81" s="7"/>
      <c r="F81" s="7"/>
      <c r="G81" s="7"/>
      <c r="H81" s="7"/>
      <c r="I81" s="7"/>
      <c r="J81" s="30" t="s">
        <v>68</v>
      </c>
      <c r="K81" s="30">
        <f>COUNTIFS(Database!K2:K192,"SL", Database!C2:C192, "&gt;=16:00", Database!C2:C192, "&lt;16:30")</f>
        <v>0</v>
      </c>
      <c r="L81" s="30">
        <f>COUNTIFS(Database!C2:C192, "&gt;=16:00", Database!C2:C192, "&lt;16:30")</f>
        <v>1</v>
      </c>
      <c r="M81" s="7"/>
      <c r="N81" s="5"/>
      <c r="O81" s="5"/>
      <c r="P81" s="5"/>
      <c r="Q81" s="5"/>
      <c r="R81" s="7"/>
      <c r="S81" s="7"/>
      <c r="T81" s="7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1:61">
      <c r="A82" s="7"/>
      <c r="B82" s="7"/>
      <c r="C82" s="7"/>
      <c r="D82" s="7"/>
      <c r="E82" s="7"/>
      <c r="F82" s="7"/>
      <c r="G82" s="7"/>
      <c r="H82" s="7"/>
      <c r="I82" s="7"/>
      <c r="J82" s="30" t="s">
        <v>69</v>
      </c>
      <c r="K82" s="30">
        <f>COUNTIFS(Database!K2:K192,"SL", Database!C2:C192, "&gt;=16:30", Database!C2:C192, "&lt;17:00")</f>
        <v>0</v>
      </c>
      <c r="L82" s="30">
        <f>COUNTIFS(Database!C2:C192, "&gt;=16:30", Database!C2:C192, "&lt;17:00")</f>
        <v>1</v>
      </c>
      <c r="M82" s="7"/>
      <c r="N82" s="5"/>
      <c r="O82" s="5"/>
      <c r="P82" s="5"/>
      <c r="Q82" s="5"/>
      <c r="R82" s="7"/>
      <c r="S82" s="7"/>
      <c r="T82" s="7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  <row r="83" spans="1:61">
      <c r="A83" s="7"/>
      <c r="B83" s="7"/>
      <c r="C83" s="7"/>
      <c r="D83" s="7"/>
      <c r="E83" s="7"/>
      <c r="F83" s="7"/>
      <c r="G83" s="7"/>
      <c r="H83" s="7"/>
      <c r="I83" s="7"/>
      <c r="J83" s="30" t="s">
        <v>70</v>
      </c>
      <c r="K83" s="30">
        <f>COUNTIFS(Database!K2:K192,"SL", Database!C2:C192, "&gt;=17:00", Database!C2:C192, "&lt;18:00")</f>
        <v>1</v>
      </c>
      <c r="L83" s="30">
        <f>COUNTIFS(Database!C2:C192, "&gt;=17:00", Database!C2:C192, "&lt;18:00")</f>
        <v>2</v>
      </c>
      <c r="M83" s="7"/>
      <c r="N83" s="5"/>
      <c r="O83" s="5"/>
      <c r="P83" s="5"/>
      <c r="Q83" s="5"/>
      <c r="R83" s="7"/>
      <c r="S83" s="7"/>
      <c r="T83" s="7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</row>
    <row r="84" spans="1:6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5"/>
      <c r="O84" s="5"/>
      <c r="P84" s="5"/>
      <c r="Q84" s="5"/>
      <c r="R84" s="7"/>
      <c r="S84" s="7"/>
      <c r="T84" s="7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</row>
    <row r="85" spans="1:6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</row>
    <row r="86" spans="1:6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</row>
    <row r="87" spans="1:6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</row>
    <row r="88" spans="1:6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</row>
    <row r="89" spans="1:6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</row>
    <row r="90" spans="1:6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</row>
    <row r="91" spans="1:6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</row>
    <row r="92" spans="1:6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</row>
    <row r="93" spans="1:6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</row>
    <row r="94" spans="1:6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</row>
    <row r="95" spans="1:6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</row>
    <row r="96" spans="1:6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</row>
    <row r="97" spans="1:6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</row>
    <row r="98" spans="1:6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</row>
    <row r="99" spans="1:6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5"/>
      <c r="BG99" s="5"/>
      <c r="BH99" s="5"/>
      <c r="BI99" s="5"/>
    </row>
    <row r="100" spans="1:61">
      <c r="A100" s="5" t="s">
        <v>72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>
      <c r="A103" s="5"/>
      <c r="B103" s="31" t="s">
        <v>132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>
      <c r="A104" s="5"/>
      <c r="B104" s="5"/>
      <c r="C104" s="31" t="s">
        <v>32</v>
      </c>
      <c r="D104" s="31" t="s">
        <v>73</v>
      </c>
      <c r="E104" s="31" t="s">
        <v>61</v>
      </c>
      <c r="F104" s="31" t="s">
        <v>74</v>
      </c>
      <c r="G104" s="31" t="s">
        <v>75</v>
      </c>
      <c r="H104" s="31" t="s">
        <v>76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>
      <c r="A105" s="5"/>
      <c r="B105" s="5"/>
      <c r="C105" s="30" t="s">
        <v>17</v>
      </c>
      <c r="D105" s="30">
        <f>SUMIF(Database!F2:F192, "candela iniziative", Database!I2:I192)</f>
        <v>0</v>
      </c>
      <c r="E105" s="30">
        <f>COUNTIF(Database!F2:F192, "candela iniziative")</f>
        <v>0</v>
      </c>
      <c r="F105" s="30">
        <f>COUNTIFS(Database!F2:F192, "candela iniziative", Database!I2:I192, "&lt;0")</f>
        <v>0</v>
      </c>
      <c r="G105" s="30">
        <f>COUNTIFS(Database!F2:F192, "candela iniziative", Database!I2:I192, "&gt;0")</f>
        <v>0</v>
      </c>
      <c r="H105" s="30">
        <f>COUNTIFS(Database!F2:F192, "candela iniziative", Database!I2:I192, "=0")</f>
        <v>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>
      <c r="A106" s="5"/>
      <c r="B106" s="5"/>
      <c r="C106" s="30" t="s">
        <v>21</v>
      </c>
      <c r="D106" s="30">
        <f>SUMIF(Database!F2:F192, "CVD divergenze ", Database!I2:I192)</f>
        <v>330</v>
      </c>
      <c r="E106" s="30">
        <f>COUNTIF(Database!F2:F192, "CVD divergenze ")</f>
        <v>7</v>
      </c>
      <c r="F106" s="30">
        <f>COUNTIFS(Database!F2:F192, "CVD divergenze ", Database!I2:I192, "&lt;0")</f>
        <v>2</v>
      </c>
      <c r="G106" s="30">
        <f>COUNTIFS(Database!F2:F192, "CVD divergenze ", Database!I2:I192, "&gt;0")</f>
        <v>3</v>
      </c>
      <c r="H106" s="30">
        <f>COUNTIFS(Database!F2:F192, "CVD divergenze ", Database!I2:I192, "=0")</f>
        <v>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2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>
      <c r="A107" s="5"/>
      <c r="B107" s="5"/>
      <c r="C107" s="30" t="s">
        <v>36</v>
      </c>
      <c r="D107" s="30">
        <f>SUMIF(Database!F2:F192, "EngulfishDivergenze", Database!I2:I192)</f>
        <v>0</v>
      </c>
      <c r="E107" s="30">
        <f>COUNTIF(Database!F2:F192, "EngulfishDivergenze")</f>
        <v>0</v>
      </c>
      <c r="F107" s="30">
        <f>COUNTIFS(Database!F2:F192, "EngulfishDivergenze", Database!I2:I192, "&lt;0")</f>
        <v>0</v>
      </c>
      <c r="G107" s="30">
        <f>COUNTIFS(Database!F2:F192, "EngulfishDivergenze", Database!I2:I192, "&gt;0")</f>
        <v>0</v>
      </c>
      <c r="H107" s="30">
        <f>COUNTIFS(Database!F2:F192, "EngulfishDivergenze", Database!I2:I192, "=0")</f>
        <v>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>
      <c r="A108" s="5"/>
      <c r="B108" s="5"/>
      <c r="C108" s="30" t="s">
        <v>37</v>
      </c>
      <c r="D108" s="30">
        <f>SUMIF(Database!F2:F192, "B", Database!I2:I192)</f>
        <v>0</v>
      </c>
      <c r="E108" s="30">
        <f>COUNTIF(Database!F2:F192, "B")</f>
        <v>0</v>
      </c>
      <c r="F108" s="30">
        <f>COUNTIFS(Database!F2:F192, "B", Database!I2:I192, "&lt;0")</f>
        <v>0</v>
      </c>
      <c r="G108" s="30">
        <f>COUNTIFS(Database!F2:F192, "B", Database!I2:I192, "&gt;0")</f>
        <v>0</v>
      </c>
      <c r="H108" s="30">
        <f>COUNTIFS(Database!F2:F192, "B", Database!I2:I192, "=0")</f>
        <v>0</v>
      </c>
      <c r="I108" s="5"/>
      <c r="J108" s="5"/>
      <c r="K108" s="5"/>
      <c r="L108" s="5"/>
      <c r="M108" s="5"/>
      <c r="N108" s="5"/>
      <c r="O108" s="5"/>
      <c r="P108" s="5"/>
      <c r="Q108" s="5"/>
      <c r="R108" s="25" t="s">
        <v>113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>
      <c r="A113" s="5"/>
      <c r="B113" s="5"/>
      <c r="C113" s="5"/>
      <c r="D113" s="5"/>
      <c r="E113" s="5"/>
      <c r="F113" s="5"/>
      <c r="G113" s="2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>
      <c r="A117" s="5"/>
      <c r="B117" s="31" t="s">
        <v>133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  <row r="118" spans="1:61">
      <c r="A118" s="5"/>
      <c r="B118" s="5"/>
      <c r="C118" s="31" t="s">
        <v>2</v>
      </c>
      <c r="D118" s="31" t="s">
        <v>77</v>
      </c>
      <c r="E118" s="31" t="s">
        <v>78</v>
      </c>
      <c r="F118" s="3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</row>
    <row r="119" spans="1:61" s="26" customFormat="1">
      <c r="A119" s="7"/>
      <c r="B119" s="7"/>
      <c r="C119" s="30" t="s">
        <v>16</v>
      </c>
      <c r="D119" s="30">
        <f>COUNTIF(Database!E2:E192, "favore")</f>
        <v>6</v>
      </c>
      <c r="E119" s="30">
        <f>COUNTIFS(Database!E2:E192, "favore", Database!I2:I192, "&gt;0")</f>
        <v>2</v>
      </c>
      <c r="F119" s="34">
        <v>0.59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s="26" customFormat="1">
      <c r="A120" s="7"/>
      <c r="B120" s="7"/>
      <c r="C120" s="30" t="s">
        <v>31</v>
      </c>
      <c r="D120" s="30">
        <f>COUNTIF(Database!E2:E192, "contrarian")</f>
        <v>1</v>
      </c>
      <c r="E120" s="30">
        <f>COUNTIFS(Database!E2:E192, "contrarian", Database!I2:I192, "&gt;0")</f>
        <v>1</v>
      </c>
      <c r="F120" s="34">
        <v>0.55000000000000004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</row>
    <row r="122" spans="1:6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</row>
    <row r="123" spans="1:61">
      <c r="A123" s="5"/>
      <c r="B123" s="5"/>
      <c r="C123" s="5"/>
      <c r="D123" s="25" t="s">
        <v>112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</row>
    <row r="124" spans="1:6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</row>
    <row r="125" spans="1:6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</row>
    <row r="126" spans="1:6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</row>
    <row r="127" spans="1:6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</row>
    <row r="128" spans="1:6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</row>
    <row r="129" spans="1:6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</row>
    <row r="130" spans="1:6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1:61">
      <c r="A131" s="5"/>
      <c r="B131" s="31" t="s">
        <v>134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</row>
    <row r="132" spans="1:61">
      <c r="A132" s="5"/>
      <c r="B132" s="5"/>
      <c r="C132" s="30"/>
      <c r="D132" s="31" t="s">
        <v>82</v>
      </c>
      <c r="E132" s="31" t="s">
        <v>83</v>
      </c>
      <c r="F132" s="31" t="s">
        <v>81</v>
      </c>
      <c r="G132" s="31" t="s">
        <v>84</v>
      </c>
      <c r="H132" s="5"/>
      <c r="I132" s="5"/>
      <c r="J132" s="5"/>
      <c r="K132" s="5"/>
      <c r="L132" s="5"/>
      <c r="M132" s="5"/>
      <c r="N132" s="5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1:61">
      <c r="A133" s="5"/>
      <c r="B133" s="5"/>
      <c r="C133" s="30" t="s">
        <v>79</v>
      </c>
      <c r="D133" s="30">
        <f>COUNTIFS(Database!H2:H192, "discount", Database!D2:D192, "Buy")</f>
        <v>0</v>
      </c>
      <c r="E133" s="30">
        <f>COUNTIF(Database!H2:H192, "Media")</f>
        <v>5</v>
      </c>
      <c r="F133" s="30">
        <f>COUNTIFS(Database!H2:H192, "discount", Database!D2:D192, "Buy", Database!I2:I192, "&gt;0")</f>
        <v>0</v>
      </c>
      <c r="G133" s="30">
        <f>COUNTIFS(Database!H2:H192, "discount", Database!D2:D192, "Sell", Database!I2:I192, "&gt;0")</f>
        <v>0</v>
      </c>
      <c r="H133" s="5"/>
      <c r="I133" s="5"/>
      <c r="J133" s="5"/>
      <c r="K133" s="5"/>
      <c r="L133" s="5"/>
      <c r="M133" s="5"/>
      <c r="N133" s="5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1:61">
      <c r="A134" s="5"/>
      <c r="B134" s="5"/>
      <c r="C134" s="30" t="s">
        <v>80</v>
      </c>
      <c r="D134" s="30">
        <f>COUNTIFS(Database!H2:H192, "premium", Database!D2:D192, "Buy")</f>
        <v>2</v>
      </c>
      <c r="E134" s="30">
        <f>COUNTIFS(Database!H2:H192, "premium", Database!D2:D192, "Sell")</f>
        <v>0</v>
      </c>
      <c r="F134" s="30">
        <f>COUNTIFS(Database!H2:H192, "premium", Database!D2:D192, "Buy", Database!I2:I192, "&gt;0")</f>
        <v>1</v>
      </c>
      <c r="G134" s="30">
        <f>COUNTIFS(Database!H2:H192, "premium", Database!D2:D192, "Sell", Database!I2:I192, "&gt;0")</f>
        <v>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</row>
    <row r="135" spans="1:6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</row>
    <row r="136" spans="1:6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</row>
    <row r="137" spans="1:6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</row>
    <row r="138" spans="1:6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</row>
    <row r="139" spans="1:6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</row>
    <row r="140" spans="1:6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</row>
    <row r="141" spans="1:6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</row>
    <row r="142" spans="1:6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</row>
    <row r="143" spans="1:61">
      <c r="A143" s="5"/>
      <c r="B143" s="5"/>
      <c r="C143" s="5"/>
      <c r="D143" s="5"/>
      <c r="E143" s="5"/>
      <c r="F143" s="5"/>
      <c r="G143" s="5"/>
      <c r="H143" s="5"/>
      <c r="I143" s="25" t="s">
        <v>114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</row>
    <row r="144" spans="1:6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</row>
    <row r="145" spans="1:6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</row>
    <row r="146" spans="1:6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</row>
    <row r="147" spans="1:6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</row>
    <row r="148" spans="1:6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</row>
    <row r="149" spans="1:6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</row>
    <row r="150" spans="1:6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</row>
    <row r="151" spans="1:6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</row>
    <row r="152" spans="1:6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</row>
    <row r="153" spans="1:6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</row>
    <row r="154" spans="1:6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</row>
    <row r="155" spans="1:6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</row>
    <row r="156" spans="1:6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</row>
    <row r="157" spans="1:6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</row>
    <row r="158" spans="1:6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</row>
    <row r="159" spans="1:6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</row>
    <row r="160" spans="1:6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</row>
    <row r="161" spans="1: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</row>
    <row r="162" spans="1:6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</row>
    <row r="163" spans="1:6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5"/>
      <c r="BF163" s="5"/>
      <c r="BG163" s="5"/>
      <c r="BH163" s="5"/>
      <c r="BI163" s="5"/>
    </row>
    <row r="164" spans="1:61">
      <c r="A164" s="6"/>
      <c r="B164" s="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</row>
    <row r="165" spans="1:61">
      <c r="A165" s="5" t="s">
        <v>85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</row>
    <row r="166" spans="1:6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</row>
    <row r="167" spans="1:6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</row>
    <row r="168" spans="1:61">
      <c r="A168" s="5"/>
      <c r="B168" s="5"/>
      <c r="C168" s="5"/>
      <c r="D168" s="5" t="s">
        <v>86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</row>
    <row r="169" spans="1:6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</row>
    <row r="170" spans="1:6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</row>
    <row r="171" spans="1:6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</row>
    <row r="172" spans="1:6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</row>
    <row r="173" spans="1:6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</row>
    <row r="174" spans="1:6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</row>
    <row r="175" spans="1:6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</row>
    <row r="176" spans="1:6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</row>
    <row r="177" spans="1:6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</row>
    <row r="178" spans="1:6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</row>
    <row r="179" spans="1:6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</row>
    <row r="180" spans="1:6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</row>
    <row r="181" spans="1:6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</row>
    <row r="182" spans="1:6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</row>
    <row r="183" spans="1:6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</row>
    <row r="184" spans="1:6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</row>
    <row r="185" spans="1:6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</row>
    <row r="186" spans="1:6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</row>
    <row r="187" spans="1:6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</row>
    <row r="188" spans="1:6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</row>
    <row r="189" spans="1:6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</row>
    <row r="190" spans="1:6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</row>
    <row r="191" spans="1:6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</row>
    <row r="192" spans="1:6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</row>
    <row r="193" spans="1:6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</row>
    <row r="194" spans="1:6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</row>
    <row r="195" spans="1:6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5"/>
    </row>
    <row r="196" spans="1:61"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</row>
    <row r="197" spans="1:61"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</row>
    <row r="198" spans="1:61"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6360-25FA-4CCF-899B-54ACAAFAC804}">
  <dimension ref="A1:E8"/>
  <sheetViews>
    <sheetView zoomScale="205" zoomScaleNormal="205" workbookViewId="0">
      <selection activeCell="D3" sqref="D3"/>
    </sheetView>
  </sheetViews>
  <sheetFormatPr defaultRowHeight="13.8"/>
  <cols>
    <col min="1" max="1" width="25" style="5" customWidth="1"/>
    <col min="2" max="3" width="15.296875" style="5" customWidth="1"/>
    <col min="4" max="4" width="27.19921875" style="5" customWidth="1"/>
    <col min="5" max="16384" width="8.796875" style="5"/>
  </cols>
  <sheetData>
    <row r="1" spans="1:5">
      <c r="A1" s="6" t="s">
        <v>102</v>
      </c>
      <c r="B1" s="6" t="s">
        <v>104</v>
      </c>
      <c r="C1" s="6" t="s">
        <v>106</v>
      </c>
      <c r="D1" s="6" t="s">
        <v>116</v>
      </c>
    </row>
    <row r="2" spans="1:5">
      <c r="A2" s="7" t="s">
        <v>103</v>
      </c>
      <c r="B2" s="7" t="s">
        <v>107</v>
      </c>
      <c r="C2" s="7" t="s">
        <v>105</v>
      </c>
      <c r="D2" s="8">
        <v>-0.1</v>
      </c>
      <c r="E2" s="7"/>
    </row>
    <row r="3" spans="1:5">
      <c r="A3" s="7" t="s">
        <v>117</v>
      </c>
      <c r="B3" s="7" t="s">
        <v>120</v>
      </c>
      <c r="C3" s="7" t="s">
        <v>118</v>
      </c>
      <c r="D3" s="7"/>
      <c r="E3" s="7"/>
    </row>
    <row r="4" spans="1:5">
      <c r="A4" s="7" t="s">
        <v>122</v>
      </c>
      <c r="B4" s="7" t="s">
        <v>121</v>
      </c>
      <c r="C4" s="7" t="s">
        <v>123</v>
      </c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D126-05F2-4F36-8D0E-7618F199FE1F}">
  <dimension ref="A1:K202"/>
  <sheetViews>
    <sheetView topLeftCell="A2" zoomScale="40" zoomScaleNormal="40" workbookViewId="0">
      <selection activeCell="J2" sqref="J2"/>
    </sheetView>
  </sheetViews>
  <sheetFormatPr defaultRowHeight="13.8"/>
  <cols>
    <col min="1" max="1" width="17.8984375" style="7" customWidth="1"/>
    <col min="2" max="2" width="13.5" style="5" customWidth="1"/>
    <col min="3" max="6" width="22.296875" style="5" customWidth="1"/>
    <col min="7" max="8" width="22.296875" style="24" customWidth="1"/>
    <col min="9" max="9" width="8.796875" style="7"/>
    <col min="10" max="10" width="17" style="7" customWidth="1"/>
    <col min="11" max="16384" width="8.796875" style="7"/>
  </cols>
  <sheetData>
    <row r="1" spans="1:10">
      <c r="A1" s="19" t="s">
        <v>90</v>
      </c>
      <c r="B1" s="19" t="s">
        <v>6</v>
      </c>
      <c r="C1" s="19" t="s">
        <v>7</v>
      </c>
      <c r="D1" s="19" t="s">
        <v>7</v>
      </c>
      <c r="E1" s="19"/>
      <c r="F1" s="19" t="s">
        <v>97</v>
      </c>
      <c r="G1" s="22" t="s">
        <v>98</v>
      </c>
      <c r="H1" s="22"/>
      <c r="J1" s="6" t="s">
        <v>99</v>
      </c>
    </row>
    <row r="2" spans="1:10">
      <c r="B2" s="7">
        <v>330</v>
      </c>
      <c r="C2" s="7">
        <f>B2</f>
        <v>330</v>
      </c>
      <c r="D2" s="7">
        <f>330</f>
        <v>330</v>
      </c>
      <c r="E2" s="7">
        <f>D2+$I$4</f>
        <v>30330</v>
      </c>
      <c r="F2" s="7">
        <f>MAX($E$2:E2)</f>
        <v>30330</v>
      </c>
      <c r="G2" s="23">
        <f>(F2-E2)/F2</f>
        <v>0</v>
      </c>
      <c r="H2" s="23"/>
      <c r="J2" s="23">
        <f>MAX(G2:G193)</f>
        <v>7.5359599749843659E-2</v>
      </c>
    </row>
    <row r="3" spans="1:10">
      <c r="B3" s="7">
        <v>330</v>
      </c>
      <c r="C3" s="7">
        <f>B3+B2</f>
        <v>660</v>
      </c>
      <c r="D3" s="7">
        <f>660+$I5</f>
        <v>660</v>
      </c>
      <c r="E3" s="7">
        <f t="shared" ref="E3:E66" si="0">D3+$I$4</f>
        <v>30660</v>
      </c>
      <c r="F3" s="7">
        <f>MAX($E$2:E3)</f>
        <v>30660</v>
      </c>
      <c r="G3" s="23">
        <f t="shared" ref="G3:G66" si="1">(F3-E3)/F3</f>
        <v>0</v>
      </c>
      <c r="H3" s="23"/>
      <c r="I3" s="7" t="s">
        <v>100</v>
      </c>
    </row>
    <row r="4" spans="1:10">
      <c r="B4" s="7">
        <v>330</v>
      </c>
      <c r="C4" s="7">
        <f>B3+B2+B4</f>
        <v>990</v>
      </c>
      <c r="D4" s="7">
        <v>990</v>
      </c>
      <c r="E4" s="7">
        <f t="shared" si="0"/>
        <v>30990</v>
      </c>
      <c r="F4" s="7">
        <f>MAX($E$2:E4)</f>
        <v>30990</v>
      </c>
      <c r="G4" s="23">
        <f t="shared" si="1"/>
        <v>0</v>
      </c>
      <c r="H4" s="23"/>
      <c r="I4" s="7">
        <v>30000</v>
      </c>
    </row>
    <row r="5" spans="1:10">
      <c r="B5" s="7">
        <v>-330</v>
      </c>
      <c r="C5" s="7">
        <f>B2+B3+B4+B5</f>
        <v>660</v>
      </c>
      <c r="D5" s="7">
        <v>660</v>
      </c>
      <c r="E5" s="7">
        <f t="shared" si="0"/>
        <v>30660</v>
      </c>
      <c r="F5" s="7">
        <f>MAX($E$2:E5)</f>
        <v>30990</v>
      </c>
      <c r="G5" s="23">
        <f t="shared" si="1"/>
        <v>1.0648596321393998E-2</v>
      </c>
      <c r="H5" s="23"/>
    </row>
    <row r="6" spans="1:10">
      <c r="B6" s="7">
        <v>0</v>
      </c>
      <c r="C6" s="7">
        <f>B2+B3+B4+B5+B6</f>
        <v>660</v>
      </c>
      <c r="D6" s="7">
        <v>660</v>
      </c>
      <c r="E6" s="7">
        <f t="shared" si="0"/>
        <v>30660</v>
      </c>
      <c r="F6" s="7">
        <f>MAX($E$2:E6)</f>
        <v>30990</v>
      </c>
      <c r="G6" s="23">
        <f t="shared" si="1"/>
        <v>1.0648596321393998E-2</v>
      </c>
      <c r="H6" s="23"/>
    </row>
    <row r="7" spans="1:10">
      <c r="B7" s="7">
        <v>0</v>
      </c>
      <c r="C7" s="7">
        <f>B2+B3+B4+B5+B6+B7</f>
        <v>660</v>
      </c>
      <c r="D7" s="7">
        <v>660</v>
      </c>
      <c r="E7" s="7">
        <f t="shared" si="0"/>
        <v>30660</v>
      </c>
      <c r="F7" s="7">
        <f>MAX($E$2:E7)</f>
        <v>30990</v>
      </c>
      <c r="G7" s="23">
        <f t="shared" si="1"/>
        <v>1.0648596321393998E-2</v>
      </c>
      <c r="H7" s="23"/>
    </row>
    <row r="8" spans="1:10">
      <c r="B8" s="7">
        <v>330</v>
      </c>
      <c r="C8" s="7">
        <f>B2+B3+B4+B5+B6+B7+B8</f>
        <v>990</v>
      </c>
      <c r="D8" s="7">
        <v>990</v>
      </c>
      <c r="E8" s="7">
        <f t="shared" si="0"/>
        <v>30990</v>
      </c>
      <c r="F8" s="7">
        <f>MAX($E$2:E8)</f>
        <v>30990</v>
      </c>
      <c r="G8" s="23">
        <f t="shared" si="1"/>
        <v>0</v>
      </c>
      <c r="H8" s="23"/>
    </row>
    <row r="9" spans="1:10">
      <c r="B9" s="7">
        <v>-330</v>
      </c>
      <c r="C9" s="7">
        <f>B2+B3+B4+B5+B6+B7+B8+B9</f>
        <v>660</v>
      </c>
      <c r="D9" s="7">
        <v>660</v>
      </c>
      <c r="E9" s="7">
        <f t="shared" si="0"/>
        <v>30660</v>
      </c>
      <c r="F9" s="7">
        <f>MAX($E$2:E9)</f>
        <v>30990</v>
      </c>
      <c r="G9" s="23">
        <f t="shared" si="1"/>
        <v>1.0648596321393998E-2</v>
      </c>
      <c r="H9" s="23"/>
    </row>
    <row r="10" spans="1:10">
      <c r="B10" s="7">
        <v>-330</v>
      </c>
      <c r="C10" s="7">
        <f>B2+B3+B4+B5+B6+B7+B8+B9+B10</f>
        <v>330</v>
      </c>
      <c r="D10" s="7">
        <v>330</v>
      </c>
      <c r="E10" s="7">
        <f t="shared" si="0"/>
        <v>30330</v>
      </c>
      <c r="F10" s="7">
        <f>MAX($E$2:E10)</f>
        <v>30990</v>
      </c>
      <c r="G10" s="23">
        <f t="shared" si="1"/>
        <v>2.1297192642787996E-2</v>
      </c>
      <c r="H10" s="23"/>
    </row>
    <row r="11" spans="1:10">
      <c r="B11" s="7">
        <v>330</v>
      </c>
      <c r="C11" s="7">
        <f>B2+B3+B4+B5+B6+B7+B8+B9+B10+B11</f>
        <v>660</v>
      </c>
      <c r="D11" s="7">
        <v>660</v>
      </c>
      <c r="E11" s="7">
        <f t="shared" si="0"/>
        <v>30660</v>
      </c>
      <c r="F11" s="7">
        <f>MAX($E$2:E11)</f>
        <v>30990</v>
      </c>
      <c r="G11" s="23">
        <f t="shared" si="1"/>
        <v>1.0648596321393998E-2</v>
      </c>
      <c r="H11" s="23"/>
    </row>
    <row r="12" spans="1:10">
      <c r="B12" s="7">
        <v>330</v>
      </c>
      <c r="C12" s="7">
        <f>B2+B3+B4+B5+B6+B7+B8+B9+B10+B11+B12</f>
        <v>990</v>
      </c>
      <c r="D12" s="7">
        <v>990</v>
      </c>
      <c r="E12" s="7">
        <f t="shared" si="0"/>
        <v>30990</v>
      </c>
      <c r="F12" s="7">
        <f>MAX($E$2:E12)</f>
        <v>30990</v>
      </c>
      <c r="G12" s="23">
        <f t="shared" si="1"/>
        <v>0</v>
      </c>
      <c r="H12" s="23"/>
    </row>
    <row r="13" spans="1:10">
      <c r="B13" s="7">
        <v>330</v>
      </c>
      <c r="C13" s="7">
        <f>B2+B3+B4+B5+B6+B7+B8+B9+B10+B11+B12+B13</f>
        <v>1320</v>
      </c>
      <c r="D13" s="7">
        <v>1320</v>
      </c>
      <c r="E13" s="7">
        <f t="shared" si="0"/>
        <v>31320</v>
      </c>
      <c r="F13" s="7">
        <f>MAX($E$2:E13)</f>
        <v>31320</v>
      </c>
      <c r="G13" s="23">
        <f t="shared" si="1"/>
        <v>0</v>
      </c>
      <c r="H13" s="23"/>
    </row>
    <row r="14" spans="1:10">
      <c r="B14" s="7">
        <v>-330</v>
      </c>
      <c r="C14" s="7">
        <f>B2+B3+B4+B5+B6+B7+B8+B9+B10+B11+B12+B13+B14</f>
        <v>990</v>
      </c>
      <c r="D14" s="7">
        <v>990</v>
      </c>
      <c r="E14" s="7">
        <f t="shared" si="0"/>
        <v>30990</v>
      </c>
      <c r="F14" s="7">
        <f>MAX($E$2:E14)</f>
        <v>31320</v>
      </c>
      <c r="G14" s="23">
        <f t="shared" si="1"/>
        <v>1.0536398467432951E-2</v>
      </c>
      <c r="H14" s="23"/>
    </row>
    <row r="15" spans="1:10">
      <c r="B15" s="7">
        <v>330</v>
      </c>
      <c r="C15" s="7">
        <f>B2+B3+B4+B5+B6+B7+B8+B9+B10+B11+B12+B13+B14+B15</f>
        <v>1320</v>
      </c>
      <c r="D15" s="7">
        <v>1320</v>
      </c>
      <c r="E15" s="7">
        <f t="shared" si="0"/>
        <v>31320</v>
      </c>
      <c r="F15" s="7">
        <f>MAX($E$2:E15)</f>
        <v>31320</v>
      </c>
      <c r="G15" s="23">
        <f t="shared" si="1"/>
        <v>0</v>
      </c>
      <c r="H15" s="23"/>
    </row>
    <row r="16" spans="1:10">
      <c r="B16" s="7">
        <v>0</v>
      </c>
      <c r="C16" s="7">
        <f>B2+B3+B4+B5+B6+B7+B8+B9+B10+B11+B12+B13+B14+B15+B16</f>
        <v>1320</v>
      </c>
      <c r="D16" s="7">
        <v>1320</v>
      </c>
      <c r="E16" s="7">
        <f t="shared" si="0"/>
        <v>31320</v>
      </c>
      <c r="F16" s="7">
        <f>MAX($E$2:E16)</f>
        <v>31320</v>
      </c>
      <c r="G16" s="23">
        <f t="shared" si="1"/>
        <v>0</v>
      </c>
      <c r="H16" s="23"/>
    </row>
    <row r="17" spans="2:11">
      <c r="B17" s="7">
        <v>-330</v>
      </c>
      <c r="C17" s="7">
        <f>B2+B3+B4+B5+B6+B7+B8+B9+B10+B11+B12+B13+B14+B15+B16+B17</f>
        <v>990</v>
      </c>
      <c r="D17" s="7">
        <v>990</v>
      </c>
      <c r="E17" s="7">
        <f t="shared" si="0"/>
        <v>30990</v>
      </c>
      <c r="F17" s="7">
        <f>MAX($E$2:E17)</f>
        <v>31320</v>
      </c>
      <c r="G17" s="23">
        <f t="shared" si="1"/>
        <v>1.0536398467432951E-2</v>
      </c>
      <c r="H17" s="23"/>
    </row>
    <row r="18" spans="2:11">
      <c r="B18" s="7">
        <v>-330</v>
      </c>
      <c r="C18" s="7">
        <f>B2+B3+B4+B5+B6+B7+B8+B9+B10+B11+B12+B13+B14+B15+B16+B17+B18</f>
        <v>660</v>
      </c>
      <c r="D18" s="7">
        <v>660</v>
      </c>
      <c r="E18" s="7">
        <f t="shared" si="0"/>
        <v>30660</v>
      </c>
      <c r="F18" s="7">
        <f>MAX($E$2:E18)</f>
        <v>31320</v>
      </c>
      <c r="G18" s="23">
        <f t="shared" si="1"/>
        <v>2.1072796934865901E-2</v>
      </c>
      <c r="H18" s="23"/>
    </row>
    <row r="19" spans="2:11">
      <c r="B19" s="7">
        <v>330</v>
      </c>
      <c r="C19" s="7">
        <f>B2+B3+B4+B5+B6+B7+B8+B9+B10+B11+B12+B13+B14+B15+B16+B17+B18+B19</f>
        <v>990</v>
      </c>
      <c r="D19" s="7">
        <v>990</v>
      </c>
      <c r="E19" s="7">
        <f t="shared" si="0"/>
        <v>30990</v>
      </c>
      <c r="F19" s="7">
        <f>MAX($E$2:E19)</f>
        <v>31320</v>
      </c>
      <c r="G19" s="23">
        <f t="shared" si="1"/>
        <v>1.0536398467432951E-2</v>
      </c>
      <c r="H19" s="23"/>
    </row>
    <row r="20" spans="2:11">
      <c r="B20" s="7">
        <v>-330</v>
      </c>
      <c r="C20" s="7">
        <f>B2+B3+B4+B5+B6+B7+B8+B9+B10+B11+B12+B13+B14+B15+B16+B17+B18+B19+B20</f>
        <v>660</v>
      </c>
      <c r="D20" s="7">
        <v>660</v>
      </c>
      <c r="E20" s="7">
        <f t="shared" si="0"/>
        <v>30660</v>
      </c>
      <c r="F20" s="7">
        <f>MAX($E$2:E20)</f>
        <v>31320</v>
      </c>
      <c r="G20" s="23">
        <f t="shared" si="1"/>
        <v>2.1072796934865901E-2</v>
      </c>
      <c r="H20" s="23"/>
    </row>
    <row r="21" spans="2:11">
      <c r="B21" s="7">
        <v>330</v>
      </c>
      <c r="C21" s="7">
        <f>B2+B3+B4+B5+B6+B7+B8+B9+B10+B11+B12+B13+B14+B15+B16+B17+B18+B19+B20+B21</f>
        <v>990</v>
      </c>
      <c r="D21" s="7">
        <v>990</v>
      </c>
      <c r="E21" s="7">
        <f t="shared" si="0"/>
        <v>30990</v>
      </c>
      <c r="F21" s="7">
        <f>MAX($E$2:E21)</f>
        <v>31320</v>
      </c>
      <c r="G21" s="23">
        <f t="shared" si="1"/>
        <v>1.0536398467432951E-2</v>
      </c>
      <c r="H21" s="23"/>
    </row>
    <row r="22" spans="2:11">
      <c r="B22" s="7">
        <v>330</v>
      </c>
      <c r="C22" s="7">
        <f>B2+B3+B4+B5+B6+B7+B8+B9+B10+B11+B12+B13+B14+B15+B16+B17+B18+B19+B20+B21+B22</f>
        <v>1320</v>
      </c>
      <c r="D22" s="7">
        <v>1320</v>
      </c>
      <c r="E22" s="7">
        <f t="shared" si="0"/>
        <v>31320</v>
      </c>
      <c r="F22" s="7">
        <f>MAX($E$2:E22)</f>
        <v>31320</v>
      </c>
      <c r="G22" s="23">
        <f t="shared" si="1"/>
        <v>0</v>
      </c>
      <c r="H22" s="23"/>
    </row>
    <row r="23" spans="2:11">
      <c r="B23" s="7">
        <v>330</v>
      </c>
      <c r="C23" s="7">
        <f>B2+B3+B4+B5+B6+B7+B8+B9+B10+B11+B12+B13+B14+B15+B16+B17+B18+B19+B20+B21+B22+B23</f>
        <v>1650</v>
      </c>
      <c r="D23" s="7">
        <v>1650</v>
      </c>
      <c r="E23" s="7">
        <f t="shared" si="0"/>
        <v>31650</v>
      </c>
      <c r="F23" s="7">
        <f>MAX($E$2:E23)</f>
        <v>31650</v>
      </c>
      <c r="G23" s="23">
        <f t="shared" si="1"/>
        <v>0</v>
      </c>
      <c r="H23" s="23"/>
    </row>
    <row r="24" spans="2:11">
      <c r="B24" s="7">
        <v>-330</v>
      </c>
      <c r="C24" s="7">
        <f>B2+B3+B4+B5+B6+B7+B8+B9+B10+B11+B12+B13+B14+B15+B16+B17+B18+B19+B20+B21+B22+B23+B24</f>
        <v>1320</v>
      </c>
      <c r="D24" s="7">
        <v>1320</v>
      </c>
      <c r="E24" s="7">
        <f t="shared" si="0"/>
        <v>31320</v>
      </c>
      <c r="F24" s="7">
        <f>MAX($E$2:E24)</f>
        <v>31650</v>
      </c>
      <c r="G24" s="23">
        <f t="shared" si="1"/>
        <v>1.042654028436019E-2</v>
      </c>
      <c r="H24" s="23"/>
      <c r="K24" s="7" t="s">
        <v>73</v>
      </c>
    </row>
    <row r="25" spans="2:11">
      <c r="B25" s="7">
        <v>330</v>
      </c>
      <c r="C25" s="7">
        <f>B2+B3+B4+B5+B6+B7+B8+B9+B10+B11+B12+B13+B14+B15+B16+B17+B18+B19+B20+B21+B22+B23+B24+B25</f>
        <v>1650</v>
      </c>
      <c r="D25" s="7">
        <v>1650</v>
      </c>
      <c r="E25" s="7">
        <f t="shared" si="0"/>
        <v>31650</v>
      </c>
      <c r="F25" s="7">
        <f>MAX($E$2:E25)</f>
        <v>31650</v>
      </c>
      <c r="G25" s="23">
        <f t="shared" si="1"/>
        <v>0</v>
      </c>
      <c r="H25" s="23"/>
      <c r="J25" s="7" t="s">
        <v>91</v>
      </c>
      <c r="K25" s="7">
        <f>SUM(B2:B33)</f>
        <v>660</v>
      </c>
    </row>
    <row r="26" spans="2:11">
      <c r="B26" s="7">
        <v>330</v>
      </c>
      <c r="C26" s="7">
        <f>B2+B3+B4+B5+B6+B7+B8+B9+B10+B11+B12+B13+B14+B15+B16+B17+B18+B19+B20+B21+B22+B23+B24+B25+B26</f>
        <v>1980</v>
      </c>
      <c r="D26" s="7">
        <v>1980</v>
      </c>
      <c r="E26" s="7">
        <f t="shared" si="0"/>
        <v>31980</v>
      </c>
      <c r="F26" s="7">
        <f>MAX($E$2:E26)</f>
        <v>31980</v>
      </c>
      <c r="G26" s="23">
        <f t="shared" si="1"/>
        <v>0</v>
      </c>
      <c r="H26" s="23"/>
      <c r="J26" s="7" t="s">
        <v>92</v>
      </c>
      <c r="K26" s="7">
        <f>SUM(B34:B67)</f>
        <v>4420</v>
      </c>
    </row>
    <row r="27" spans="2:11">
      <c r="B27" s="7">
        <v>-330</v>
      </c>
      <c r="C27" s="7">
        <f>B2+B3+B4+B5+B6+B7+B8+B9+B10+B11+B12+B13+B14+B15+B16+B17+B18+B19+B20+B21+B22+B23+B24+B25+B26+B27</f>
        <v>1650</v>
      </c>
      <c r="D27" s="7">
        <v>1650</v>
      </c>
      <c r="E27" s="7">
        <f t="shared" si="0"/>
        <v>31650</v>
      </c>
      <c r="F27" s="7">
        <f>MAX($E$2:E27)</f>
        <v>31980</v>
      </c>
      <c r="G27" s="23">
        <f t="shared" si="1"/>
        <v>1.0318949343339587E-2</v>
      </c>
      <c r="H27" s="23"/>
      <c r="J27" s="7" t="s">
        <v>93</v>
      </c>
      <c r="K27" s="7">
        <f>SUM(B68:B108)</f>
        <v>2650</v>
      </c>
    </row>
    <row r="28" spans="2:11">
      <c r="B28" s="7">
        <v>-330</v>
      </c>
      <c r="C28" s="7">
        <f>B2+B3+B4+B5+B6+B7+B8+B9+B10+B11+B12+B13+B14+B15+B16+B17+B18+B19+B20+B21+B22+B23+B24+B25+B26+B27+B28</f>
        <v>1320</v>
      </c>
      <c r="D28" s="7">
        <v>1320</v>
      </c>
      <c r="E28" s="7">
        <f t="shared" si="0"/>
        <v>31320</v>
      </c>
      <c r="F28" s="7">
        <f>MAX($E$2:E28)</f>
        <v>31980</v>
      </c>
      <c r="G28" s="23">
        <f t="shared" si="1"/>
        <v>2.0637898686679174E-2</v>
      </c>
      <c r="H28" s="23"/>
      <c r="J28" s="7" t="s">
        <v>94</v>
      </c>
      <c r="K28" s="7">
        <f>SUM(B108:B153)</f>
        <v>4570</v>
      </c>
    </row>
    <row r="29" spans="2:11">
      <c r="B29" s="7">
        <v>-330</v>
      </c>
      <c r="C29" s="7">
        <f>B2+B3+B4+B5+B6+B7+B8+B9+B10+B11+B12+B13+B14+B15+B16+B17+B18+B19+B20+B21+B22+B23+B24+B25+B26+B27+B28+B29</f>
        <v>990</v>
      </c>
      <c r="D29" s="7">
        <v>990</v>
      </c>
      <c r="E29" s="7">
        <f t="shared" si="0"/>
        <v>30990</v>
      </c>
      <c r="F29" s="7">
        <f>MAX($E$2:E29)</f>
        <v>31980</v>
      </c>
      <c r="G29" s="23">
        <f t="shared" si="1"/>
        <v>3.095684803001876E-2</v>
      </c>
      <c r="H29" s="23"/>
      <c r="J29" s="7" t="s">
        <v>95</v>
      </c>
      <c r="K29" s="7">
        <f>SUM(B154:B193)</f>
        <v>2640</v>
      </c>
    </row>
    <row r="30" spans="2:11">
      <c r="B30" s="7">
        <v>330</v>
      </c>
      <c r="C30" s="7">
        <f>B2+B3+B4+B5+B6+B7+B8+B9+B10+B11+B12+B13+B14+B15+B16+B17+B18+B19+B20+B21+B22+B23+B24+B25+B26+B27+B28+B29+B30</f>
        <v>1320</v>
      </c>
      <c r="D30" s="7">
        <v>1320</v>
      </c>
      <c r="E30" s="7">
        <f t="shared" si="0"/>
        <v>31320</v>
      </c>
      <c r="F30" s="7">
        <f>MAX($E$2:E30)</f>
        <v>31980</v>
      </c>
      <c r="G30" s="23">
        <f t="shared" si="1"/>
        <v>2.0637898686679174E-2</v>
      </c>
      <c r="H30" s="23"/>
    </row>
    <row r="31" spans="2:11">
      <c r="B31" s="7">
        <v>-330</v>
      </c>
      <c r="C31" s="7">
        <f>B2+B3+B4+B5+B6+B7+B8+B9+B10+B11+B12+B13+B14+B15+B16+B17+B18+B19+B20+B21+B22+B23+B24+B25+B26+B27+B28+B29+B30+B31</f>
        <v>990</v>
      </c>
      <c r="D31" s="7">
        <v>990</v>
      </c>
      <c r="E31" s="7">
        <f t="shared" si="0"/>
        <v>30990</v>
      </c>
      <c r="F31" s="7">
        <f>MAX($E$2:E31)</f>
        <v>31980</v>
      </c>
      <c r="G31" s="23">
        <f t="shared" si="1"/>
        <v>3.095684803001876E-2</v>
      </c>
      <c r="H31" s="23"/>
    </row>
    <row r="32" spans="2:11">
      <c r="B32" s="7">
        <v>0</v>
      </c>
      <c r="C32" s="7">
        <f>B2+B3+B4+B5+B6+B7+B8+B9+B10+B11+B12+B13+B14+B15+B16+B17+B18+B19+B20+B21+B22+B23+B24+B25+B26+B27+B28+B29+B30+B31+B32</f>
        <v>990</v>
      </c>
      <c r="D32" s="7">
        <v>990</v>
      </c>
      <c r="E32" s="7">
        <f t="shared" si="0"/>
        <v>30990</v>
      </c>
      <c r="F32" s="7">
        <f>MAX($E$2:E32)</f>
        <v>31980</v>
      </c>
      <c r="G32" s="23">
        <f t="shared" si="1"/>
        <v>3.095684803001876E-2</v>
      </c>
      <c r="H32" s="23"/>
    </row>
    <row r="33" spans="2:8">
      <c r="B33" s="7">
        <v>-330</v>
      </c>
      <c r="C33" s="7">
        <f>B2+B3+B4+B5+B6+B7+B8+B9+B10+B11+B12+B13+B14+B15+B16+B17+B18+B19+B20+B21+B22+B23+B24+B25+B26+B27+B28+B29+B30+B31+B32+B33</f>
        <v>660</v>
      </c>
      <c r="D33" s="7">
        <v>660</v>
      </c>
      <c r="E33" s="7">
        <f t="shared" si="0"/>
        <v>30660</v>
      </c>
      <c r="F33" s="7">
        <f>MAX($E$2:E33)</f>
        <v>31980</v>
      </c>
      <c r="G33" s="23">
        <f t="shared" si="1"/>
        <v>4.1275797373358347E-2</v>
      </c>
      <c r="H33" s="23"/>
    </row>
    <row r="34" spans="2:8">
      <c r="B34" s="7">
        <v>-210</v>
      </c>
      <c r="C34" s="7">
        <f>B34+B2+B3+B4+B5+B6+B7+B8+B9+B10+B11+B12+B13+B14+B15+B16+B17+B18+B19+B20+B21+B22+B23+B24+B25+B26+B27+B28+B29+B30+B31+B32+B33</f>
        <v>450</v>
      </c>
      <c r="D34" s="7">
        <v>450</v>
      </c>
      <c r="E34" s="7">
        <f t="shared" si="0"/>
        <v>30450</v>
      </c>
      <c r="F34" s="7">
        <f>MAX($E$2:E34)</f>
        <v>31980</v>
      </c>
      <c r="G34" s="23">
        <f t="shared" si="1"/>
        <v>4.7842401500938089E-2</v>
      </c>
      <c r="H34" s="23"/>
    </row>
    <row r="35" spans="2:8">
      <c r="B35" s="7">
        <v>-280</v>
      </c>
      <c r="C35" s="7">
        <f>B34+B35+B2+B3+B4+B5+B6+B7+B8+B9+B10+B11+B12+B13+B14+B15+B16+B17+B18+B19+B20+B21+B22+B23+B24+B25+B26+B27+B28+B29+B30+B31+B32+B33</f>
        <v>170</v>
      </c>
      <c r="D35" s="7">
        <v>170</v>
      </c>
      <c r="E35" s="7">
        <f t="shared" si="0"/>
        <v>30170</v>
      </c>
      <c r="F35" s="7">
        <f>MAX($E$2:E35)</f>
        <v>31980</v>
      </c>
      <c r="G35" s="23">
        <f t="shared" si="1"/>
        <v>5.6597873671044401E-2</v>
      </c>
      <c r="H35" s="23"/>
    </row>
    <row r="36" spans="2:8">
      <c r="B36" s="7">
        <v>0</v>
      </c>
      <c r="C36" s="7">
        <f>B35+B36+B34+B2+B3+B4+B5+B6+B7+B8+B9+B10+B11+B12+B13+B14+B15+B16+B17+B18+B19+B20+B21+B22+B23+B24+B25+B26+B27+B28+B29+B30+B31+B32+B33</f>
        <v>170</v>
      </c>
      <c r="D36" s="7">
        <v>170</v>
      </c>
      <c r="E36" s="7">
        <f t="shared" si="0"/>
        <v>30170</v>
      </c>
      <c r="F36" s="7">
        <f>MAX($E$2:E36)</f>
        <v>31980</v>
      </c>
      <c r="G36" s="23">
        <f t="shared" si="1"/>
        <v>5.6597873671044401E-2</v>
      </c>
      <c r="H36" s="23"/>
    </row>
    <row r="37" spans="2:8">
      <c r="B37" s="7">
        <v>-320</v>
      </c>
      <c r="C37" s="7">
        <f>B36+B37+B35+B34+B2+B3+B4+B5+B6+B7+B8+B9+B10+B11+B12+B13+B14+B15+B16+B17+B18+B19+B20+B21+B22+B23+B24+B25+B26+B27+B28+B29+B30+B31+B32+B33</f>
        <v>-150</v>
      </c>
      <c r="D37" s="7">
        <v>-150</v>
      </c>
      <c r="E37" s="7">
        <f t="shared" si="0"/>
        <v>29850</v>
      </c>
      <c r="F37" s="7">
        <f>MAX($E$2:E37)</f>
        <v>31980</v>
      </c>
      <c r="G37" s="23">
        <f t="shared" si="1"/>
        <v>6.6604127579737341E-2</v>
      </c>
      <c r="H37" s="23"/>
    </row>
    <row r="38" spans="2:8">
      <c r="B38" s="7">
        <v>250</v>
      </c>
      <c r="C38" s="7">
        <f>B37+B38+B36+B34+B35+B2+B3+B4+B5+B6+B7+B8+B9+B10+B11+B12+B13+B14+B15+B16+B17+B18+B19+B20+B21+B22+B23+B24+B25+B26+B27+B28+B29+B30+B31+B32+B33</f>
        <v>100</v>
      </c>
      <c r="D38" s="7">
        <v>100</v>
      </c>
      <c r="E38" s="7">
        <f t="shared" si="0"/>
        <v>30100</v>
      </c>
      <c r="F38" s="7">
        <f>MAX($E$2:E38)</f>
        <v>31980</v>
      </c>
      <c r="G38" s="23">
        <f t="shared" si="1"/>
        <v>5.8786741713570984E-2</v>
      </c>
      <c r="H38" s="23"/>
    </row>
    <row r="39" spans="2:8">
      <c r="B39" s="7">
        <v>-250</v>
      </c>
      <c r="C39" s="7">
        <f>B38+B39+B37+B35+B36+B34+B2+B3+B4+B5+B6+B7+B8+B9+B10+B11+B12+B13+B14+B15+B16+B17+B18+B19+B20+B21+B22+B23+B24+B25+B26+B27+B28+B29+B30+B31+B32+B33</f>
        <v>-150</v>
      </c>
      <c r="D39" s="7">
        <v>-150</v>
      </c>
      <c r="E39" s="7">
        <f t="shared" si="0"/>
        <v>29850</v>
      </c>
      <c r="F39" s="7">
        <f>MAX($E$2:E39)</f>
        <v>31980</v>
      </c>
      <c r="G39" s="23">
        <f t="shared" si="1"/>
        <v>6.6604127579737341E-2</v>
      </c>
      <c r="H39" s="23"/>
    </row>
    <row r="40" spans="2:8">
      <c r="B40" s="7">
        <v>-280</v>
      </c>
      <c r="C40" s="7">
        <f>B39+B40+B38+B36+B37+B35+B34+B2+B3+B4+B5+B6+B7+B8+B9+B10+B11+B12+B13+B14+B15+B16+B17+B18+B19+B20+B21+B22+B23+B24+B25+B26+B27+B28+B29+B30+B31+B32+B33</f>
        <v>-430</v>
      </c>
      <c r="D40" s="7">
        <v>-430</v>
      </c>
      <c r="E40" s="7">
        <f t="shared" si="0"/>
        <v>29570</v>
      </c>
      <c r="F40" s="7">
        <f>MAX($E$2:E40)</f>
        <v>31980</v>
      </c>
      <c r="G40" s="23">
        <f t="shared" si="1"/>
        <v>7.5359599749843659E-2</v>
      </c>
      <c r="H40" s="23"/>
    </row>
    <row r="41" spans="2:8">
      <c r="B41" s="7">
        <v>500</v>
      </c>
      <c r="C41" s="7">
        <f>B40+B41+B39+B37+B38+B36+B35+B34+B2+B3+B4+B5+B6+B7+B8+B9+B10+B11+B12+B13+B14+B15+B16+B17+B18+B19+B20+B21+B22+B23+B24+B25+B26+B27+B28+B29+B30+B31+B32+B33</f>
        <v>70</v>
      </c>
      <c r="D41" s="7">
        <v>70</v>
      </c>
      <c r="E41" s="7">
        <f t="shared" si="0"/>
        <v>30070</v>
      </c>
      <c r="F41" s="7">
        <f>MAX($E$2:E41)</f>
        <v>31980</v>
      </c>
      <c r="G41" s="23">
        <f t="shared" si="1"/>
        <v>5.9724828017510945E-2</v>
      </c>
      <c r="H41" s="23"/>
    </row>
    <row r="42" spans="2:8">
      <c r="B42" s="7">
        <v>450</v>
      </c>
      <c r="C42" s="7">
        <f>B41+B42+B40+B38+B39+B37+B36+B35+B34+B2+B3+B4+B5+B6+B7+B8+B9+B10+B11+B12+B13+B14+B15+B16+B17+B18+B19+B20+B21+B22+B23+B24+B25+B26+B27+B28+B29+B30+B31+B32+B33</f>
        <v>520</v>
      </c>
      <c r="D42" s="7">
        <v>520</v>
      </c>
      <c r="E42" s="7">
        <f t="shared" si="0"/>
        <v>30520</v>
      </c>
      <c r="F42" s="7">
        <f>MAX($E$2:E42)</f>
        <v>31980</v>
      </c>
      <c r="G42" s="23">
        <f t="shared" si="1"/>
        <v>4.5653533458411506E-2</v>
      </c>
      <c r="H42" s="23"/>
    </row>
    <row r="43" spans="2:8">
      <c r="B43" s="7">
        <v>-300</v>
      </c>
      <c r="C43" s="7">
        <f>B42+B43+B41+B39+B40+B38+B37+B36+B35+B34+B2+B3+B4+B5+B6+B7+B8+B9+B10+B11+B12+B13+B14+B15+B16+B17+B18+B19+B20+B21+B22+B23+B24+B25+B26+B27+B28+B29+B30+B31+B32+B33</f>
        <v>220</v>
      </c>
      <c r="D43" s="7">
        <v>220</v>
      </c>
      <c r="E43" s="7">
        <f t="shared" si="0"/>
        <v>30220</v>
      </c>
      <c r="F43" s="7">
        <f>MAX($E$2:E43)</f>
        <v>31980</v>
      </c>
      <c r="G43" s="23">
        <f t="shared" si="1"/>
        <v>5.5034396497811132E-2</v>
      </c>
      <c r="H43" s="23"/>
    </row>
    <row r="44" spans="2:8">
      <c r="B44" s="7">
        <v>-300</v>
      </c>
      <c r="C44" s="7">
        <f>B43+B44+B42+B40+B41+B39+B38+B37+B36+B35+B34+B2+B3+B4+B5+B6+B7+B8+B9+B10+B11+B12+B13+B14+B15+B16+B17+B18+B19+B20+B21+B22+B23+B24+B25+B26+B27+B28+B29+B30+B31+B32+B33</f>
        <v>-80</v>
      </c>
      <c r="D44" s="7">
        <v>-80</v>
      </c>
      <c r="E44" s="7">
        <f t="shared" si="0"/>
        <v>29920</v>
      </c>
      <c r="F44" s="7">
        <f>MAX($E$2:E44)</f>
        <v>31980</v>
      </c>
      <c r="G44" s="23">
        <f t="shared" si="1"/>
        <v>6.4415259537210751E-2</v>
      </c>
      <c r="H44" s="23"/>
    </row>
    <row r="45" spans="2:8">
      <c r="B45" s="7">
        <v>400</v>
      </c>
      <c r="C45" s="7">
        <f>B44+B45+B43+B41+B42+B40+B39+B38+B37+B36+B35+B34+B2+B3+B4+B5+B6+B7+B8+B9+B10+B11+B12+B13+B14+B15+B16+B17+B18+B19+B20+B21+B22+B23+B24+B25+B26+B27+B28+B29+B30+B31+B32+B33</f>
        <v>320</v>
      </c>
      <c r="D45" s="7">
        <v>320</v>
      </c>
      <c r="E45" s="7">
        <f t="shared" si="0"/>
        <v>30320</v>
      </c>
      <c r="F45" s="7">
        <f>MAX($E$2:E45)</f>
        <v>31980</v>
      </c>
      <c r="G45" s="23">
        <f t="shared" si="1"/>
        <v>5.1907442151344588E-2</v>
      </c>
      <c r="H45" s="23"/>
    </row>
    <row r="46" spans="2:8">
      <c r="B46" s="7">
        <v>350</v>
      </c>
      <c r="C46" s="7">
        <f>B45+B46+B44+B42+B43+B41+B40+B39+B38+B37+B36+B35+B34+B2+B3+B4+B5+B6+B7+B8+B9+B10+B11+B12+B13+B14+B15+B16+B17+B18+B19+B20+B21+B22+B23+B24+B25+B26+B27+B28+B29+B30+B31+B32+B33</f>
        <v>670</v>
      </c>
      <c r="D46" s="7">
        <v>670</v>
      </c>
      <c r="E46" s="7">
        <f t="shared" si="0"/>
        <v>30670</v>
      </c>
      <c r="F46" s="7">
        <f>MAX($E$2:E46)</f>
        <v>31980</v>
      </c>
      <c r="G46" s="23">
        <f t="shared" si="1"/>
        <v>4.0963101938711693E-2</v>
      </c>
      <c r="H46" s="23"/>
    </row>
    <row r="47" spans="2:8">
      <c r="B47" s="7">
        <v>350</v>
      </c>
      <c r="C47" s="7">
        <f>B46+B47+B45+B43+B44+B42+B41+B40+B39+B38+B37+B36+B35+B34+B2+B3+B4+B5+B6+B7+B8+B9+B10+B11+B12+B13+B14+B15+B16+B17+B18+B19+B20+B21+B22+B23+B24+B25+B26+B27+B28+B29+B30+B31+B32+B33</f>
        <v>1020</v>
      </c>
      <c r="D47" s="7">
        <v>1020</v>
      </c>
      <c r="E47" s="7">
        <f t="shared" si="0"/>
        <v>31020</v>
      </c>
      <c r="F47" s="7">
        <f>MAX($E$2:E47)</f>
        <v>31980</v>
      </c>
      <c r="G47" s="23">
        <f t="shared" si="1"/>
        <v>3.0018761726078799E-2</v>
      </c>
      <c r="H47" s="23"/>
    </row>
    <row r="48" spans="2:8">
      <c r="B48" s="9">
        <v>340</v>
      </c>
      <c r="C48" s="9">
        <f>B46+B47+B45+B43+B44+B42+B41+B40+B39+B38+B37+B36+B35+B34+B48+B2+B3+B4+B5+B6+B7+B8+B9+B10+B11+B12+B13+B14+B15+B16+B17+B18+B19+B20+B21+B22+B23+B24+B25+B26+B27+B28+B29+B30+B31+B32+B33</f>
        <v>1360</v>
      </c>
      <c r="D48" s="9">
        <v>1360</v>
      </c>
      <c r="E48" s="7">
        <f t="shared" si="0"/>
        <v>31360</v>
      </c>
      <c r="F48" s="7">
        <f>MAX($E$2:E48)</f>
        <v>31980</v>
      </c>
      <c r="G48" s="23">
        <f t="shared" si="1"/>
        <v>1.9387116948092559E-2</v>
      </c>
      <c r="H48" s="23"/>
    </row>
    <row r="49" spans="2:8">
      <c r="B49" s="7">
        <v>630</v>
      </c>
      <c r="C49" s="7">
        <f>B46+B47+B45+B43+B44+B42+B41+B40+B39+B38+B37+B36+B35+B34+B48+B49+B2+B3+B4+B5+B6+B7+B8+B9+B10+B11+B12+B13+B14+B15+B16+B17+B18+B19+B20+B21+B22+B23+B24+B25+B26+B27+B28+B29+B30+B31+B32+B33</f>
        <v>1990</v>
      </c>
      <c r="D49" s="7">
        <v>1990</v>
      </c>
      <c r="E49" s="7">
        <f t="shared" si="0"/>
        <v>31990</v>
      </c>
      <c r="F49" s="7">
        <f>MAX($E$2:E49)</f>
        <v>31990</v>
      </c>
      <c r="G49" s="23">
        <f t="shared" si="1"/>
        <v>0</v>
      </c>
      <c r="H49" s="23"/>
    </row>
    <row r="50" spans="2:8">
      <c r="B50" s="7">
        <v>400</v>
      </c>
      <c r="C50" s="7">
        <f>B46+B47+B45+B43+B44+B42+B41+B40+B39+B38+B37+B36+B35+B34+B48+B49+B50+B2+B3+B4+B5+B6+B7+B8+B9+B10+B11+B12+B13+B14+B15+B16+B17+B18+B19+B20+B21+B22+B23+B24+B25+B26+B27+B28+B29+B30+B31+B32+B33</f>
        <v>2390</v>
      </c>
      <c r="D50" s="7">
        <v>2390</v>
      </c>
      <c r="E50" s="7">
        <f t="shared" si="0"/>
        <v>32390</v>
      </c>
      <c r="F50" s="7">
        <f>MAX($E$2:E50)</f>
        <v>32390</v>
      </c>
      <c r="G50" s="23">
        <f t="shared" si="1"/>
        <v>0</v>
      </c>
      <c r="H50" s="23"/>
    </row>
    <row r="51" spans="2:8">
      <c r="B51" s="7">
        <v>360</v>
      </c>
      <c r="C51" s="7">
        <f>B46+B47+B45+B43+B44+B42+B41+B40+B39+B38+B37+B36+B35+B34+B48+B49+B50+B51+B2+B3+B4+B5+B6+B7+B8+B9+B10+B11+B12+B13+B14+B15+B16+B17+B18+B19+B20+B21+B22+B23+B24+B25+B26+B27+B28+B29+B30+B31+B32+B33</f>
        <v>2750</v>
      </c>
      <c r="D51" s="7">
        <v>2750</v>
      </c>
      <c r="E51" s="7">
        <f t="shared" si="0"/>
        <v>32750</v>
      </c>
      <c r="F51" s="7">
        <f>MAX($E$2:E51)</f>
        <v>32750</v>
      </c>
      <c r="G51" s="23">
        <f t="shared" si="1"/>
        <v>0</v>
      </c>
      <c r="H51" s="23"/>
    </row>
    <row r="52" spans="2:8">
      <c r="B52" s="7">
        <v>340</v>
      </c>
      <c r="C52" s="7">
        <f>B46+B47+B45+B43+B44+B42+B41+B40+B39+B38+B37+B36+B35+B34+B48+B49+B50+B51+B52+B2+B3+B4+B5+B6+B7+B8+B9+B10+B11+B12+B13+B14+B15+B16+B17+B18+B19+B20+B21+B22+B23+B24+B25+B26+B27+B28+B29+B30+B31+B32+B33</f>
        <v>3090</v>
      </c>
      <c r="D52" s="7">
        <v>3090</v>
      </c>
      <c r="E52" s="7">
        <f t="shared" si="0"/>
        <v>33090</v>
      </c>
      <c r="F52" s="7">
        <f>MAX($E$2:E52)</f>
        <v>33090</v>
      </c>
      <c r="G52" s="23">
        <f t="shared" si="1"/>
        <v>0</v>
      </c>
      <c r="H52" s="23"/>
    </row>
    <row r="53" spans="2:8">
      <c r="B53" s="7">
        <v>380</v>
      </c>
      <c r="C53" s="7">
        <f>B46+B47+B45+B43+B44+B42+B41+B40+B39+B38+B37+B36+B35+B34+B48+B49+B50+B51+B52+B53+B2+B3+B4+B5+B6+B7+B8+B9+B10+B11+B12+B13+B14+B15+B16+B17+B18+B19+B20+B21+B22+B23+B24+B25+B26+B27+B28+B29+B30+B31+B32+B33</f>
        <v>3470</v>
      </c>
      <c r="D53" s="7">
        <v>3470</v>
      </c>
      <c r="E53" s="7">
        <f t="shared" si="0"/>
        <v>33470</v>
      </c>
      <c r="F53" s="7">
        <f>MAX($E$2:E53)</f>
        <v>33470</v>
      </c>
      <c r="G53" s="23">
        <f t="shared" si="1"/>
        <v>0</v>
      </c>
      <c r="H53" s="23"/>
    </row>
    <row r="54" spans="2:8">
      <c r="B54" s="7">
        <v>300</v>
      </c>
      <c r="C54" s="7">
        <f>B46+B47+B45+B43+B44+B42+B41+B40+B39+B38+B37+B36+B35+B34+B48+B49+B50+B51+B52+B53+B54+B2+B3+B4+B5+B6+B7+B8+B9+B10+B11+B12+B13+B14+B15+B16+B17+B18+B19+B20+B21+B22+B23+B24+B25+B26+B27+B28+B29+B30+B31+B32+B33</f>
        <v>3770</v>
      </c>
      <c r="D54" s="7">
        <v>3770</v>
      </c>
      <c r="E54" s="7">
        <f t="shared" si="0"/>
        <v>33770</v>
      </c>
      <c r="F54" s="7">
        <f>MAX($E$2:E54)</f>
        <v>33770</v>
      </c>
      <c r="G54" s="23">
        <f t="shared" si="1"/>
        <v>0</v>
      </c>
      <c r="H54" s="23"/>
    </row>
    <row r="55" spans="2:8">
      <c r="B55" s="7">
        <v>260</v>
      </c>
      <c r="C55" s="7">
        <f>B46+B47+B45+B43+B44+B42+B41+B40+B39+B38+B37+B36+B35+B34+B48+B49+B50+B51+B52+B53+B54+B55+B2+B3+B4+B5+B6+B7+B8+B9+B10+B11+B12+B13+B14+B15+B16+B17+B18+B19+B20+B21+B22+B23+B24+B25+B26+B27+B28+B29+B30+B31+B32+B33</f>
        <v>4030</v>
      </c>
      <c r="D55" s="7">
        <v>4030</v>
      </c>
      <c r="E55" s="7">
        <f t="shared" si="0"/>
        <v>34030</v>
      </c>
      <c r="F55" s="7">
        <f>MAX($E$2:E55)</f>
        <v>34030</v>
      </c>
      <c r="G55" s="23">
        <f t="shared" si="1"/>
        <v>0</v>
      </c>
      <c r="H55" s="23"/>
    </row>
    <row r="56" spans="2:8">
      <c r="B56" s="7">
        <v>460</v>
      </c>
      <c r="C56" s="7">
        <f>B46+B47+B45+B43+B44+B42+B41+B40+B39+B38+B37+B36+B35+B34+B48+B49+B50+B51+B52+B53+B54+B55+B56+B2+B3+B4+B5+B6+B7+B8+B9+B10+B11+B12+B13+B14+B15+B16+B17+B18+B19+B20+B21+B22+B23+B24+B25+B26+B27+B28+B29+B30+B31+B32+B33</f>
        <v>4490</v>
      </c>
      <c r="D56" s="7">
        <v>4490</v>
      </c>
      <c r="E56" s="7">
        <f t="shared" si="0"/>
        <v>34490</v>
      </c>
      <c r="F56" s="7">
        <f>MAX($E$2:E56)</f>
        <v>34490</v>
      </c>
      <c r="G56" s="23">
        <f t="shared" si="1"/>
        <v>0</v>
      </c>
      <c r="H56" s="23"/>
    </row>
    <row r="57" spans="2:8">
      <c r="B57" s="7">
        <v>400</v>
      </c>
      <c r="C57" s="7">
        <f>B46+B47+B45+B43+B44+B42+B41+B40+B39+B38+B37+B36+B35+B34+B48+B49+B50+B51+B52+B53+B54+B55+B56+B57+B2+B3+B4+B5+B6+B7+B8+B9+B10+B11+B12+B13+B14+B15+B16+B17+B18+B19+B20+B21+B22+B23+B24+B25+B26+B27+B28+B29+B30+B31+B32+B33</f>
        <v>4890</v>
      </c>
      <c r="D57" s="7">
        <v>4890</v>
      </c>
      <c r="E57" s="7">
        <f t="shared" si="0"/>
        <v>34890</v>
      </c>
      <c r="F57" s="7">
        <f>MAX($E$2:E57)</f>
        <v>34890</v>
      </c>
      <c r="G57" s="23">
        <f t="shared" si="1"/>
        <v>0</v>
      </c>
      <c r="H57" s="23"/>
    </row>
    <row r="58" spans="2:8">
      <c r="B58" s="7">
        <v>380</v>
      </c>
      <c r="C58" s="7">
        <f>B46+B47+B45+B43+B44+B42+B41+B40+B39+B38+B37+B36+B35+B34+B48+B49+B50+B51+B52+B53+B54+B55+B56+B57+B58+B2+B3+B4+B5+B6+B7+B8+B9+B10+B11+B12+B13+B14+B15+B16+B17+B18+B19+B20+B21+B22+B23+B24+B25+B26+B27+B28+B29+B30+B31+B32+B33</f>
        <v>5270</v>
      </c>
      <c r="D58" s="7">
        <v>5270</v>
      </c>
      <c r="E58" s="7">
        <f t="shared" si="0"/>
        <v>35270</v>
      </c>
      <c r="F58" s="7">
        <f>MAX($E$2:E58)</f>
        <v>35270</v>
      </c>
      <c r="G58" s="23">
        <f t="shared" si="1"/>
        <v>0</v>
      </c>
      <c r="H58" s="23"/>
    </row>
    <row r="59" spans="2:8">
      <c r="B59" s="7">
        <v>-330</v>
      </c>
      <c r="C59" s="7">
        <f>B47+B48+B46+B44+B45+B43+B42+B41+B40+B39+B38+B37+B36+B35+B49+B50+B51+B52+B53+B54+B55+B56+B57+B58+B59+B34+B2+B3+B4+B5+B6+B7+B8+B9+B10+B11+B12+B13+B14+B15+B16+B17+B18+B19+B20+B21+B22+B23+B24+B25+B26+B27+B28+B29+B30+B31+B32+B33</f>
        <v>4940</v>
      </c>
      <c r="D59" s="7">
        <v>4940</v>
      </c>
      <c r="E59" s="7">
        <f t="shared" si="0"/>
        <v>34940</v>
      </c>
      <c r="F59" s="7">
        <f>MAX($E$2:E59)</f>
        <v>35270</v>
      </c>
      <c r="G59" s="23">
        <f t="shared" si="1"/>
        <v>9.3563935355826487E-3</v>
      </c>
      <c r="H59" s="23"/>
    </row>
    <row r="60" spans="2:8">
      <c r="B60" s="7">
        <v>-230</v>
      </c>
      <c r="C60" s="7">
        <f>B48+B49+B47+B45+B46+B44+B43+B42+B41+B40+B39+B38+B37+B36+B50+B51+B52+B53+B54+B55+B56+B57+B58+B59+B60+B2+B3+B4+B5+B6+B7+B8+B9+B10+B11+B12+B13+B14+B15+B16+B17+B18+B19+B20+B21+B22+B23+B24+B25+B26+B27+B28+B29+B30+B31+B32+B33</f>
        <v>5200</v>
      </c>
      <c r="D60" s="7">
        <v>5200</v>
      </c>
      <c r="E60" s="7">
        <f t="shared" si="0"/>
        <v>35200</v>
      </c>
      <c r="F60" s="7">
        <f>MAX($E$2:E60)</f>
        <v>35270</v>
      </c>
      <c r="G60" s="23">
        <f t="shared" si="1"/>
        <v>1.984689537850865E-3</v>
      </c>
      <c r="H60" s="23"/>
    </row>
    <row r="61" spans="2:8">
      <c r="B61" s="7">
        <v>330</v>
      </c>
      <c r="C61" s="7">
        <f>B49+B50+B48+B46+B47+B45+B44+B43+B42+B41+B40+B39+B38+B37+B51+B52+B53+B54+B55+B56+B57+B58+B59+B60+B61+B34+B35+B36+B2+B3+B4+B5+B6+B7+B8+B9+B10+B11+B12+B13+B14+B15+B16+B17+B18+B19+B20+B21+B22+B23+B24+B25+B26+B27+B28+B29+B30+B31+B32+B33</f>
        <v>5040</v>
      </c>
      <c r="D61" s="7">
        <v>5040</v>
      </c>
      <c r="E61" s="7">
        <f t="shared" si="0"/>
        <v>35040</v>
      </c>
      <c r="F61" s="7">
        <f>MAX($E$2:E61)</f>
        <v>35270</v>
      </c>
      <c r="G61" s="23">
        <f t="shared" si="1"/>
        <v>6.5211227672242701E-3</v>
      </c>
      <c r="H61" s="23"/>
    </row>
    <row r="62" spans="2:8">
      <c r="B62" s="7">
        <v>-340</v>
      </c>
      <c r="C62" s="7">
        <f>B49+B50+B48+B46+B47+B45+B44+B43+B42+B41+B40+B39+B38+B37+B51+B52+B53+B54+B55+B56+B57+B58+B59+B60+B61+B34+B35+B36+B62+B2+B3+B4+B5+B6+B7+B8+B9+B10+B11+B12+B13+B14+B15+B16+B17+B18+B19+B20+B21+B22+B23+B24+B25+B26+B27+B28+B29+B30+B31+B32+B33</f>
        <v>4700</v>
      </c>
      <c r="D62" s="7">
        <v>4700</v>
      </c>
      <c r="E62" s="7">
        <f t="shared" si="0"/>
        <v>34700</v>
      </c>
      <c r="F62" s="7">
        <f>MAX($E$2:E62)</f>
        <v>35270</v>
      </c>
      <c r="G62" s="23">
        <f t="shared" si="1"/>
        <v>1.6161043379642755E-2</v>
      </c>
      <c r="H62" s="23"/>
    </row>
    <row r="63" spans="2:8">
      <c r="B63" s="7">
        <v>-220</v>
      </c>
      <c r="C63" s="7">
        <f>B49+B50+B48+B46+B47+B45+B44+B43+B42+B41+B40+B39+B38+B37+B51+B52+B53+B54+B55+B56+B57+B58+B59+B60+B61+B34+B35+B36+B62+B63+B2+B3+B4+B5+B6+B7+B8+B9+B10+B11+B12+B13+B14+B15+B16+B17+B18+B19+B20+B21+B22+B23+B24+B25+B26+B27+B28+B29+B30+B31+B32+B33</f>
        <v>4480</v>
      </c>
      <c r="D63" s="7">
        <v>4480</v>
      </c>
      <c r="E63" s="7">
        <f t="shared" si="0"/>
        <v>34480</v>
      </c>
      <c r="F63" s="7">
        <f>MAX($E$2:E63)</f>
        <v>35270</v>
      </c>
      <c r="G63" s="23">
        <f t="shared" si="1"/>
        <v>2.2398639070031187E-2</v>
      </c>
      <c r="H63" s="23"/>
    </row>
    <row r="64" spans="2:8">
      <c r="B64" s="7">
        <v>390</v>
      </c>
      <c r="C64" s="7">
        <f>B50+B51+B49+B47+B48+B46+B45+B44+B43+B42+B41+B40+B39+B38+B52+B53+B54+B55+B56+B57+B58+B59+B60+B61+B62+B35+B36+B37+B63+B64+B34+B2+B3+B4+B5+B6+B7+B8+B9+B10+B11+B12+B13+B14+B15+B16+B17+B18+B19+B20+B21+B22+B23+B24+B25+B26+B27+B28+B29+B30+B31+B32+B33</f>
        <v>4870</v>
      </c>
      <c r="D64" s="7">
        <v>4870</v>
      </c>
      <c r="E64" s="7">
        <f t="shared" si="0"/>
        <v>34870</v>
      </c>
      <c r="F64" s="7">
        <f>MAX($E$2:E64)</f>
        <v>35270</v>
      </c>
      <c r="G64" s="23">
        <f t="shared" si="1"/>
        <v>1.1341083073433513E-2</v>
      </c>
      <c r="H64" s="23"/>
    </row>
    <row r="65" spans="2:8">
      <c r="B65" s="7">
        <v>-390</v>
      </c>
      <c r="C65" s="7">
        <f>B50+B51+B49+B47+B48+B46+B45+B44+B43+B42+B41+B40+B39+B38+B52+B53+B54+B55+B56+B57+B58+B59+B60+B61+B62+B35+B36+B37+B63+B64+B34+B65+B2+B3+B4+B5+B6+B7+B8+B9+B10+B11+B12+B13+B14+B15+B16+B17+B18+B19+B20+B21+B22+B23+B24+B25+B26+B27+B28+B29+B30+B31+B32+B33</f>
        <v>4480</v>
      </c>
      <c r="D65" s="7">
        <v>4480</v>
      </c>
      <c r="E65" s="7">
        <f t="shared" si="0"/>
        <v>34480</v>
      </c>
      <c r="F65" s="7">
        <f>MAX($E$2:E65)</f>
        <v>35270</v>
      </c>
      <c r="G65" s="23">
        <f t="shared" si="1"/>
        <v>2.2398639070031187E-2</v>
      </c>
      <c r="H65" s="23"/>
    </row>
    <row r="66" spans="2:8">
      <c r="B66" s="7">
        <v>350</v>
      </c>
      <c r="C66" s="7">
        <f>B50+B51+B49+B47+B48+B46+B45+B44+B43+B42+B41+B40+B39+B38+B52+B53+B54+B55+B56+B57+B58+B59+B60+B61+B62+B35+B36+B37+B63+B64+B34+B65+B66+B2+B3+B4+B5+B6+B7+B8+B9+B10+B11+B12+B13+B14+B15+B16+B17+B18+B19+B20+B21+B22+B23+B24+B25+B26+B27+B28+B29+B30+B31+B32+B33</f>
        <v>4830</v>
      </c>
      <c r="D66" s="7">
        <v>4830</v>
      </c>
      <c r="E66" s="7">
        <f t="shared" si="0"/>
        <v>34830</v>
      </c>
      <c r="F66" s="7">
        <f>MAX($E$2:E66)</f>
        <v>35270</v>
      </c>
      <c r="G66" s="23">
        <f t="shared" si="1"/>
        <v>1.2475191380776865E-2</v>
      </c>
      <c r="H66" s="23"/>
    </row>
    <row r="67" spans="2:8">
      <c r="B67" s="7">
        <v>250</v>
      </c>
      <c r="C67" s="7">
        <f>B50+B51+B49+B47+B48+B46+B45+B44+B43+B42+B41+B40+B39+B38+B52+B53+B54+B55+B56+B57+B58+B59+B60+B61+B62+B35+B36+B37+B63+B64+B34+B65+B66+B67+B2+B3+B4+B5+B6+B7+B8+B9+B10+B11+B12+B13+B14+B15+B16+B17+B18+B19+B20+B21+B22+B23+B24+B25+B26+B27+B28+B29+B30+B31+B32+B33</f>
        <v>5080</v>
      </c>
      <c r="D67" s="7">
        <v>5080</v>
      </c>
      <c r="E67" s="7">
        <f t="shared" ref="E67:E130" si="2">D67+$I$4</f>
        <v>35080</v>
      </c>
      <c r="F67" s="7">
        <f>MAX($E$2:E67)</f>
        <v>35270</v>
      </c>
      <c r="G67" s="23">
        <f t="shared" ref="G67:G130" si="3">(F67-E67)/F67</f>
        <v>5.3870144598809188E-3</v>
      </c>
      <c r="H67" s="23"/>
    </row>
    <row r="68" spans="2:8">
      <c r="B68" s="7">
        <v>-300</v>
      </c>
      <c r="C68" s="7">
        <f>B50+B51+B49+B47+B48+B46+B45+B44+B43+B42+B41+B40+B39+B38+B52+B53+B54+B55+B56+B57+B58+B59+B60+B61+B62+B35+B36+B37+B63+B64+B34+B65+B66+B67+B68+B2+B3+B4+B5+B6+B7+B8+B9+B10+B11+B12+B13+B14+B15+B16+B17+B18+B19+B20+B21+B22+B23+B24+B25+B26+B27+B28+B29+B30+B31+B32+B33</f>
        <v>4780</v>
      </c>
      <c r="D68" s="7">
        <v>4780</v>
      </c>
      <c r="E68" s="7">
        <f t="shared" si="2"/>
        <v>34780</v>
      </c>
      <c r="F68" s="7">
        <f>MAX($E$2:E68)</f>
        <v>35270</v>
      </c>
      <c r="G68" s="23">
        <f t="shared" si="3"/>
        <v>1.3892826764956054E-2</v>
      </c>
      <c r="H68" s="23"/>
    </row>
    <row r="69" spans="2:8">
      <c r="B69" s="7">
        <v>300</v>
      </c>
      <c r="C69" s="7">
        <f>B50+B51+B49+B47+B48+B46+B45+B44+B43+B42+B41+B40+B39+B38+B52+B53+B54+B55+B56+B57+B58+B59+B60+B61+B62+B35+B36+B37+B63+B64+B34+B65+B66+B67+B68+B69+B2+B3+B4+B5+B6+B7+B8+B9+B10+B11+B12+B13+B14+B15+B16+B17+B18+B19+B20+B21+B22+B23+B24+B25+B26+B27+B28+B29+B30+B31+B32+B33+B2+B3+B4+B5+B6+B7+B8+B9+B10+B11+B12+B13+B14+B15+B16+B17+B18+B19+B20+B21+B22+B23+B24+B25+B26+B27+B28+B29+B30+B31+B32+B33</f>
        <v>5740</v>
      </c>
      <c r="D69" s="7">
        <v>5740</v>
      </c>
      <c r="E69" s="7">
        <f t="shared" si="2"/>
        <v>35740</v>
      </c>
      <c r="F69" s="7">
        <f>MAX($E$2:E69)</f>
        <v>35740</v>
      </c>
      <c r="G69" s="23">
        <f t="shared" si="3"/>
        <v>0</v>
      </c>
      <c r="H69" s="23"/>
    </row>
    <row r="70" spans="2:8">
      <c r="B70" s="7">
        <v>380</v>
      </c>
      <c r="C70" s="7">
        <f>B50+B51+B49+B47+B48+B46+B45+B44+B43+B42+B41+B40+B39+B38+B52+B53+B54+B55+B56+B57+B58+B59+B60+B61+B62+B35+B36+B37+B63+B64+B34+B65+B66+B67+B68+B69+B70+B2+B3+B4+B5+B6+B7+B8+B9+B10+B11+B12+B13+B14+B15+B16+B17+B18+B19+B20+B21+B22+B23+B24+B25+B26+B27+B28+B29+B30+B31+B32+B33</f>
        <v>5460</v>
      </c>
      <c r="D70" s="7">
        <v>5460</v>
      </c>
      <c r="E70" s="7">
        <f t="shared" si="2"/>
        <v>35460</v>
      </c>
      <c r="F70" s="7">
        <f>MAX($E$2:E70)</f>
        <v>35740</v>
      </c>
      <c r="G70" s="23">
        <f t="shared" si="3"/>
        <v>7.8343592613318407E-3</v>
      </c>
      <c r="H70" s="23"/>
    </row>
    <row r="71" spans="2:8">
      <c r="B71" s="7">
        <v>380</v>
      </c>
      <c r="C71" s="7">
        <f>B50+B51+B49+B47+B48+B46+B45+B44+B43+B42+B41+B40+B39+B38+B52+B53+B54+B55+B56+B57+B58+B59+B60+B61+B62+B35+B36+B37+B63+B64+B34+B65+B66+B67+B68+B69+B70+B71+B2+B3+B4+B5+B6+B7+B8+B9+B10+B11+B12+B13+B14+B15+B16+B17+B18+B19+B20+B21+B22+B23+B24+B25+B26+B27+B28+B29+B30+B31+B32+B33</f>
        <v>5840</v>
      </c>
      <c r="D71" s="7">
        <v>5840</v>
      </c>
      <c r="E71" s="7">
        <f t="shared" si="2"/>
        <v>35840</v>
      </c>
      <c r="F71" s="7">
        <f>MAX($E$2:E71)</f>
        <v>35840</v>
      </c>
      <c r="G71" s="23">
        <f t="shared" si="3"/>
        <v>0</v>
      </c>
      <c r="H71" s="23"/>
    </row>
    <row r="72" spans="2:8">
      <c r="B72" s="7">
        <v>330</v>
      </c>
      <c r="C72" s="7">
        <f>B50+B51+B49+B47+B48+B46+B45+B44+B43+B42+B41+B40+B39+B38+B52+B53+B54+B55+B56+B57+B58+B59+B60+B61+B62+B35+B36+B37+B63+B64+B34+B65+B66+B67+B68+B69+B70+B71+B72+B2+B3+B4+B5+B6+B7+B8+B9+B10+B11+B12+B13+B14+B15+B16+B17+B18+B19+B20+B21+B22+B23+B24+B25+B26+B27+B28+B29+B30+B31+B32+B33</f>
        <v>6170</v>
      </c>
      <c r="D72" s="7">
        <v>6170</v>
      </c>
      <c r="E72" s="7">
        <f t="shared" si="2"/>
        <v>36170</v>
      </c>
      <c r="F72" s="7">
        <f>MAX($E$2:E72)</f>
        <v>36170</v>
      </c>
      <c r="G72" s="23">
        <f t="shared" si="3"/>
        <v>0</v>
      </c>
      <c r="H72" s="23"/>
    </row>
    <row r="73" spans="2:8">
      <c r="B73" s="7">
        <v>-330</v>
      </c>
      <c r="C73" s="7">
        <f>B50+B51+B49+B47+B48+B46+B45+B44+B43+B42+B41+B40+B39+B38+B52+B53+B54+B55+B56+B57+B58+B59+B60+B61+B62+B35+B36+B37+B63+B64+B34+B65+B66+B67+B68+B69+B70+B71+B72+B73+B2+B3+B4+B5+B6+B7+B8+B9+B10+B11+B12+B13+B14+B15+B16+B17+B18+B19+B20+B21+B22+B23+B24+B25+B26+B27+B28+B29+B30+B31+B32+B33</f>
        <v>5840</v>
      </c>
      <c r="D73" s="7">
        <v>5840</v>
      </c>
      <c r="E73" s="7">
        <f t="shared" si="2"/>
        <v>35840</v>
      </c>
      <c r="F73" s="7">
        <f>MAX($E$2:E73)</f>
        <v>36170</v>
      </c>
      <c r="G73" s="23">
        <f t="shared" si="3"/>
        <v>9.1235830799004693E-3</v>
      </c>
      <c r="H73" s="23"/>
    </row>
    <row r="74" spans="2:8">
      <c r="B74" s="7">
        <v>-330</v>
      </c>
      <c r="C74" s="7">
        <f>B50+B51+B49+B47+B48+B46+B45+B44+B43+B42+B41+B40+B39+B38+B52+B53+B54+B55+B56+B57+B58+B59+B60+B61+B62+B35+B36+B37+B63+B64+B34+B65+B66+B67+B68+B69+B70+B71+B72+B73+B74+B2+B3+B4+B5+B6+B7+B8+B9+B10+B11+B12+B13+B14+B15+B16+B17+B18+B19+B20+B21+B22+B23+B24+B25+B26+B27+B28+B29+B30+B31+B32+B33</f>
        <v>5510</v>
      </c>
      <c r="D74" s="7">
        <v>5510</v>
      </c>
      <c r="E74" s="7">
        <f t="shared" si="2"/>
        <v>35510</v>
      </c>
      <c r="F74" s="7">
        <f>MAX($E$2:E74)</f>
        <v>36170</v>
      </c>
      <c r="G74" s="23">
        <f t="shared" si="3"/>
        <v>1.8247166159800939E-2</v>
      </c>
      <c r="H74" s="23"/>
    </row>
    <row r="75" spans="2:8">
      <c r="B75" s="7">
        <v>-330</v>
      </c>
      <c r="C75" s="7">
        <f>B50+B51+B49+B47+B48+B46+B45+B44+B43+B42+B41+B40+B39+B38+B52+B53+B54+B55+B56+B57+B58+B59+B60+B61+B62+B35+B36+B37+B63+B64+B34+B65+B66+B67+B68+B69+B70+B71+B72+B73+B74+B75+B2+B3+B4+B5+B6+B7+B8+B9+B10+B11+B12+B13+B14+B15+B16+B17+B18+B19+B20+B21+B22+B23+B24+B25+B26+B27+B28+B29+B30+B31+B32+B33</f>
        <v>5180</v>
      </c>
      <c r="D75" s="7">
        <v>5180</v>
      </c>
      <c r="E75" s="7">
        <f t="shared" si="2"/>
        <v>35180</v>
      </c>
      <c r="F75" s="7">
        <f>MAX($E$2:E75)</f>
        <v>36170</v>
      </c>
      <c r="G75" s="23">
        <f t="shared" si="3"/>
        <v>2.7370749239701411E-2</v>
      </c>
      <c r="H75" s="23"/>
    </row>
    <row r="76" spans="2:8">
      <c r="B76" s="7">
        <v>-330</v>
      </c>
      <c r="C76" s="7">
        <f>B50+B51+B49+B47+B48+B46+B45+B44+B43+B42+B41+B40+B39+B38+B52+B53+B54+B55+B56+B57+B58+B59+B60+B61+B62+B35+B36+B37+B63+B64+B34+B65+B66+B67+B68+B69+B70+B71+B72+B73+B74+B75+B76+B2+B3+B4+B5+B6+B7+B8+B9+B10+B11+B12+B13+B14+B15+B16+B17+B18+B19+B20+B21+B22+B23+B24+B25+B26+B27+B28+B29+B30+B31+B32+B33</f>
        <v>4850</v>
      </c>
      <c r="D76" s="7">
        <v>4850</v>
      </c>
      <c r="E76" s="7">
        <f t="shared" si="2"/>
        <v>34850</v>
      </c>
      <c r="F76" s="7">
        <f>MAX($E$2:E76)</f>
        <v>36170</v>
      </c>
      <c r="G76" s="23">
        <f t="shared" si="3"/>
        <v>3.6494332319601877E-2</v>
      </c>
      <c r="H76" s="23"/>
    </row>
    <row r="77" spans="2:8">
      <c r="B77" s="7">
        <v>330</v>
      </c>
      <c r="C77" s="7">
        <f>B50+B51+B49+B47+B48+B46+B45+B44+B43+B42+B41+B40+B39+B38+B52+B53+B54+B55+B56+B57+B58+B59+B60+B61+B62+B35+B36+B37+B63+B64+B34+B65+B66+B67+B68+B69+B70+B71+B72+B73+B74+B75+B76+B77+B2+B3+B4+B5+B6+B7+B8+B9+B10+B11+B12+B13+B14+B15+B16+B17+B18+B19+B20+B21+B22+B23+B24+B25+B26+B27+B28+B29+B30+B31+B32+B33</f>
        <v>5180</v>
      </c>
      <c r="D77" s="7">
        <v>5180</v>
      </c>
      <c r="E77" s="7">
        <f t="shared" si="2"/>
        <v>35180</v>
      </c>
      <c r="F77" s="7">
        <f>MAX($E$2:E77)</f>
        <v>36170</v>
      </c>
      <c r="G77" s="23">
        <f t="shared" si="3"/>
        <v>2.7370749239701411E-2</v>
      </c>
      <c r="H77" s="23"/>
    </row>
    <row r="78" spans="2:8">
      <c r="B78" s="7">
        <v>330</v>
      </c>
      <c r="C78" s="7">
        <f>B50+B51+B49+B47+B48+B46+B45+B44+B43+B42+B41+B40+B39+B38+B52+B53+B54+B55+B56+B57+B58+B59+B60+B61+B62+B35+B36+B37+B63+B64+B34+B65+B66+B67+B68+B69+B70+B71+B72+B73+B74+B75+B76+B77+B78+B2+B3+B4+B5+B6+B7+B8+B9+B10+B11+B12+B13+B14+B15+B16+B17+B18+B19+B20+B21+B22+B23+B24+B25+B26+B27+B28+B29+B30+B31+B32+B33</f>
        <v>5510</v>
      </c>
      <c r="D78" s="7">
        <v>5510</v>
      </c>
      <c r="E78" s="7">
        <f t="shared" si="2"/>
        <v>35510</v>
      </c>
      <c r="F78" s="7">
        <f>MAX($E$2:E78)</f>
        <v>36170</v>
      </c>
      <c r="G78" s="23">
        <f t="shared" si="3"/>
        <v>1.8247166159800939E-2</v>
      </c>
      <c r="H78" s="23"/>
    </row>
    <row r="79" spans="2:8">
      <c r="B79" s="7">
        <v>330</v>
      </c>
      <c r="C79" s="7">
        <f>B50+B51+B49+B47+B48+B46+B45+B44+B43+B42+B41+B40+B39+B38+B52+B53+B54+B55+B56+B57+B58+B59+B60+B61+B62+B35+B36+B37+B63+B64+B34+B65+B66+B67+B68+B69+B70+B71+B72+B73+B74+B75+B76+B77+B78+B79+B2+B3+B4+B5+B6+B7+B8+B9+B10+B11+B12+B13+B14+B15+B16+B17+B18+B19+B20+B21+B22+B23+B24+B25+B26+B27+B28+B29+B30+B31+B32+B33</f>
        <v>5840</v>
      </c>
      <c r="D79" s="7">
        <v>5840</v>
      </c>
      <c r="E79" s="7">
        <f t="shared" si="2"/>
        <v>35840</v>
      </c>
      <c r="F79" s="7">
        <f>MAX($E$2:E79)</f>
        <v>36170</v>
      </c>
      <c r="G79" s="23">
        <f t="shared" si="3"/>
        <v>9.1235830799004693E-3</v>
      </c>
      <c r="H79" s="23"/>
    </row>
    <row r="80" spans="2:8">
      <c r="B80" s="7">
        <v>330</v>
      </c>
      <c r="C80" s="7">
        <f>B50+B51+B49+B47+B48+B46+B45+B44+B43+B42+B41+B40+B39+B38+B52+B53+B54+B55+B56+B57+B58+B59+B60+B61+B62+B35+B36+B37+B63+B64+B34+B65+B66+B67+B68+B69+B70+B71+B72+B73+B74+B75+B76+B77+B78+B79+B80+B2+B3+B4+B5+B6+B7+B8+B9+B10+B11+B12+B13+B14+B15+B16+B17+B18+B19+B20+B21+B22+B23+B24+B25+B26+B27+B28+B29+B30+B31+B32+B33</f>
        <v>6170</v>
      </c>
      <c r="D80" s="7">
        <v>6170</v>
      </c>
      <c r="E80" s="7">
        <f t="shared" si="2"/>
        <v>36170</v>
      </c>
      <c r="F80" s="7">
        <f>MAX($E$2:E80)</f>
        <v>36170</v>
      </c>
      <c r="G80" s="23">
        <f t="shared" si="3"/>
        <v>0</v>
      </c>
      <c r="H80" s="23"/>
    </row>
    <row r="81" spans="2:8">
      <c r="B81" s="7">
        <v>330</v>
      </c>
      <c r="C81" s="7">
        <f>B50+B51+B49+B47+B48+B46+B45+B44+B43+B42+B41+B40+B39+B38+B52+B53+B54+B55+B56+B57+B58+B59+B60+B61+B62+B35+B36+B37+B63+B64+B34+B65+B66+B67+B68+B69+B70+B71+B72+B73+B74+B75+B76+B77+B78+B79+B80+B81+B2+B3+B4+B5+B6+B7+B8+B9+B10+B11+B12+B13+B14+B15+B16+B17+B18+B19+B20+B21+B22+B23+B24+B25+B26+B27+B28+B29+B30+B31+B32+B33</f>
        <v>6500</v>
      </c>
      <c r="D81" s="7">
        <v>6500</v>
      </c>
      <c r="E81" s="7">
        <f t="shared" si="2"/>
        <v>36500</v>
      </c>
      <c r="F81" s="7">
        <f>MAX($E$2:E81)</f>
        <v>36500</v>
      </c>
      <c r="G81" s="23">
        <f t="shared" si="3"/>
        <v>0</v>
      </c>
      <c r="H81" s="23"/>
    </row>
    <row r="82" spans="2:8">
      <c r="B82" s="7">
        <v>-330</v>
      </c>
      <c r="C82" s="7">
        <f>B50+B51+B49+B47+B48+B46+B45+B44+B43+B42+B41+B40+B39+B38+B52+B53+B54+B55+B56+B57+B58+B59+B60+B61+B62+B35+B36+B37+B63+B64+B34+B65+B66+B67+B68+B69+B70+B71+B72+B73+B74+B75+B76+B77+B78+B79+B80+B81+B82+B2+B3+B4+B5+B6+B7+B8+B9+B10+B11+B12+B13+B14+B15+B16+B17+B18+B19+B20+B21+B22+B23+B24+B25+B26+B27+B28+B29+B30+B31+B32+B33</f>
        <v>6170</v>
      </c>
      <c r="D82" s="7">
        <v>6170</v>
      </c>
      <c r="E82" s="7">
        <f t="shared" si="2"/>
        <v>36170</v>
      </c>
      <c r="F82" s="7">
        <f>MAX($E$2:E82)</f>
        <v>36500</v>
      </c>
      <c r="G82" s="23">
        <f t="shared" si="3"/>
        <v>9.0410958904109592E-3</v>
      </c>
      <c r="H82" s="23"/>
    </row>
    <row r="83" spans="2:8">
      <c r="B83" s="7">
        <v>310</v>
      </c>
      <c r="C83" s="7">
        <f>B50+B51+B49+B47+B48+B46+B45+B44+B43+B42+B41+B40+B39+B38+B52+B53+B54+B55+B56+B57+B58+B59+B60+B61+B62+B35+B36+B37+B63+B64+B34+B65+B66+B67+B68+B69+B70+B71+B72+B73+B74+B75+B76+B77+B78+B79+B80+B81+B82+B83+B2+B3+B4+B5+B6+B7+B8+B9+B10+B11+B12+B13+B14+B15+B16+B17+B18+B19+B20+B21+B22+B23+B24+B25+B26+B27+B28+B29+B30+B31+B32+B33</f>
        <v>6480</v>
      </c>
      <c r="D83" s="7">
        <v>6480</v>
      </c>
      <c r="E83" s="7">
        <f t="shared" si="2"/>
        <v>36480</v>
      </c>
      <c r="F83" s="7">
        <f>MAX($E$2:E83)</f>
        <v>36500</v>
      </c>
      <c r="G83" s="23">
        <f t="shared" si="3"/>
        <v>5.4794520547945202E-4</v>
      </c>
      <c r="H83" s="23"/>
    </row>
    <row r="84" spans="2:8">
      <c r="B84" s="7">
        <v>320</v>
      </c>
      <c r="C84" s="7">
        <f>B50+B51+B49+B47+B48+B46+B45+B44+B43+B42+B41+B40+B39+B38+B52+B53+B54+B55+B56+B57+B58+B59+B60+B61+B62+B35+B36+B37+B63+B64+B34+B65+B66+B67+B68+B69+B70+B71+B72+B73+B74+B75+B76+B77+B78+B79+B80+B81+B82+B83+B84+B2+B3+B4+B5+B6+B7+B8+B9+B10+B11+B12+B13+B14+B15+B16+B17+B18+B19+B20+B21+B22+B23+B24+B25+B26+B27+B28+B29+B30+B31+B32+B33</f>
        <v>6800</v>
      </c>
      <c r="D84" s="7">
        <v>6800</v>
      </c>
      <c r="E84" s="7">
        <f t="shared" si="2"/>
        <v>36800</v>
      </c>
      <c r="F84" s="7">
        <f>MAX($E$2:E84)</f>
        <v>36800</v>
      </c>
      <c r="G84" s="23">
        <f t="shared" si="3"/>
        <v>0</v>
      </c>
      <c r="H84" s="23"/>
    </row>
    <row r="85" spans="2:8">
      <c r="B85" s="7">
        <v>-330</v>
      </c>
      <c r="C85" s="7">
        <f>B50+B51+B49+B47+B48+B46+B45+B44+B43+B42+B41+B40+B39+B38+B52+B53+B54+B55+B56+B57+B58+B59+B60+B61+B62+B35+B36+B37+B63+B64+B34+B65+B66+B67+B68+B69+B70+B71+B72+B73+B74+B75+B76+B77+B78+B79+B80+B81+B82+B83+B84+B85+B2+B3+B4+B5+B6+B7+B8+B9+B10+B11+B12+B13+B14+B15+B16+B17+B18+B19+B20+B21+B22+B23+B24+B25+B26+B27+B28+B29+B30+B31+B32+B33</f>
        <v>6470</v>
      </c>
      <c r="D85" s="7">
        <v>6470</v>
      </c>
      <c r="E85" s="7">
        <f t="shared" si="2"/>
        <v>36470</v>
      </c>
      <c r="F85" s="7">
        <f>MAX($E$2:E85)</f>
        <v>36800</v>
      </c>
      <c r="G85" s="23">
        <f t="shared" si="3"/>
        <v>8.9673913043478264E-3</v>
      </c>
      <c r="H85" s="23"/>
    </row>
    <row r="86" spans="2:8">
      <c r="B86" s="7">
        <v>-330</v>
      </c>
      <c r="C86" s="7">
        <f>B50+B51+B49+B47+B48+B46+B45+B44+B43+B42+B41+B40+B39+B38+B52+B53+B54+B55+B56+B57+B58+B59+B60+B61+B62+B35+B36+B37+B63+B64+B34+B65+B66+B67+B68+B69+B70+B71+B72+B73+B74+B75+B76+B77+B78+B79+B80+B81+B82+B83+B84+B85+B86+B2+B3+B4+B5+B6+B7+B8+B9+B10+B11+B12+B13+B14+B15+B16+B17+B18+B19+B20+B21+B22+B23+B24+B25+B26+B27+B28+B29+B30+B31+B32+B33</f>
        <v>6140</v>
      </c>
      <c r="D86" s="7">
        <v>6140</v>
      </c>
      <c r="E86" s="7">
        <f t="shared" si="2"/>
        <v>36140</v>
      </c>
      <c r="F86" s="7">
        <f>MAX($E$2:E86)</f>
        <v>36800</v>
      </c>
      <c r="G86" s="23">
        <f t="shared" si="3"/>
        <v>1.7934782608695653E-2</v>
      </c>
      <c r="H86" s="23"/>
    </row>
    <row r="87" spans="2:8">
      <c r="B87" s="7">
        <v>330</v>
      </c>
      <c r="C87" s="7">
        <f>B50+B51+B49+B47+B48+B46+B45+B44+B43+B42+B41+B40+B39+B38+B52+B53+B54+B55+B56+B57+B58+B59+B60+B61+B62+B35+B36+B37+B63+B64+B34+B65+B66+B67+B68+B69+B70+B71+B72+B73+B74+B75+B76+B77+B78+B79+B80+B81+B82+B83+B84+B85+B86+B87+B2+B3+B4+B5+B6+B7+B8+B9+B10+B11+B12+B13+B14+B15+B16+B17+B18+B19+B20+B21+B22+B23+B24+B25+B26+B27+B28+B29+B30+B31+B32+B33</f>
        <v>6470</v>
      </c>
      <c r="D87" s="7">
        <v>6470</v>
      </c>
      <c r="E87" s="7">
        <f t="shared" si="2"/>
        <v>36470</v>
      </c>
      <c r="F87" s="7">
        <f>MAX($E$2:E87)</f>
        <v>36800</v>
      </c>
      <c r="G87" s="23">
        <f t="shared" si="3"/>
        <v>8.9673913043478264E-3</v>
      </c>
      <c r="H87" s="23"/>
    </row>
    <row r="88" spans="2:8">
      <c r="B88" s="7">
        <v>330</v>
      </c>
      <c r="C88" s="7">
        <f>B50+B51+B49+B47+B48+B46+B45+B44+B43+B42+B41+B40+B39+B38+B52+B53+B54+B55+B56+B57+B58+B59+B60+B61+B62+B35+B36+B37+B63+B64+B34+B65+B66+B67+B68+B69+B70+B71+B72+B73+B74+B75+B76+B77+B78+B79+B80+B81+B82+B83+B84+B85+B86+B87+B2+B3+B4+B5+B6+B7+B8+B9+B10+B11+B12+B13+B14+B15+B16+B17+B18+B19+B20+B21+B22+B23+B24+B25+B26+B27+B28+B29+B30+B31+B32+B33+B88</f>
        <v>6800</v>
      </c>
      <c r="D88" s="7">
        <v>6800</v>
      </c>
      <c r="E88" s="7">
        <f t="shared" si="2"/>
        <v>36800</v>
      </c>
      <c r="F88" s="7">
        <f>MAX($E$2:E88)</f>
        <v>36800</v>
      </c>
      <c r="G88" s="23">
        <f t="shared" si="3"/>
        <v>0</v>
      </c>
      <c r="H88" s="23"/>
    </row>
    <row r="89" spans="2:8">
      <c r="B89" s="7">
        <v>330</v>
      </c>
      <c r="C89" s="9">
        <f>B50+B51+B49+B47+B48+B46+B45+B44+B43+B42+B41+B40+B39+B38+B52+B53+B54+B55+B56+B57+B58+B59+B60+B61+B62+B35+B36+B37+B63+B64+B34+B65+B66+B67+B68+B69+B70+B71+B72+B73+B74+B75+B76+B77+B78+B79+B80+B81+B82+B83+B84+B85+B86+B87+B88+B89+B34+B2+B3+B4+B5+B6+B7+B8+B9+B10+B11+B12+B13+B14+B15+B16+B17+B18+B19+B20+B21+B22+B23+B24+B25+B26+B27+B28+B29+B30+B31+B32+B33</f>
        <v>6920</v>
      </c>
      <c r="D89" s="9">
        <v>6920</v>
      </c>
      <c r="E89" s="7">
        <f t="shared" si="2"/>
        <v>36920</v>
      </c>
      <c r="F89" s="7">
        <f>MAX($E$2:E89)</f>
        <v>36920</v>
      </c>
      <c r="G89" s="23">
        <f t="shared" si="3"/>
        <v>0</v>
      </c>
      <c r="H89" s="23"/>
    </row>
    <row r="90" spans="2:8">
      <c r="B90" s="7">
        <v>330</v>
      </c>
      <c r="C90" s="7">
        <f>B50+B51+B49+B47+B48+B46+B45+B44+B43+B42+B41+B40+B39+B38+B52+B53+B54+B55+B56+B57+B58+B59+B60+B61+B62+B35+B36+B37+B63+B64+B34+B65+B66+B67+B68+B69+B70+B71+B72+B73+B74+B75+B76+B77+B78+B79+B80+B81+B82+B83+B84+B85+B86+B87+B88+B89+B90+B34+B2+B3+B4+B5+B6+B7+B8+B9+B10+B11+B12+B13+B14+B15+B16+B17+B18+B19+B20+B21+B22+B23+B24+B25+B26+B27+B28+B29+B30+B31+B32+B33</f>
        <v>7250</v>
      </c>
      <c r="D90" s="7">
        <v>7250</v>
      </c>
      <c r="E90" s="7">
        <f t="shared" si="2"/>
        <v>37250</v>
      </c>
      <c r="F90" s="7">
        <f>MAX($E$2:E90)</f>
        <v>37250</v>
      </c>
      <c r="G90" s="23">
        <f t="shared" si="3"/>
        <v>0</v>
      </c>
      <c r="H90" s="23"/>
    </row>
    <row r="91" spans="2:8">
      <c r="B91" s="7">
        <v>-330</v>
      </c>
      <c r="C91" s="7">
        <f>B50+B51+B49+B47+B48+B46+B45+B44+B43+B42+B41+B40+B39+B38+B52+B53+B54+B55+B56+B57+B58+B59+B60+B61+B62+B35+B36+B37+B63+B64+B34+B65+B66+B67+B68+B69+B70+B71+B72+B73+B74+B75+B76+B77+B78+B79+B80+B81+B82+B83+B84+B85+B86+B87+B88+B89+B90+B91+B34+B2+B3+B4+B5+B6+B7+B8+B9+B10+B11+B12+B13+B14+B15+B16+B17+B18+B19+B20+B21+B22+B23+B24+B25+B26+B27+B28+B29+B30+B31+B32+B33</f>
        <v>6920</v>
      </c>
      <c r="D91" s="7">
        <v>6920</v>
      </c>
      <c r="E91" s="7">
        <f t="shared" si="2"/>
        <v>36920</v>
      </c>
      <c r="F91" s="7">
        <f>MAX($E$2:E91)</f>
        <v>37250</v>
      </c>
      <c r="G91" s="23">
        <f t="shared" si="3"/>
        <v>8.859060402684563E-3</v>
      </c>
      <c r="H91" s="23"/>
    </row>
    <row r="92" spans="2:8">
      <c r="B92" s="7">
        <v>-330</v>
      </c>
      <c r="C92" s="7">
        <f>B50+B51+B49+B47+B48+B46+B45+B44+B43+B42+B41+B40+B39+B38+B52+B53+B54+B55+B56+B57+B58+B59+B60+B61+B62+B35+B36+B37+B63+B64+B34+B65+B66+B67+B68+B69+B70+B71+B72+B73+B74+B75+B76+B77+B78+B79+B80+B81+B82+B83+B84+B85+B86+B87+B88+B89+B90+B91+B92+B34+B2+B3+B4+B5+B6+B7+B8+B9+B10+B11+B12+B13+B14+B15+B16+B17+B18+B19+B20+B21+B22+B23+B24+B25+B26+B27+B28+B29+B30+B31+B32+B33</f>
        <v>6590</v>
      </c>
      <c r="D92" s="7">
        <v>6590</v>
      </c>
      <c r="E92" s="7">
        <f t="shared" si="2"/>
        <v>36590</v>
      </c>
      <c r="F92" s="7">
        <f>MAX($E$2:E92)</f>
        <v>37250</v>
      </c>
      <c r="G92" s="23">
        <f t="shared" si="3"/>
        <v>1.7718120805369126E-2</v>
      </c>
      <c r="H92" s="23"/>
    </row>
    <row r="93" spans="2:8">
      <c r="B93" s="7">
        <v>-350</v>
      </c>
      <c r="C93" s="7">
        <f>B50+B51+B49+B47+B48+B46+B45+B44+B43+B42+B41+B40+B39+B38+B52+B53+B54+B55+B56+B57+B58+B59+B60+B61+B62+B35+B36+B37+B63+B64+B34+B65+B66+B67+B68+B69+B70+B71+B72+B73+B74+B75+B76+B77+B78+B79+B80+B81+B82+B83+B84+B85+B86+B87+B88+B89+B90+B91+B92+B93+B34+B2+B3+B4+B5+B6+B7+B8+B9+B10+B11+B12+B13+B14+B15+B16+B17+B18+B19+B20+B21+B22+B23+B24+B25+B26+B27+B28+B29+B30+B31+B32+B33</f>
        <v>6240</v>
      </c>
      <c r="D93" s="7">
        <v>6240</v>
      </c>
      <c r="E93" s="7">
        <f t="shared" si="2"/>
        <v>36240</v>
      </c>
      <c r="F93" s="7">
        <f>MAX($E$2:E93)</f>
        <v>37250</v>
      </c>
      <c r="G93" s="23">
        <f t="shared" si="3"/>
        <v>2.7114093959731543E-2</v>
      </c>
      <c r="H93" s="23"/>
    </row>
    <row r="94" spans="2:8">
      <c r="B94" s="7">
        <v>-330</v>
      </c>
      <c r="C94" s="7">
        <f>B50+B51+B49+B47+B48+B46+B45+B44+B43+B42+B41+B40+B39+B38+B52+B53+B54+B55+B56+B57+B58+B59+B60+B61+B62+B35+B36+B37+B63+B64+B34+B65+B66+B67+B68+B69+B70+B71+B72+B73+B74+B75+B76+B77+B78+B79+B80+B81+B82+B83+B84+B85+B86+B87+B88+B89+B90+B91+B92+B93+B94+B34+B2+B3+B4+B5+B6+B7+B8+B9+B10+B11+B12+B13+B14+B15+B16+B17+B18+B19+B20+B21+B22+B23+B24+B25+B26+B27+B28+B29+B30+B31+B32+B33</f>
        <v>5910</v>
      </c>
      <c r="D94" s="7">
        <v>5910</v>
      </c>
      <c r="E94" s="7">
        <f t="shared" si="2"/>
        <v>35910</v>
      </c>
      <c r="F94" s="7">
        <f>MAX($E$2:E94)</f>
        <v>37250</v>
      </c>
      <c r="G94" s="23">
        <f t="shared" si="3"/>
        <v>3.5973154362416104E-2</v>
      </c>
      <c r="H94" s="23"/>
    </row>
    <row r="95" spans="2:8">
      <c r="B95" s="7">
        <v>330</v>
      </c>
      <c r="C95" s="7">
        <f>B50+B51+B49+B47+B48+B46+B45+B44+B43+B42+B41+B40+B39+B38+B52+B53+B54+B55+B56+B57+B58+B59+B60+B61+B62+B35+B36+B37+B63+B64+B34+B65+B66+B67+B68+B69+B70+B71+B72+B73+B74+B75+B76+B77+B78+B79+B80+B81+B82+B83+B84+B85+B86+B87+B88+B89+B90+B91+B92+B93+B94+B95+B34+B2+B3+B4+B5+B6+B7+B8+B9+B10+B11+B12+B13+B14+B15+B16+B17+B18+B19+B20+B21+B22+B23+B24+B25+B26+B27+B28+B29+B30+B31+B32+B33</f>
        <v>6240</v>
      </c>
      <c r="D95" s="7">
        <v>6240</v>
      </c>
      <c r="E95" s="7">
        <f t="shared" si="2"/>
        <v>36240</v>
      </c>
      <c r="F95" s="7">
        <f>MAX($E$2:E95)</f>
        <v>37250</v>
      </c>
      <c r="G95" s="23">
        <f t="shared" si="3"/>
        <v>2.7114093959731543E-2</v>
      </c>
      <c r="H95" s="23"/>
    </row>
    <row r="96" spans="2:8">
      <c r="B96" s="7">
        <v>-330</v>
      </c>
      <c r="C96" s="7">
        <f>B50+B51+B49+B47+B48+B46+B45+B44+B43+B42+B41+B40+B39+B38+B52+B53+B54+B55+B56+B57+B58+B59+B60+B61+B62+B35+B36+B37+B63+B64+B34+B65+B66+B67+B68+B69+B70+B71+B72+B73+B74+B75+B76+B77+B78+B79+B80+B81+B82+B83+B84+B85+B86+B87+B88+B89+B90+B91+B92+B93+B94+B95+B96+B34+B2+B3+B4+B5+B6+B7+B8+B9+B10+B11+B12+B13+B14+B15+B16+B17+B18+B19+B20+B21+B22+B23+B24+B25+B26+B27+B28+B29+B30+B31+B32+B33</f>
        <v>5910</v>
      </c>
      <c r="D96" s="7">
        <v>5910</v>
      </c>
      <c r="E96" s="7">
        <f t="shared" si="2"/>
        <v>35910</v>
      </c>
      <c r="F96" s="7">
        <f>MAX($E$2:E96)</f>
        <v>37250</v>
      </c>
      <c r="G96" s="23">
        <f t="shared" si="3"/>
        <v>3.5973154362416104E-2</v>
      </c>
      <c r="H96" s="23"/>
    </row>
    <row r="97" spans="2:8">
      <c r="B97" s="7">
        <v>-330</v>
      </c>
      <c r="C97" s="7">
        <f>B50+B51+B49+B47+B48+B46+B45+B44+B43+B42+B41+B40+B39+B38+B52+B53+B54+B55+B56+B57+B58+B59+B60+B61+B62+B35+B36+B37+B63+B64+B34+B65+B66+B67+B68+B69+B70+B71+B72+B73+B74+B75+B76+B77+B78+B79+B80+B81+B82+B83+B84+B85+B86+B87+B88+B89+B90+B91+B92+B93+B94+B95+B96+B97+B34+B2+B3+B4+B5+B6+B7+B8+B9+B10+B11+B12+B13+B14+B15+B16+B17+B18+B19+B20+B21+B22+B23+B24+B25+B26+B27+B28+B29+B30+B31+B32+B33</f>
        <v>5580</v>
      </c>
      <c r="D97" s="7">
        <v>5580</v>
      </c>
      <c r="E97" s="7">
        <f t="shared" si="2"/>
        <v>35580</v>
      </c>
      <c r="F97" s="7">
        <f>MAX($E$2:E97)</f>
        <v>37250</v>
      </c>
      <c r="G97" s="23">
        <f t="shared" si="3"/>
        <v>4.4832214765100672E-2</v>
      </c>
      <c r="H97" s="23"/>
    </row>
    <row r="98" spans="2:8">
      <c r="B98" s="7">
        <v>330</v>
      </c>
      <c r="C9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34+B2+B3+B4+B5+B6+B7+B8+B9+B10+B11+B12+B13+B14+B15+B16+B17+B18+B19+B20+B21+B22+B23+B24+B25+B26+B27+B28+B29+B30+B31+B32+B33</f>
        <v>5910</v>
      </c>
      <c r="D98" s="7">
        <v>5910</v>
      </c>
      <c r="E98" s="7">
        <f t="shared" si="2"/>
        <v>35910</v>
      </c>
      <c r="F98" s="7">
        <f>MAX($E$2:E98)</f>
        <v>37250</v>
      </c>
      <c r="G98" s="23">
        <f t="shared" si="3"/>
        <v>3.5973154362416104E-2</v>
      </c>
      <c r="H98" s="23"/>
    </row>
    <row r="99" spans="2:8">
      <c r="B99" s="7">
        <v>330</v>
      </c>
      <c r="C9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34+B2+B3+B4+B5+B6+B7+B8+B9+B10+B11+B12+B13+B14+B15+B16+B17+B18+B19+B20+B21+B22+B23+B24+B25+B26+B27+B28+B29+B30+B31+B32+B33</f>
        <v>6240</v>
      </c>
      <c r="D99" s="7">
        <v>6240</v>
      </c>
      <c r="E99" s="7">
        <f t="shared" si="2"/>
        <v>36240</v>
      </c>
      <c r="F99" s="7">
        <f>MAX($E$2:E99)</f>
        <v>37250</v>
      </c>
      <c r="G99" s="23">
        <f t="shared" si="3"/>
        <v>2.7114093959731543E-2</v>
      </c>
      <c r="H99" s="23"/>
    </row>
    <row r="100" spans="2:8">
      <c r="B100" s="7">
        <v>330</v>
      </c>
      <c r="C10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34+B2+B3+B4+B5+B6+B7+B8+B9+B10+B11+B12+B13+B14+B15+B16+B17+B18+B19+B20+B21+B22+B23+B24+B25+B26+B27+B28+B29+B30+B31+B32+B33</f>
        <v>6570</v>
      </c>
      <c r="D100" s="7">
        <v>6570</v>
      </c>
      <c r="E100" s="7">
        <f t="shared" si="2"/>
        <v>36570</v>
      </c>
      <c r="F100" s="7">
        <f>MAX($E$2:E100)</f>
        <v>37250</v>
      </c>
      <c r="G100" s="23">
        <f t="shared" si="3"/>
        <v>1.8255033557046978E-2</v>
      </c>
      <c r="H100" s="23"/>
    </row>
    <row r="101" spans="2:8">
      <c r="B101" s="7">
        <v>330</v>
      </c>
      <c r="C101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34+B2+B3+B4+B5+B6+B7+B8+B9+B10+B11+B12+B13+B14+B15+B16+B17+B18+B19+B20+B21+B22+B23+B24+B25+B26+B27+B28+B29+B30+B31+B32+B33</f>
        <v>6900</v>
      </c>
      <c r="D101" s="7">
        <v>6900</v>
      </c>
      <c r="E101" s="7">
        <f t="shared" si="2"/>
        <v>36900</v>
      </c>
      <c r="F101" s="7">
        <f>MAX($E$2:E101)</f>
        <v>37250</v>
      </c>
      <c r="G101" s="23">
        <f t="shared" si="3"/>
        <v>9.3959731543624154E-3</v>
      </c>
      <c r="H101" s="23"/>
    </row>
    <row r="102" spans="2:8">
      <c r="B102" s="7">
        <v>-330</v>
      </c>
      <c r="C102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34+B2+B3+B4+B5+B6+B7+B8+B9+B10+B11+B12+B13+B14+B15+B16+B17+B18+B19+B20+B21+B22+B23+B24+B25+B26+B27+B28+B29+B30+B31+B32+B33</f>
        <v>6570</v>
      </c>
      <c r="D102" s="7">
        <v>6570</v>
      </c>
      <c r="E102" s="7">
        <f t="shared" si="2"/>
        <v>36570</v>
      </c>
      <c r="F102" s="7">
        <f>MAX($E$2:E102)</f>
        <v>37250</v>
      </c>
      <c r="G102" s="23">
        <f t="shared" si="3"/>
        <v>1.8255033557046978E-2</v>
      </c>
      <c r="H102" s="23"/>
    </row>
    <row r="103" spans="2:8">
      <c r="B103" s="7">
        <v>-330</v>
      </c>
      <c r="C103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34+B2+B3+B4+B5+B6+B7+B8+B9+B10+B11+B12+B13+B14+B15+B16+B17+B18+B19+B20+B21+B22+B23+B24+B25+B26+B27+B28+B29+B30+B31+B32+B33</f>
        <v>6240</v>
      </c>
      <c r="D103" s="7">
        <v>6240</v>
      </c>
      <c r="E103" s="7">
        <f t="shared" si="2"/>
        <v>36240</v>
      </c>
      <c r="F103" s="7">
        <f>MAX($E$2:E103)</f>
        <v>37250</v>
      </c>
      <c r="G103" s="23">
        <f t="shared" si="3"/>
        <v>2.7114093959731543E-2</v>
      </c>
      <c r="H103" s="23"/>
    </row>
    <row r="104" spans="2:8">
      <c r="B104" s="7">
        <v>330</v>
      </c>
      <c r="C104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34+B2+B3+B4+B5+B6+B7+B8+B9+B10+B11+B12+B13+B14+B15+B16+B17+B18+B19+B20+B21+B22+B23+B24+B25+B26+B27+B28+B29+B30+B31+B32+B33</f>
        <v>6570</v>
      </c>
      <c r="D104" s="7">
        <v>6570</v>
      </c>
      <c r="E104" s="7">
        <f t="shared" si="2"/>
        <v>36570</v>
      </c>
      <c r="F104" s="7">
        <f>MAX($E$2:E104)</f>
        <v>37250</v>
      </c>
      <c r="G104" s="23">
        <f t="shared" si="3"/>
        <v>1.8255033557046978E-2</v>
      </c>
      <c r="H104" s="23"/>
    </row>
    <row r="105" spans="2:8">
      <c r="B105" s="7">
        <v>310</v>
      </c>
      <c r="C105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34+B2+B3+B4+B5+B6+B7+B8+B9+B10+B11+B12+B13+B14+B15+B16+B17+B18+B19+B20+B21+B22+B23+B24+B25+B26+B27+B28+B29+B30+B31+B32+B33</f>
        <v>6880</v>
      </c>
      <c r="D105" s="7">
        <v>6880</v>
      </c>
      <c r="E105" s="7">
        <f t="shared" si="2"/>
        <v>36880</v>
      </c>
      <c r="F105" s="7">
        <f>MAX($E$2:E105)</f>
        <v>37250</v>
      </c>
      <c r="G105" s="23">
        <f t="shared" si="3"/>
        <v>9.9328859060402678E-3</v>
      </c>
      <c r="H105" s="23"/>
    </row>
    <row r="106" spans="2:8">
      <c r="B106" s="7">
        <v>330</v>
      </c>
      <c r="C106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34+B2+B3+B4+B5+B6+B7+B8+B9+B10+B11+B12+B13+B14+B15+B16+B17+B18+B19+B20+B21+B22+B23+B24+B25+B26+B27+B28+B29+B30+B31+B32+B33</f>
        <v>7210</v>
      </c>
      <c r="D106" s="7">
        <v>7210</v>
      </c>
      <c r="E106" s="7">
        <f t="shared" si="2"/>
        <v>37210</v>
      </c>
      <c r="F106" s="7">
        <f>MAX($E$2:E106)</f>
        <v>37250</v>
      </c>
      <c r="G106" s="23">
        <f t="shared" si="3"/>
        <v>1.0738255033557046E-3</v>
      </c>
      <c r="H106" s="23"/>
    </row>
    <row r="107" spans="2:8">
      <c r="B107" s="7">
        <v>310</v>
      </c>
      <c r="C107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34+B2+B3+B4+B5+B6+B7+B8+B9+B10+B11+B12+B13+B14+B15+B16+B17+B18+B19+B20+B21+B22+B23+B24+B25+B26+B27+B28+B29+B30+B31+B32+B33</f>
        <v>7520</v>
      </c>
      <c r="D107" s="7">
        <v>7520</v>
      </c>
      <c r="E107" s="7">
        <f t="shared" si="2"/>
        <v>37520</v>
      </c>
      <c r="F107" s="7">
        <f>MAX($E$2:E107)</f>
        <v>37520</v>
      </c>
      <c r="G107" s="23">
        <f t="shared" si="3"/>
        <v>0</v>
      </c>
      <c r="H107" s="23"/>
    </row>
    <row r="108" spans="2:8">
      <c r="B108" s="7">
        <v>0</v>
      </c>
      <c r="C10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34+B2+B3+B4+B5+B6+B7+B8+B9+B10+B11+B12+B13+B14+B15+B16+B17+B18+B19+B20+B21+B22+B23+B24+B25+B26+B27+B28+B29+B30+B31+B32+B33</f>
        <v>7520</v>
      </c>
      <c r="D108" s="7">
        <v>7520</v>
      </c>
      <c r="E108" s="7">
        <f t="shared" si="2"/>
        <v>37520</v>
      </c>
      <c r="F108" s="7">
        <f>MAX($E$2:E108)</f>
        <v>37520</v>
      </c>
      <c r="G108" s="23">
        <f t="shared" si="3"/>
        <v>0</v>
      </c>
      <c r="H108" s="23"/>
    </row>
    <row r="109" spans="2:8">
      <c r="B109" s="7">
        <v>330</v>
      </c>
      <c r="C10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34+B2+B3+B4+B5+B6+B7+B8+B9+B10+B11+B12+B13+B14+B15+B16+B17+B18+B19+B20+B21+B22+B23+B24+B25+B26+B27+B28+B29+B30+B31+B32+B33</f>
        <v>7850</v>
      </c>
      <c r="D109" s="7">
        <v>7850</v>
      </c>
      <c r="E109" s="7">
        <f t="shared" si="2"/>
        <v>37850</v>
      </c>
      <c r="F109" s="7">
        <f>MAX($E$2:E109)</f>
        <v>37850</v>
      </c>
      <c r="G109" s="23">
        <f t="shared" si="3"/>
        <v>0</v>
      </c>
      <c r="H109" s="23"/>
    </row>
    <row r="110" spans="2:8">
      <c r="B110" s="7">
        <v>330</v>
      </c>
      <c r="C11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34+B2+B3+B4+B5+B6+B7+B8+B9+B10+B11+B12+B13+B14+B15+B16+B17+B18+B19+B20+B21+B22+B23+B24+B25+B26+B27+B28+B29+B30+B31+B32+B33</f>
        <v>8180</v>
      </c>
      <c r="D110" s="7">
        <v>8180</v>
      </c>
      <c r="E110" s="7">
        <f t="shared" si="2"/>
        <v>38180</v>
      </c>
      <c r="F110" s="7">
        <f>MAX($E$2:E110)</f>
        <v>38180</v>
      </c>
      <c r="G110" s="23">
        <f t="shared" si="3"/>
        <v>0</v>
      </c>
      <c r="H110" s="23"/>
    </row>
    <row r="111" spans="2:8">
      <c r="B111" s="7">
        <v>-330</v>
      </c>
      <c r="C111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34+B2+B3+B4+B5+B6+B7+B8+B9+B10+B11+B12+B13+B14+B15+B16+B17+B18+B19+B20+B21+B22+B23+B24+B25+B26+B27+B28+B29+B30+B31+B32+B33</f>
        <v>7850</v>
      </c>
      <c r="D111" s="7">
        <v>7850</v>
      </c>
      <c r="E111" s="7">
        <f t="shared" si="2"/>
        <v>37850</v>
      </c>
      <c r="F111" s="7">
        <f>MAX($E$2:E111)</f>
        <v>38180</v>
      </c>
      <c r="G111" s="23">
        <f t="shared" si="3"/>
        <v>8.6432687270822425E-3</v>
      </c>
      <c r="H111" s="23"/>
    </row>
    <row r="112" spans="2:8">
      <c r="B112" s="7">
        <v>-330</v>
      </c>
      <c r="C112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34+B2+B3+B4+B5+B6+B7+B8+B9+B10+B11+B12+B13+B14+B15+B16+B17+B18+B19+B20+B21+B22+B23+B24+B25+B26+B27+B28+B29+B30+B31+B32+B33</f>
        <v>7520</v>
      </c>
      <c r="D112" s="7">
        <v>7520</v>
      </c>
      <c r="E112" s="7">
        <f t="shared" si="2"/>
        <v>37520</v>
      </c>
      <c r="F112" s="7">
        <f>MAX($E$2:E112)</f>
        <v>38180</v>
      </c>
      <c r="G112" s="23">
        <f t="shared" si="3"/>
        <v>1.7286537454164485E-2</v>
      </c>
      <c r="H112" s="23"/>
    </row>
    <row r="113" spans="2:8">
      <c r="B113" s="7">
        <v>-330</v>
      </c>
      <c r="C113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34+B2+B3+B4+B5+B6+B7+B8+B9+B10+B11+B12+B13+B14+B15+B16+B17+B18+B19+B20+B21+B22+B23+B24+B25+B26+B27+B28+B29+B30+B31+B32+B33</f>
        <v>7190</v>
      </c>
      <c r="D113" s="7">
        <v>7190</v>
      </c>
      <c r="E113" s="7">
        <f t="shared" si="2"/>
        <v>37190</v>
      </c>
      <c r="F113" s="7">
        <f>MAX($E$2:E113)</f>
        <v>38180</v>
      </c>
      <c r="G113" s="23">
        <f t="shared" si="3"/>
        <v>2.5929806181246726E-2</v>
      </c>
      <c r="H113" s="23"/>
    </row>
    <row r="114" spans="2:8">
      <c r="B114" s="7">
        <v>-330</v>
      </c>
      <c r="C114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34+B2+B3+B4+B5+B6+B7+B8+B9+B10+B11+B12+B13+B14+B15+B16+B17+B18+B19+B20+B21+B22+B23+B24+B25+B26+B27+B28+B29+B30+B31+B32+B33</f>
        <v>6860</v>
      </c>
      <c r="D114" s="7">
        <v>6860</v>
      </c>
      <c r="E114" s="7">
        <f t="shared" si="2"/>
        <v>36860</v>
      </c>
      <c r="F114" s="7">
        <f>MAX($E$2:E114)</f>
        <v>38180</v>
      </c>
      <c r="G114" s="23">
        <f t="shared" si="3"/>
        <v>3.457307490832897E-2</v>
      </c>
      <c r="H114" s="23"/>
    </row>
    <row r="115" spans="2:8">
      <c r="B115" s="7">
        <v>330</v>
      </c>
      <c r="C115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34+B2+B3+B4+B5+B6+B7+B8+B9+B10+B11+B12+B13+B14+B15+B16+B17+B18+B19+B20+B21+B22+B23+B24+B25+B26+B27+B28+B29+B30+B31+B32+B33+B115</f>
        <v>7190</v>
      </c>
      <c r="D115" s="7">
        <v>7190</v>
      </c>
      <c r="E115" s="7">
        <f t="shared" si="2"/>
        <v>37190</v>
      </c>
      <c r="F115" s="7">
        <f>MAX($E$2:E115)</f>
        <v>38180</v>
      </c>
      <c r="G115" s="23">
        <f t="shared" si="3"/>
        <v>2.5929806181246726E-2</v>
      </c>
      <c r="H115" s="23"/>
    </row>
    <row r="116" spans="2:8">
      <c r="B116" s="7">
        <v>330</v>
      </c>
      <c r="C116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34+B2+B3+B4+B5+B6+B7+B8+B9+B10+B11+B12+B13+B14+B15+B16+B17+B18+B19+B20+B21+B22+B23+B24+B25+B26+B27+B28+B29+B30+B31+B32+B33+B115+B116</f>
        <v>7520</v>
      </c>
      <c r="D116" s="7">
        <v>7520</v>
      </c>
      <c r="E116" s="7">
        <f t="shared" si="2"/>
        <v>37520</v>
      </c>
      <c r="F116" s="7">
        <f>MAX($E$2:E116)</f>
        <v>38180</v>
      </c>
      <c r="G116" s="23">
        <f t="shared" si="3"/>
        <v>1.7286537454164485E-2</v>
      </c>
      <c r="H116" s="23"/>
    </row>
    <row r="117" spans="2:8">
      <c r="B117" s="7">
        <v>0</v>
      </c>
      <c r="C117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2+B3+B4+B5+B6+B7+B8+B9+B10+B11+B12+B13+B14+B15+B16+B17+B18+B19+B20+B21+B22+B23+B24+B25+B26+B27+B28+B29+B30+B31+B32+B33</f>
        <v>7730</v>
      </c>
      <c r="D117" s="7">
        <v>7730</v>
      </c>
      <c r="E117" s="7">
        <f t="shared" si="2"/>
        <v>37730</v>
      </c>
      <c r="F117" s="7">
        <f>MAX($E$2:E117)</f>
        <v>38180</v>
      </c>
      <c r="G117" s="23">
        <f t="shared" si="3"/>
        <v>1.1786275536930331E-2</v>
      </c>
      <c r="H117" s="23"/>
    </row>
    <row r="118" spans="2:8">
      <c r="B118" s="7">
        <v>330</v>
      </c>
      <c r="C11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2+B3+B4+B5+B6+B7+B8+B9+B10+B11+B12+B13+B14+B15+B16+B17+B18+B19+B20+B21+B22+B23+B24+B25+B26+B27+B28+B29+B30+B31+B32+B33</f>
        <v>8060</v>
      </c>
      <c r="D118" s="7">
        <v>8060</v>
      </c>
      <c r="E118" s="7">
        <f t="shared" si="2"/>
        <v>38060</v>
      </c>
      <c r="F118" s="7">
        <f>MAX($E$2:E118)</f>
        <v>38180</v>
      </c>
      <c r="G118" s="23">
        <f t="shared" si="3"/>
        <v>3.1430068098480882E-3</v>
      </c>
      <c r="H118" s="23"/>
    </row>
    <row r="119" spans="2:8">
      <c r="B119" s="7">
        <v>-330</v>
      </c>
      <c r="C11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+B2+B3+B4+B5+B6+B7+B8+B9+B10+B11+B12+B13+B14+B15+B16+B17+B18+B19+B20+B21+B22+B23+B24+B25+B26+B27+B28+B29+B30+B31+B32+B337+B118+B119</f>
        <v>8390</v>
      </c>
      <c r="D119" s="7">
        <v>8390</v>
      </c>
      <c r="E119" s="7">
        <f t="shared" si="2"/>
        <v>38390</v>
      </c>
      <c r="F119" s="7">
        <f>MAX($E$2:E119)</f>
        <v>38390</v>
      </c>
      <c r="G119" s="23">
        <f t="shared" si="3"/>
        <v>0</v>
      </c>
      <c r="H119" s="23"/>
    </row>
    <row r="120" spans="2:8">
      <c r="B120" s="7">
        <v>330</v>
      </c>
      <c r="C12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2+B3+B4+B5+B6+B7+B8+B9+B10+B11+B12+B13+B14+B15+B16+B17+B18+B19+B20+B21+B22+B23+B24+B25+B26+B27+B28+B29+B30+B31+B32+B33</f>
        <v>8060</v>
      </c>
      <c r="D120" s="7">
        <v>8060</v>
      </c>
      <c r="E120" s="7">
        <f t="shared" si="2"/>
        <v>38060</v>
      </c>
      <c r="F120" s="7">
        <f>MAX($E$2:E120)</f>
        <v>38390</v>
      </c>
      <c r="G120" s="23">
        <f t="shared" si="3"/>
        <v>8.5959885386819486E-3</v>
      </c>
      <c r="H120" s="23"/>
    </row>
    <row r="121" spans="2:8">
      <c r="B121" s="7">
        <v>330</v>
      </c>
      <c r="C121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2+B3+B4+B5+B6+B7+B8+B9+B10+B11+B12+B13+B14+B15+B16+B17+B18+B19+B20+B21+B22+B23+B24+B25+B26+B27+B28+B29+B30+B31+B32+B33</f>
        <v>8390</v>
      </c>
      <c r="D121" s="7">
        <v>8390</v>
      </c>
      <c r="E121" s="7">
        <f t="shared" si="2"/>
        <v>38390</v>
      </c>
      <c r="F121" s="7">
        <f>MAX($E$2:E121)</f>
        <v>38390</v>
      </c>
      <c r="G121" s="23">
        <f t="shared" si="3"/>
        <v>0</v>
      </c>
      <c r="H121" s="23"/>
    </row>
    <row r="122" spans="2:8">
      <c r="B122" s="7">
        <v>-330</v>
      </c>
      <c r="C122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2+B3+B4+B5+B6+B7+B8+B9+B10+B11+B12+B13+B14+B15+B16+B17+B18+B19+B20+B21+B22+B23+B24+B25+B26+B27+B28+B29+B30+B31+B32+B33</f>
        <v>8060</v>
      </c>
      <c r="D122" s="7">
        <v>8060</v>
      </c>
      <c r="E122" s="7">
        <f t="shared" si="2"/>
        <v>38060</v>
      </c>
      <c r="F122" s="7">
        <f>MAX($E$2:E122)</f>
        <v>38390</v>
      </c>
      <c r="G122" s="23">
        <f t="shared" si="3"/>
        <v>8.5959885386819486E-3</v>
      </c>
      <c r="H122" s="23"/>
    </row>
    <row r="123" spans="2:8">
      <c r="B123" s="7">
        <v>330</v>
      </c>
      <c r="C123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2+B3+B4+B5+B6+B7+B8+B9+B10+B11+B12+B13+B14+B15+B16+B17+B18+B19+B20+B21+B22+B23+B24+B25+B26+B27+B28+B29+B30+B31+B32+B33</f>
        <v>8390</v>
      </c>
      <c r="D123" s="7">
        <v>8390</v>
      </c>
      <c r="E123" s="7">
        <f t="shared" si="2"/>
        <v>38390</v>
      </c>
      <c r="F123" s="7">
        <f>MAX($E$2:E123)</f>
        <v>38390</v>
      </c>
      <c r="G123" s="23">
        <f t="shared" si="3"/>
        <v>0</v>
      </c>
      <c r="H123" s="23"/>
    </row>
    <row r="124" spans="2:8">
      <c r="B124" s="7">
        <v>330</v>
      </c>
      <c r="C124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2+B3+B4+B5+B6+B7+B8+B9+B10+B11+B12+B13+B14+B15+B16+B17+B18+B19+B20+B21+B22+B23+B24+B25+B26+B27+B28+B29+B30+B31+B32+B33</f>
        <v>8720</v>
      </c>
      <c r="D124" s="7">
        <v>8720</v>
      </c>
      <c r="E124" s="7">
        <f t="shared" si="2"/>
        <v>38720</v>
      </c>
      <c r="F124" s="7">
        <f>MAX($E$2:E124)</f>
        <v>38720</v>
      </c>
      <c r="G124" s="23">
        <f t="shared" si="3"/>
        <v>0</v>
      </c>
      <c r="H124" s="23"/>
    </row>
    <row r="125" spans="2:8">
      <c r="B125" s="7">
        <v>330</v>
      </c>
      <c r="C125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2+B3+B4+B5+B6+B7+B8+B9+B10+B11+B12+B13+B14+B15+B16+B17+B18+B19+B20+B21+B22+B23+B24+B25+B26+B27+B28+B29+B30+B31+B32+B33</f>
        <v>9050</v>
      </c>
      <c r="D125" s="7">
        <v>9050</v>
      </c>
      <c r="E125" s="7">
        <f t="shared" si="2"/>
        <v>39050</v>
      </c>
      <c r="F125" s="7">
        <f>MAX($E$2:E125)</f>
        <v>39050</v>
      </c>
      <c r="G125" s="23">
        <f t="shared" si="3"/>
        <v>0</v>
      </c>
      <c r="H125" s="23"/>
    </row>
    <row r="126" spans="2:8">
      <c r="B126" s="7">
        <v>330</v>
      </c>
      <c r="C126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2+B3+B4+B5+B6+B7+B8+B9+B10+B11+B12+B13+B14+B15+B16+B17+B18+B19+B20+B21+B22+B23+B24+B25+B26+B27+B28+B29+B30+B31+B32+B33</f>
        <v>9380</v>
      </c>
      <c r="D126" s="7">
        <v>9380</v>
      </c>
      <c r="E126" s="7">
        <f t="shared" si="2"/>
        <v>39380</v>
      </c>
      <c r="F126" s="7">
        <f>MAX($E$2:E126)</f>
        <v>39380</v>
      </c>
      <c r="G126" s="23">
        <f t="shared" si="3"/>
        <v>0</v>
      </c>
      <c r="H126" s="23"/>
    </row>
    <row r="127" spans="2:8">
      <c r="B127" s="7">
        <v>330</v>
      </c>
      <c r="C127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2+B3+B4+B5+B6+B7+B8+B9+B10+B11+B12+B13+B14+B15+B16+B17+B18+B19+B20+B21+B22+B23+B24+B25+B26+B27+B28+B29+B30+B31+B32+B33</f>
        <v>9710</v>
      </c>
      <c r="D127" s="7">
        <v>9710</v>
      </c>
      <c r="E127" s="7">
        <f t="shared" si="2"/>
        <v>39710</v>
      </c>
      <c r="F127" s="7">
        <f>MAX($E$2:E127)</f>
        <v>39710</v>
      </c>
      <c r="G127" s="23">
        <f t="shared" si="3"/>
        <v>0</v>
      </c>
      <c r="H127" s="23"/>
    </row>
    <row r="128" spans="2:8">
      <c r="B128" s="7">
        <v>-330</v>
      </c>
      <c r="C12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2+B3+B4+B5+B6+B7+B8+B9+B10+B11+B12+B13+B14+B15+B16+B17+B18+B19+B20+B21+B22+B23+B24+B25+B26+B27+B28+B29+B30+B31+B32+B33</f>
        <v>9380</v>
      </c>
      <c r="D128" s="7">
        <v>9380</v>
      </c>
      <c r="E128" s="7">
        <f t="shared" si="2"/>
        <v>39380</v>
      </c>
      <c r="F128" s="7">
        <f>MAX($E$2:E128)</f>
        <v>39710</v>
      </c>
      <c r="G128" s="23">
        <f t="shared" si="3"/>
        <v>8.3102493074792248E-3</v>
      </c>
      <c r="H128" s="23"/>
    </row>
    <row r="129" spans="2:8">
      <c r="B129" s="7">
        <v>330</v>
      </c>
      <c r="C12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2+B3+B4+B5+B6+B7+B8+B9+B10+B11+B12+B13+B14+B15+B16+B17+B18+B19+B20+B21+B22+B23+B24+B25+B26+B27+B28+B29+B30+B31+B32+B33</f>
        <v>9710</v>
      </c>
      <c r="D129" s="7">
        <v>9710</v>
      </c>
      <c r="E129" s="7">
        <f t="shared" si="2"/>
        <v>39710</v>
      </c>
      <c r="F129" s="7">
        <f>MAX($E$2:E129)</f>
        <v>39710</v>
      </c>
      <c r="G129" s="23">
        <f t="shared" si="3"/>
        <v>0</v>
      </c>
      <c r="H129" s="23"/>
    </row>
    <row r="130" spans="2:8">
      <c r="B130" s="7">
        <v>-330</v>
      </c>
      <c r="C13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2+B3+B4+B5+B6+B7+B8+B9+B10+B11+B12+B13+B14+B15+B16+B17+B18+B19+B20+B21+B22+B23+B24+B25+B26+B27+B28+B29+B30+B31+B32+B33</f>
        <v>9380</v>
      </c>
      <c r="D130" s="7">
        <v>9380</v>
      </c>
      <c r="E130" s="7">
        <f t="shared" si="2"/>
        <v>39380</v>
      </c>
      <c r="F130" s="7">
        <f>MAX($E$2:E130)</f>
        <v>39710</v>
      </c>
      <c r="G130" s="23">
        <f t="shared" si="3"/>
        <v>8.3102493074792248E-3</v>
      </c>
      <c r="H130" s="23"/>
    </row>
    <row r="131" spans="2:8">
      <c r="B131" s="7">
        <v>330</v>
      </c>
      <c r="C131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2+B3+B4+B5+B6+B7+B8+B9+B10+B11+B12+B13+B14+B15+B16+B17+B18+B19+B20+B21+B22+B23+B24+B25+B26+B27+B28+B29+B30+B31+B32+B33</f>
        <v>9710</v>
      </c>
      <c r="D131" s="7">
        <v>9710</v>
      </c>
      <c r="E131" s="7">
        <f t="shared" ref="E131:E193" si="4">D131+$I$4</f>
        <v>39710</v>
      </c>
      <c r="F131" s="7">
        <f>MAX($E$2:E131)</f>
        <v>39710</v>
      </c>
      <c r="G131" s="23">
        <f t="shared" ref="G131:G193" si="5">(F131-E131)/F131</f>
        <v>0</v>
      </c>
      <c r="H131" s="23"/>
    </row>
    <row r="132" spans="2:8">
      <c r="B132" s="7">
        <v>330</v>
      </c>
      <c r="C132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2+B3+B4+B5+B6+B7+B8+B9+B10+B11+B12+B13+B14+B15+B16+B17+B18+B19+B20+B21+B22+B23+B24+B25+B26+B27+B28+B29+B30+B31+B32+B33</f>
        <v>10540</v>
      </c>
      <c r="D132" s="7">
        <v>10540</v>
      </c>
      <c r="E132" s="7">
        <f t="shared" si="4"/>
        <v>40540</v>
      </c>
      <c r="F132" s="7">
        <f>MAX($E$2:E132)</f>
        <v>40540</v>
      </c>
      <c r="G132" s="23">
        <f t="shared" si="5"/>
        <v>0</v>
      </c>
      <c r="H132" s="23"/>
    </row>
    <row r="133" spans="2:8">
      <c r="B133" s="7">
        <v>330</v>
      </c>
      <c r="C133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2+B3+B4+B5+B6+B7+B8+B9+B10+B11+B12+B13+B14+B15+B16+B17+B18+B19+B20+B21+B22+B23+B24+B25+B26+B27+B28+B29+B30+B31+B32+B33</f>
        <v>10870</v>
      </c>
      <c r="D133" s="7">
        <v>10870</v>
      </c>
      <c r="E133" s="7">
        <f t="shared" si="4"/>
        <v>40870</v>
      </c>
      <c r="F133" s="7">
        <f>MAX($E$2:E133)</f>
        <v>40870</v>
      </c>
      <c r="G133" s="23">
        <f t="shared" si="5"/>
        <v>0</v>
      </c>
      <c r="H133" s="23"/>
    </row>
    <row r="134" spans="2:8">
      <c r="B134" s="7">
        <v>330</v>
      </c>
      <c r="C134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2+B3+B4+B5+B6+B7+B8+B9+B10+B11+B12+B13+B14+B15+B16+B17+B18+B19+B20+B21+B22+B23+B24+B25+B26+B27+B28+B29+B30+B31+B32+B33</f>
        <v>11200</v>
      </c>
      <c r="D134" s="7">
        <v>11200</v>
      </c>
      <c r="E134" s="7">
        <f t="shared" si="4"/>
        <v>41200</v>
      </c>
      <c r="F134" s="7">
        <f>MAX($E$2:E134)</f>
        <v>41200</v>
      </c>
      <c r="G134" s="23">
        <f t="shared" si="5"/>
        <v>0</v>
      </c>
      <c r="H134" s="23"/>
    </row>
    <row r="135" spans="2:8">
      <c r="B135" s="7">
        <v>330</v>
      </c>
      <c r="C135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2+B3+B4+B5+B6+B7+B8+B9+B10+B11+B12+B13+B14+B15+B16+B17+B18+B19+B20+B21+B22+B23+B24+B25+B26+B27+B28+B29+B30+B31+B32+B33</f>
        <v>11530</v>
      </c>
      <c r="D135" s="7">
        <v>11530</v>
      </c>
      <c r="E135" s="7">
        <f t="shared" si="4"/>
        <v>41530</v>
      </c>
      <c r="F135" s="7">
        <f>MAX($E$2:E135)</f>
        <v>41530</v>
      </c>
      <c r="G135" s="23">
        <f t="shared" si="5"/>
        <v>0</v>
      </c>
      <c r="H135" s="23"/>
    </row>
    <row r="136" spans="2:8">
      <c r="B136" s="7">
        <v>330</v>
      </c>
      <c r="C136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2+B3+B4+B5+B6+B7+B8+B9+B10+B11+B12+B13+B14+B15+B16+B17+B18+B19+B20+B21+B22+B23+B24+B25+B26+B27+B28+B29+B30+B31+B32+B33</f>
        <v>11860</v>
      </c>
      <c r="D136" s="7">
        <v>11860</v>
      </c>
      <c r="E136" s="7">
        <f t="shared" si="4"/>
        <v>41860</v>
      </c>
      <c r="F136" s="7">
        <f>MAX($E$2:E136)</f>
        <v>41860</v>
      </c>
      <c r="G136" s="23">
        <f t="shared" si="5"/>
        <v>0</v>
      </c>
      <c r="H136" s="23"/>
    </row>
    <row r="137" spans="2:8">
      <c r="B137" s="7">
        <v>280</v>
      </c>
      <c r="C137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137+B2+B3+B4+B5+B6+B7+B8+B9+B10+B11+B12+B13+B14+B15+B16+B17+B18+B19+B20+B21+B22+B23+B24+B25+B26+B27+B28+B29+B30+B31+B32+B33</f>
        <v>12140</v>
      </c>
      <c r="D137" s="7">
        <v>12140</v>
      </c>
      <c r="E137" s="7">
        <f t="shared" si="4"/>
        <v>42140</v>
      </c>
      <c r="F137" s="7">
        <f>MAX($E$2:E137)</f>
        <v>42140</v>
      </c>
      <c r="G137" s="23">
        <f t="shared" si="5"/>
        <v>0</v>
      </c>
      <c r="H137" s="23"/>
    </row>
    <row r="138" spans="2:8">
      <c r="B138" s="7">
        <v>330</v>
      </c>
      <c r="C13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137+B138+B2+B3+B4+B5+B6+B7+B8+B9+B10+B11+B12+B13+B14+B15+B16+B17+B18+B19+B20+B21+B22+B23+B24+B25+B26+B27+B28+B29+B30+B31+B32+B33</f>
        <v>12470</v>
      </c>
      <c r="D138" s="7">
        <v>12470</v>
      </c>
      <c r="E138" s="7">
        <f t="shared" si="4"/>
        <v>42470</v>
      </c>
      <c r="F138" s="7">
        <f>MAX($E$2:E138)</f>
        <v>42470</v>
      </c>
      <c r="G138" s="23">
        <f t="shared" si="5"/>
        <v>0</v>
      </c>
      <c r="H138" s="23"/>
    </row>
    <row r="139" spans="2:8">
      <c r="B139" s="7">
        <v>-330</v>
      </c>
      <c r="C13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137+B138+B139+B2+B3+B4+B5+B6+B7+B8+B9+B10+B11+B12+B13+B14+B15+B16+B17+B18+B19+B20+B21+B22+B23+B24+B25+B26+B27+B28+B29+B30+B31+B32+B33</f>
        <v>12140</v>
      </c>
      <c r="D139" s="7">
        <v>12140</v>
      </c>
      <c r="E139" s="7">
        <f t="shared" si="4"/>
        <v>42140</v>
      </c>
      <c r="F139" s="7">
        <f>MAX($E$2:E139)</f>
        <v>42470</v>
      </c>
      <c r="G139" s="23">
        <f t="shared" si="5"/>
        <v>7.7701907228631979E-3</v>
      </c>
      <c r="H139" s="23"/>
    </row>
    <row r="140" spans="2:8">
      <c r="B140" s="7">
        <v>-330</v>
      </c>
      <c r="C14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137+B138+B139+B140+B2+B3+B4+B5+B6+B7+B8+B9+B10+B11+B12+B13+B14+B15+B16+B17+B18+B19+B20+B21+B22+B23+B24+B25+B26+B27+B28+B29+B30+B31+B32+B33</f>
        <v>11810</v>
      </c>
      <c r="D140" s="7">
        <v>11810</v>
      </c>
      <c r="E140" s="7">
        <f t="shared" si="4"/>
        <v>41810</v>
      </c>
      <c r="F140" s="7">
        <f>MAX($E$2:E140)</f>
        <v>42470</v>
      </c>
      <c r="G140" s="23">
        <f t="shared" si="5"/>
        <v>1.5540381445726396E-2</v>
      </c>
      <c r="H140" s="23"/>
    </row>
    <row r="141" spans="2:8">
      <c r="B141" s="7">
        <v>330</v>
      </c>
      <c r="C14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2+B3+B4+B5+B6+B7+B8+B9+B10+B11+B12+B13+B14+B15+B16+B17+B18+B19+B20+B21+B22+B23+B24+B25+B26+B27+B28+B29+B30+B31+B32+B33</f>
        <v>12090</v>
      </c>
      <c r="D141" s="7">
        <v>12090</v>
      </c>
      <c r="E141" s="7">
        <f t="shared" si="4"/>
        <v>42090</v>
      </c>
      <c r="F141" s="7">
        <f>MAX($E$2:E141)</f>
        <v>42470</v>
      </c>
      <c r="G141" s="23">
        <f t="shared" si="5"/>
        <v>8.9474923475394395E-3</v>
      </c>
      <c r="H141" s="23"/>
    </row>
    <row r="142" spans="2:8">
      <c r="B142" s="7">
        <v>330</v>
      </c>
      <c r="C14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2+B3+B4+B5+B6+B7+B8+B9+B10+B11+B12+B13+B14+B15+B16+B17+B18+B19+B20+B21+B22+B23+B24+B25+B26+B27+B28+B29+B30+B31+B32+B33</f>
        <v>12420</v>
      </c>
      <c r="D142" s="7">
        <v>12420</v>
      </c>
      <c r="E142" s="7">
        <f t="shared" si="4"/>
        <v>42420</v>
      </c>
      <c r="F142" s="7">
        <f>MAX($E$2:E142)</f>
        <v>42470</v>
      </c>
      <c r="G142" s="23">
        <f t="shared" si="5"/>
        <v>1.1773016246762421E-3</v>
      </c>
      <c r="H142" s="23"/>
    </row>
    <row r="143" spans="2:8">
      <c r="B143" s="7">
        <v>330</v>
      </c>
      <c r="C14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2+B3+B4+B5+B6+B7+B8+B9+B10+B11+B12+B13+B14+B15+B16+B17+B18+B19+B20+B21+B22+B23+B24+B25+B26+B27+B28+B29+B30+B31+B32+B33</f>
        <v>12750</v>
      </c>
      <c r="D143" s="7">
        <v>12750</v>
      </c>
      <c r="E143" s="7">
        <f t="shared" si="4"/>
        <v>42750</v>
      </c>
      <c r="F143" s="7">
        <f>MAX($E$2:E143)</f>
        <v>42750</v>
      </c>
      <c r="G143" s="23">
        <f t="shared" si="5"/>
        <v>0</v>
      </c>
      <c r="H143" s="23"/>
    </row>
    <row r="144" spans="2:8">
      <c r="B144" s="7">
        <v>-330</v>
      </c>
      <c r="C14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2+B3+B4+B5+B6+B7+B8+B9+B10+B11+B12+B13+B14+B15+B16+B17+B18+B19+B20+B21+B22+B23+B24+B25+B26+B27+B28+B29+B30+B31+B32+B33</f>
        <v>12420</v>
      </c>
      <c r="D144" s="7">
        <v>12420</v>
      </c>
      <c r="E144" s="7">
        <f t="shared" si="4"/>
        <v>42420</v>
      </c>
      <c r="F144" s="7">
        <f>MAX($E$2:E144)</f>
        <v>42750</v>
      </c>
      <c r="G144" s="23">
        <f t="shared" si="5"/>
        <v>7.7192982456140355E-3</v>
      </c>
      <c r="H144" s="23"/>
    </row>
    <row r="145" spans="2:8">
      <c r="B145" s="7">
        <v>-330</v>
      </c>
      <c r="C14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2+B3+B4+B5+B6+B7+B8+B9+B10+B11+B12+B13+B14+B15+B16+B17+B18+B19+B20+B21+B22+B23+B24+B25+B26+B27+B28+B29+B30+B31+B32+B33</f>
        <v>12090</v>
      </c>
      <c r="D145" s="7">
        <v>12090</v>
      </c>
      <c r="E145" s="7">
        <f t="shared" si="4"/>
        <v>42090</v>
      </c>
      <c r="F145" s="7">
        <f>MAX($E$2:E145)</f>
        <v>42750</v>
      </c>
      <c r="G145" s="23">
        <f t="shared" si="5"/>
        <v>1.5438596491228071E-2</v>
      </c>
      <c r="H145" s="23"/>
    </row>
    <row r="146" spans="2:8">
      <c r="B146" s="7">
        <v>330</v>
      </c>
      <c r="C14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2+B3+B4+B5+B6+B7+B8+B9+B10+B11+B12+B13+B14+B15+B16+B17+B18+B19+B20+B21+B22+B23+B24+B25+B26+B27+B28+B29+B30+B31+B32+B33</f>
        <v>12420</v>
      </c>
      <c r="D146" s="7">
        <v>12420</v>
      </c>
      <c r="E146" s="7">
        <f t="shared" si="4"/>
        <v>42420</v>
      </c>
      <c r="F146" s="7">
        <f>MAX($E$2:E146)</f>
        <v>42750</v>
      </c>
      <c r="G146" s="23">
        <f t="shared" si="5"/>
        <v>7.7192982456140355E-3</v>
      </c>
      <c r="H146" s="23"/>
    </row>
    <row r="147" spans="2:8">
      <c r="B147" s="9">
        <v>330</v>
      </c>
      <c r="C14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2+B3+B4+B5+B6+B7+B8+B9+B10+B11+B12+B13+B14+B15+B16+B17+B18+B19+B20+B21+B22+B23+B24+B25+B26+B27+B28+B29+B30+B31+B32+B33</f>
        <v>12750</v>
      </c>
      <c r="D147" s="7">
        <v>12750</v>
      </c>
      <c r="E147" s="7">
        <f t="shared" si="4"/>
        <v>42750</v>
      </c>
      <c r="F147" s="7">
        <f>MAX($E$2:E147)</f>
        <v>42750</v>
      </c>
      <c r="G147" s="23">
        <f t="shared" si="5"/>
        <v>0</v>
      </c>
      <c r="H147" s="23"/>
    </row>
    <row r="148" spans="2:8">
      <c r="B148" s="9">
        <v>330</v>
      </c>
      <c r="C14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2+B3+B4+B5+B6+B7+B8+B9+B10+B11+B12+B13+B14+B15+B16+B17+B18+B19+B20+B21+B22+B23+B24+B25+B26+B27+B28+B29+B30+B31+B32+B33</f>
        <v>13080</v>
      </c>
      <c r="D148" s="7">
        <v>13080</v>
      </c>
      <c r="E148" s="7">
        <f t="shared" si="4"/>
        <v>43080</v>
      </c>
      <c r="F148" s="7">
        <f>MAX($E$2:E148)</f>
        <v>43080</v>
      </c>
      <c r="G148" s="23">
        <f t="shared" si="5"/>
        <v>0</v>
      </c>
      <c r="H148" s="23"/>
    </row>
    <row r="149" spans="2:8">
      <c r="B149" s="7">
        <v>-330</v>
      </c>
      <c r="C14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2+B3+B4+B5+B6+B7+B8+B9+B10+B11+B12+B13+B14+B15+B16+B17+B18+B19+B20+B21+B22+B23+B24+B25+B26+B27+B28+B29+B30+B31+B32+B33</f>
        <v>12750</v>
      </c>
      <c r="D149" s="7">
        <v>12750</v>
      </c>
      <c r="E149" s="7">
        <f t="shared" si="4"/>
        <v>42750</v>
      </c>
      <c r="F149" s="7">
        <f>MAX($E$2:E149)</f>
        <v>43080</v>
      </c>
      <c r="G149" s="23">
        <f t="shared" si="5"/>
        <v>7.6601671309192198E-3</v>
      </c>
      <c r="H149" s="23"/>
    </row>
    <row r="150" spans="2:8">
      <c r="B150" s="7">
        <v>330</v>
      </c>
      <c r="C15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2+B3+B4+B5+B6+B7+B8+B9+B10+B11+B12+B13+B14+B15+B16+B17+B18+B19+B20+B21+B22+B23+B24+B25+B26+B27+B28+B29+B30+B31+B32+B33</f>
        <v>13080</v>
      </c>
      <c r="D150" s="7">
        <v>13080</v>
      </c>
      <c r="E150" s="7">
        <f t="shared" si="4"/>
        <v>43080</v>
      </c>
      <c r="F150" s="7">
        <f>MAX($E$2:E150)</f>
        <v>43080</v>
      </c>
      <c r="G150" s="23">
        <f t="shared" si="5"/>
        <v>0</v>
      </c>
      <c r="H150" s="23"/>
    </row>
    <row r="151" spans="2:8">
      <c r="B151" s="7">
        <v>330</v>
      </c>
      <c r="C15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2+B3+B4+B5+B6+B7+B8+B9+B10+B11+B12+B13+B14+B15+B16+B17+B18+B19+B20+B21+B22+B23+B24+B25+B26+B27+B28+B29+B30+B31+B32+B33</f>
        <v>13410</v>
      </c>
      <c r="D151" s="7">
        <v>13410</v>
      </c>
      <c r="E151" s="7">
        <f t="shared" si="4"/>
        <v>43410</v>
      </c>
      <c r="F151" s="7">
        <f>MAX($E$2:E151)</f>
        <v>43410</v>
      </c>
      <c r="G151" s="23">
        <f t="shared" si="5"/>
        <v>0</v>
      </c>
      <c r="H151" s="23"/>
    </row>
    <row r="152" spans="2:8">
      <c r="B152" s="7">
        <v>-330</v>
      </c>
      <c r="C15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2+B3+B4+B5+B6+B7+B8+B9+B10+B11+B12+B13+B14+B15+B16+B17+B18+B19+B20+B21+B22+B23+B24+B25+B26+B27+B28+B29+B30+B31+B32+B33</f>
        <v>13080</v>
      </c>
      <c r="D152" s="7">
        <v>13080</v>
      </c>
      <c r="E152" s="7">
        <f t="shared" si="4"/>
        <v>43080</v>
      </c>
      <c r="F152" s="7">
        <f>MAX($E$2:E152)</f>
        <v>43410</v>
      </c>
      <c r="G152" s="23">
        <f t="shared" si="5"/>
        <v>7.601935038009675E-3</v>
      </c>
      <c r="H152" s="23"/>
    </row>
    <row r="153" spans="2:8">
      <c r="B153" s="7">
        <v>-330</v>
      </c>
      <c r="C15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2+B3+B4+B5+B6+B7+B8+B9+B10+B11+B12+B13+B14+B15+B16+B17+B18+B19+B20+B21+B22+B23+B24+B25+B26+B27+B28+B29+B30+B31+B32+B33</f>
        <v>12750</v>
      </c>
      <c r="D153" s="7">
        <v>12750</v>
      </c>
      <c r="E153" s="7">
        <f t="shared" si="4"/>
        <v>42750</v>
      </c>
      <c r="F153" s="7">
        <f>MAX($E$2:E153)</f>
        <v>43410</v>
      </c>
      <c r="G153" s="23">
        <f t="shared" si="5"/>
        <v>1.520387007601935E-2</v>
      </c>
      <c r="H153" s="23"/>
    </row>
    <row r="154" spans="2:8">
      <c r="B154" s="7">
        <v>-330</v>
      </c>
      <c r="C15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2+B3+B4+B5+B6+B7+B8+B9+B10+B11+B12+B13+B14+B15+B16+B17+B18+B19+B20+B21+B22+B23+B24+B25+B26+B27+B28+B29+B30+B31+B32+B33</f>
        <v>12420</v>
      </c>
      <c r="D154" s="7">
        <v>12420</v>
      </c>
      <c r="E154" s="7">
        <f t="shared" si="4"/>
        <v>42420</v>
      </c>
      <c r="F154" s="7">
        <f>MAX($E$2:E154)</f>
        <v>43410</v>
      </c>
      <c r="G154" s="23">
        <f t="shared" si="5"/>
        <v>2.2805805114029024E-2</v>
      </c>
      <c r="H154" s="23"/>
    </row>
    <row r="155" spans="2:8">
      <c r="B155" s="7">
        <v>330</v>
      </c>
      <c r="C15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2+B3+B4+B5+B6+B7+B8+B9+B10+B11+B12+B13+B14+B15+B16+B17+B18+B19+B20+B21+B22+B23+B24+B25+B26+B27+B28+B29+B30+B31+B32+B33</f>
        <v>12750</v>
      </c>
      <c r="D155" s="7">
        <v>12750</v>
      </c>
      <c r="E155" s="7">
        <f t="shared" si="4"/>
        <v>42750</v>
      </c>
      <c r="F155" s="7">
        <f>MAX($E$2:E155)</f>
        <v>43410</v>
      </c>
      <c r="G155" s="23">
        <f t="shared" si="5"/>
        <v>1.520387007601935E-2</v>
      </c>
      <c r="H155" s="23"/>
    </row>
    <row r="156" spans="2:8">
      <c r="B156" s="7">
        <v>-330</v>
      </c>
      <c r="C15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2+B3+B4+B5+B6+B7+B8+B9+B10+B11+B12+B13+B14+B15+B16+B17+B18+B19+B20+B21+B22+B23+B24+B25+B26+B27+B28+B29+B30+B31+B32+B33</f>
        <v>12420</v>
      </c>
      <c r="D156" s="7">
        <v>12420</v>
      </c>
      <c r="E156" s="7">
        <f t="shared" si="4"/>
        <v>42420</v>
      </c>
      <c r="F156" s="7">
        <f>MAX($E$2:E156)</f>
        <v>43410</v>
      </c>
      <c r="G156" s="23">
        <f t="shared" si="5"/>
        <v>2.2805805114029024E-2</v>
      </c>
      <c r="H156" s="23"/>
    </row>
    <row r="157" spans="2:8">
      <c r="B157" s="7">
        <v>330</v>
      </c>
      <c r="C15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2+B3+B4+B5+B6+B7+B8+B9+B10+B11+B12+B13+B14+B15+B16+B17+B18+B19+B20+B21+B22+B23+B24+B25+B26+B27+B28+B29+B30+B31+B32+B33</f>
        <v>12750</v>
      </c>
      <c r="D157" s="7">
        <v>12750</v>
      </c>
      <c r="E157" s="7">
        <f t="shared" si="4"/>
        <v>42750</v>
      </c>
      <c r="F157" s="7">
        <f>MAX($E$2:E157)</f>
        <v>43410</v>
      </c>
      <c r="G157" s="23">
        <f t="shared" si="5"/>
        <v>1.520387007601935E-2</v>
      </c>
      <c r="H157" s="23"/>
    </row>
    <row r="158" spans="2:8">
      <c r="B158" s="7">
        <v>330</v>
      </c>
      <c r="C15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2+B3+B4+B5+B6+B7+B8+B9+B10+B11+B12+B13+B14+B15+B16+B17+B18+B19+B20+B21+B22+B23+B24+B25+B26+B27+B28+B29+B30+B31+B32+B33</f>
        <v>13080</v>
      </c>
      <c r="D158" s="7">
        <v>13080</v>
      </c>
      <c r="E158" s="7">
        <f t="shared" si="4"/>
        <v>43080</v>
      </c>
      <c r="F158" s="7">
        <f>MAX($E$2:E158)</f>
        <v>43410</v>
      </c>
      <c r="G158" s="23">
        <f t="shared" si="5"/>
        <v>7.601935038009675E-3</v>
      </c>
      <c r="H158" s="23"/>
    </row>
    <row r="159" spans="2:8">
      <c r="B159" s="7">
        <v>0</v>
      </c>
      <c r="C15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2+B3+B4+B5+B6+B7+B8+B9+B10+B11+B12+B13+B14+B15+B16+B17+B18+B19+B20+B21+B22+B23+B24+B25+B26+B27+B28+B29+B30+B31+B32+B33</f>
        <v>13080</v>
      </c>
      <c r="D159" s="7">
        <v>13080</v>
      </c>
      <c r="E159" s="7">
        <f t="shared" si="4"/>
        <v>43080</v>
      </c>
      <c r="F159" s="7">
        <f>MAX($E$2:E159)</f>
        <v>43410</v>
      </c>
      <c r="G159" s="23">
        <f t="shared" si="5"/>
        <v>7.601935038009675E-3</v>
      </c>
      <c r="H159" s="23"/>
    </row>
    <row r="160" spans="2:8">
      <c r="B160" s="7">
        <v>330</v>
      </c>
      <c r="C16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2+B3+B4+B5+B6+B7+B8+B9+B10+B11+B12+B13+B14+B15+B16+B17+B18+B19+B20+B21+B22+B23+B24+B25+B26+B27+B28+B29+B30+B31+B32+B33</f>
        <v>13410</v>
      </c>
      <c r="D160" s="7">
        <v>13410</v>
      </c>
      <c r="E160" s="7">
        <f t="shared" si="4"/>
        <v>43410</v>
      </c>
      <c r="F160" s="7">
        <f>MAX($E$2:E160)</f>
        <v>43410</v>
      </c>
      <c r="G160" s="23">
        <f t="shared" si="5"/>
        <v>0</v>
      </c>
      <c r="H160" s="23"/>
    </row>
    <row r="161" spans="2:8">
      <c r="B161" s="7">
        <v>-330</v>
      </c>
      <c r="C16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2+B3+B4+B5+B6+B7+B8+B9+B10+B11+B12+B13+B14+B15+B16+B17+B18+B19+B20+B21+B22+B23+B24+B25+B26+B27+B28+B29+B30+B31+B32+B33</f>
        <v>13080</v>
      </c>
      <c r="D161" s="7">
        <v>13080</v>
      </c>
      <c r="E161" s="7">
        <f t="shared" si="4"/>
        <v>43080</v>
      </c>
      <c r="F161" s="7">
        <f>MAX($E$2:E161)</f>
        <v>43410</v>
      </c>
      <c r="G161" s="23">
        <f t="shared" si="5"/>
        <v>7.601935038009675E-3</v>
      </c>
      <c r="H161" s="23"/>
    </row>
    <row r="162" spans="2:8">
      <c r="B162" s="7">
        <v>-330</v>
      </c>
      <c r="C16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2+B3+B4+B5+B6+B7+B8+B9+B10+B11+B12+B13+B14+B15+B16+B17+B18+B19+B20+B21+B22+B23+B24+B25+B26+B27+B28+B29+B30+B31+B32+B33</f>
        <v>12750</v>
      </c>
      <c r="D162" s="7">
        <v>12750</v>
      </c>
      <c r="E162" s="7">
        <f t="shared" si="4"/>
        <v>42750</v>
      </c>
      <c r="F162" s="7">
        <f>MAX($E$2:E162)</f>
        <v>43410</v>
      </c>
      <c r="G162" s="23">
        <f t="shared" si="5"/>
        <v>1.520387007601935E-2</v>
      </c>
      <c r="H162" s="23"/>
    </row>
    <row r="163" spans="2:8">
      <c r="B163" s="7">
        <v>330</v>
      </c>
      <c r="C16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2+B3+B4+B5+B6+B7+B8+B9+B10+B11+B12+B13+B14+B15+B16+B17+B18+B19+B20+B21+B22+B23+B24+B25+B26+B27+B28+B29+B30+B31+B32+B33</f>
        <v>13080</v>
      </c>
      <c r="D163" s="7">
        <v>13080</v>
      </c>
      <c r="E163" s="7">
        <f t="shared" si="4"/>
        <v>43080</v>
      </c>
      <c r="F163" s="7">
        <f>MAX($E$2:E163)</f>
        <v>43410</v>
      </c>
      <c r="G163" s="23">
        <f t="shared" si="5"/>
        <v>7.601935038009675E-3</v>
      </c>
      <c r="H163" s="23"/>
    </row>
    <row r="164" spans="2:8">
      <c r="B164" s="7">
        <v>330</v>
      </c>
      <c r="C16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2+B3+B4+B5+B6+B7+B8+B9+B10+B11+B12+B13+B14+B15+B16+B17+B18+B19+B20+B21+B22+B23+B24+B25+B26+B27+B28+B29+B30+B31+B32+B33</f>
        <v>13410</v>
      </c>
      <c r="D164" s="7">
        <v>13410</v>
      </c>
      <c r="E164" s="7">
        <f t="shared" si="4"/>
        <v>43410</v>
      </c>
      <c r="F164" s="7">
        <f>MAX($E$2:E164)</f>
        <v>43410</v>
      </c>
      <c r="G164" s="23">
        <f t="shared" si="5"/>
        <v>0</v>
      </c>
      <c r="H164" s="23"/>
    </row>
    <row r="165" spans="2:8">
      <c r="B165" s="7">
        <v>330</v>
      </c>
      <c r="C16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2+B3+B4+B5+B6+B7+B8+B9+B10+B11+B12+B13+B14+B15+B16+B17+B18+B19+B20+B21+B22+B23+B24+B25+B26+B27+B28+B29+B30+B31+B32+B33</f>
        <v>13740</v>
      </c>
      <c r="D165" s="7">
        <v>13740</v>
      </c>
      <c r="E165" s="7">
        <f t="shared" si="4"/>
        <v>43740</v>
      </c>
      <c r="F165" s="7">
        <f>MAX($E$2:E165)</f>
        <v>43740</v>
      </c>
      <c r="G165" s="23">
        <f t="shared" si="5"/>
        <v>0</v>
      </c>
      <c r="H165" s="23"/>
    </row>
    <row r="166" spans="2:8">
      <c r="B166" s="7">
        <v>330</v>
      </c>
      <c r="C16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2+B3+B4+B5+B6+B7+B8+B9+B10+B11+B12+B13+B14+B15+B16+B17+B18+B19+B20+B21+B22+B23+B24+B25+B26+B27+B28+B29+B30+B31+B32+B33</f>
        <v>14070</v>
      </c>
      <c r="D166" s="7">
        <v>14070</v>
      </c>
      <c r="E166" s="7">
        <f t="shared" si="4"/>
        <v>44070</v>
      </c>
      <c r="F166" s="7">
        <f>MAX($E$2:E166)</f>
        <v>44070</v>
      </c>
      <c r="G166" s="23">
        <f t="shared" si="5"/>
        <v>0</v>
      </c>
      <c r="H166" s="23"/>
    </row>
    <row r="167" spans="2:8">
      <c r="B167" s="7">
        <v>330</v>
      </c>
      <c r="C16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2+B3+B4+B5+B6+B7+B8+B9+B10+B11+B12+B13+B14+B15+B16+B17+B18+B19+B20+B21+B22+B23+B24+B25+B26+B27+B28+B29+B30+B31+B32+B33</f>
        <v>14400</v>
      </c>
      <c r="D167" s="7">
        <v>14400</v>
      </c>
      <c r="E167" s="7">
        <f t="shared" si="4"/>
        <v>44400</v>
      </c>
      <c r="F167" s="7">
        <f>MAX($E$2:E167)</f>
        <v>44400</v>
      </c>
      <c r="G167" s="23">
        <f t="shared" si="5"/>
        <v>0</v>
      </c>
      <c r="H167" s="23"/>
    </row>
    <row r="168" spans="2:8">
      <c r="B168" s="7">
        <v>330</v>
      </c>
      <c r="C16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2+B3+B4+B5+B6+B7+B8+B9+B10+B11+B12+B13+B14+B15+B16+B17+B18+B19+B20+B21+B22+B23+B24+B25+B26+B27+B28+B29+B30+B31+B32+B33</f>
        <v>14730</v>
      </c>
      <c r="D168" s="7">
        <v>14730</v>
      </c>
      <c r="E168" s="7">
        <f t="shared" si="4"/>
        <v>44730</v>
      </c>
      <c r="F168" s="7">
        <f>MAX($E$2:E168)</f>
        <v>44730</v>
      </c>
      <c r="G168" s="23">
        <f t="shared" si="5"/>
        <v>0</v>
      </c>
      <c r="H168" s="23"/>
    </row>
    <row r="169" spans="2:8">
      <c r="B169" s="7">
        <v>0</v>
      </c>
      <c r="C16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2+B3+B4+B5+B6+B7+B8+B9+B10+B11+B12+B13+B14+B15+B16+B17+B18+B19+B20+B21+B22+B23+B24+B25+B26+B27+B28+B29+B30+B31+B32+B33</f>
        <v>14730</v>
      </c>
      <c r="D169" s="7">
        <v>14730</v>
      </c>
      <c r="E169" s="7">
        <f t="shared" si="4"/>
        <v>44730</v>
      </c>
      <c r="F169" s="7">
        <f>MAX($E$2:E169)</f>
        <v>44730</v>
      </c>
      <c r="G169" s="23">
        <f t="shared" si="5"/>
        <v>0</v>
      </c>
      <c r="H169" s="23"/>
    </row>
    <row r="170" spans="2:8">
      <c r="B170" s="7">
        <v>-330</v>
      </c>
      <c r="C17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2+B3+B4+B5+B6+B7+B8+B9+B10+B11+B12+B13+B14+B15+B16+B17+B18+B19+B20+B21+B22+B23+B24+B25+B26+B27+B28+B29+B30+B31+B32+B33</f>
        <v>14400</v>
      </c>
      <c r="D170" s="7">
        <v>14400</v>
      </c>
      <c r="E170" s="7">
        <f t="shared" si="4"/>
        <v>44400</v>
      </c>
      <c r="F170" s="7">
        <f>MAX($E$2:E170)</f>
        <v>44730</v>
      </c>
      <c r="G170" s="23">
        <f t="shared" si="5"/>
        <v>7.3775989268947016E-3</v>
      </c>
      <c r="H170" s="23"/>
    </row>
    <row r="171" spans="2:8">
      <c r="B171" s="7">
        <v>-330</v>
      </c>
      <c r="C17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2+B3+B4+B5+B6+B7+B8+B9+B10+B11+B12+B13+B14+B15+B16+B17+B18+B19+B20+B21+B22+B23+B24+B25+B26+B27+B28+B29+B30+B31+B32+B33</f>
        <v>14070</v>
      </c>
      <c r="D171" s="7">
        <v>14070</v>
      </c>
      <c r="E171" s="7">
        <f t="shared" si="4"/>
        <v>44070</v>
      </c>
      <c r="F171" s="7">
        <f>MAX($E$2:E171)</f>
        <v>44730</v>
      </c>
      <c r="G171" s="23">
        <f t="shared" si="5"/>
        <v>1.4755197853789403E-2</v>
      </c>
      <c r="H171" s="23"/>
    </row>
    <row r="172" spans="2:8">
      <c r="B172" s="7">
        <v>330</v>
      </c>
      <c r="C17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2+B3+B4+B5+B6+B7+B8+B9+B10+B11+B12+B13+B14+B15+B16+B17+B18+B19+B20+B21+B22+B23+B24+B25+B26+B27+B28+B29+B30+B31+B32+B33</f>
        <v>14400</v>
      </c>
      <c r="D172" s="7">
        <v>14400</v>
      </c>
      <c r="E172" s="7">
        <f t="shared" si="4"/>
        <v>44400</v>
      </c>
      <c r="F172" s="7">
        <f>MAX($E$2:E172)</f>
        <v>44730</v>
      </c>
      <c r="G172" s="23">
        <f t="shared" si="5"/>
        <v>7.3775989268947016E-3</v>
      </c>
      <c r="H172" s="23"/>
    </row>
    <row r="173" spans="2:8">
      <c r="B173" s="7">
        <v>-330</v>
      </c>
      <c r="C17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2+B3+B4+B5+B6+B7+B8+B9+B10+B11+B12+B13+B14+B15+B16+B17+B18+B19+B20+B21+B22+B23+B24+B25+B26+B27+B28+B29+B30+B31+B32+B33</f>
        <v>14070</v>
      </c>
      <c r="D173" s="7">
        <v>14070</v>
      </c>
      <c r="E173" s="7">
        <f t="shared" si="4"/>
        <v>44070</v>
      </c>
      <c r="F173" s="7">
        <f>MAX($E$2:E173)</f>
        <v>44730</v>
      </c>
      <c r="G173" s="23">
        <f t="shared" si="5"/>
        <v>1.4755197853789403E-2</v>
      </c>
      <c r="H173" s="23"/>
    </row>
    <row r="174" spans="2:8">
      <c r="B174" s="7">
        <v>-330</v>
      </c>
      <c r="C17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2+B3+B4+B5+B6+B7+B8+B9+B10+B11+B12+B13+B14+B15+B16+B17+B18+B19+B20+B21+B22+B23+B24+B25+B26+B27+B28+B29+B30+B31+B32+B33</f>
        <v>13740</v>
      </c>
      <c r="D174" s="7">
        <v>13740</v>
      </c>
      <c r="E174" s="7">
        <f t="shared" si="4"/>
        <v>43740</v>
      </c>
      <c r="F174" s="7">
        <f>MAX($E$2:E174)</f>
        <v>44730</v>
      </c>
      <c r="G174" s="23">
        <f t="shared" si="5"/>
        <v>2.2132796780684104E-2</v>
      </c>
      <c r="H174" s="23"/>
    </row>
    <row r="175" spans="2:8">
      <c r="B175" s="7">
        <v>0</v>
      </c>
      <c r="C17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2+B3+B4+B5+B6+B7+B8+B9+B10+B11+B12+B13+B14+B15+B16+B17+B18+B19+B20+B21+B22+B23+B24+B25+B26+B27+B28+B29+B30+B31+B32+B33</f>
        <v>13740</v>
      </c>
      <c r="D175" s="7">
        <v>13740</v>
      </c>
      <c r="E175" s="7">
        <f t="shared" si="4"/>
        <v>43740</v>
      </c>
      <c r="F175" s="7">
        <f>MAX($E$2:E175)</f>
        <v>44730</v>
      </c>
      <c r="G175" s="23">
        <f t="shared" si="5"/>
        <v>2.2132796780684104E-2</v>
      </c>
      <c r="H175" s="23"/>
    </row>
    <row r="176" spans="2:8">
      <c r="B176" s="7">
        <v>330</v>
      </c>
      <c r="C17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2+B3+B4+B5+B6+B7+B8+B9+B10+B11+B12+B13+B14+B15+B16+B17+B18+B19+B20+B21+B22+B23+B24+B25+B26+B27+B28+B29+B30+B31+B32+B33</f>
        <v>14070</v>
      </c>
      <c r="D176" s="7">
        <v>14070</v>
      </c>
      <c r="E176" s="7">
        <f t="shared" si="4"/>
        <v>44070</v>
      </c>
      <c r="F176" s="7">
        <f>MAX($E$2:E176)</f>
        <v>44730</v>
      </c>
      <c r="G176" s="23">
        <f t="shared" si="5"/>
        <v>1.4755197853789403E-2</v>
      </c>
      <c r="H176" s="23"/>
    </row>
    <row r="177" spans="2:11">
      <c r="B177" s="7">
        <v>330</v>
      </c>
      <c r="C17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2+B3+B4+B5+B6+B7+B8+B9+B10+B11+B12+B13+B14+B15+B16+B17+B18+B19+B20+B21+B22+B23+B24+B25+B26+B27+B28+B29+B30+B31+B32+B33</f>
        <v>14400</v>
      </c>
      <c r="D177" s="7">
        <v>14400</v>
      </c>
      <c r="E177" s="7">
        <f t="shared" si="4"/>
        <v>44400</v>
      </c>
      <c r="F177" s="7">
        <f>MAX($E$2:E177)</f>
        <v>44730</v>
      </c>
      <c r="G177" s="23">
        <f t="shared" si="5"/>
        <v>7.3775989268947016E-3</v>
      </c>
      <c r="H177" s="23"/>
    </row>
    <row r="178" spans="2:11">
      <c r="B178" s="7">
        <v>0</v>
      </c>
      <c r="C17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2+B3+B4+B5+B6+B7+B8+B9+B10+B11+B12+B13+B14+B15+B16+B17+B18+B19+B20+B21+B22+B23+B24+B25+B26+B27+B28+B29+B30+B31+B32+B33</f>
        <v>14400</v>
      </c>
      <c r="D178" s="7">
        <v>14400</v>
      </c>
      <c r="E178" s="7">
        <f t="shared" si="4"/>
        <v>44400</v>
      </c>
      <c r="F178" s="7">
        <f>MAX($E$2:E178)</f>
        <v>44730</v>
      </c>
      <c r="G178" s="23">
        <f t="shared" si="5"/>
        <v>7.3775989268947016E-3</v>
      </c>
      <c r="H178" s="23"/>
    </row>
    <row r="179" spans="2:11">
      <c r="B179" s="7">
        <v>330</v>
      </c>
      <c r="C17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2+B3+B4+B5+B6+B7+B8+B9+B10+B11+B12+B13+B14+B15+B16+B17+B18+B19+B20+B21+B22+B23+B24+B25+B26+B27+B28+B29+B30+B31+B32+B33</f>
        <v>14730</v>
      </c>
      <c r="D179" s="7">
        <v>14730</v>
      </c>
      <c r="E179" s="7">
        <f t="shared" si="4"/>
        <v>44730</v>
      </c>
      <c r="F179" s="7">
        <f>MAX($E$2:E179)</f>
        <v>44730</v>
      </c>
      <c r="G179" s="23">
        <f t="shared" si="5"/>
        <v>0</v>
      </c>
      <c r="H179" s="23"/>
      <c r="K179" s="7">
        <f>SUM(D1:D193) + I4</f>
        <v>1431960</v>
      </c>
    </row>
    <row r="180" spans="2:11">
      <c r="B180" s="7">
        <v>-330</v>
      </c>
      <c r="C18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2+B3+B4+B5+B6+B7+B8+B9+B10+B11+B12+B13+B14+B15+B16+B17+B18+B19+B20+B21+B22+B23+B24+B25+B26+B27+B28+B29+B30+B31+B32+B33</f>
        <v>14400</v>
      </c>
      <c r="D180" s="7">
        <v>14400</v>
      </c>
      <c r="E180" s="7">
        <f t="shared" si="4"/>
        <v>44400</v>
      </c>
      <c r="F180" s="7">
        <f>MAX($E$2:E180)</f>
        <v>44730</v>
      </c>
      <c r="G180" s="23">
        <f t="shared" si="5"/>
        <v>7.3775989268947016E-3</v>
      </c>
      <c r="H180" s="23"/>
    </row>
    <row r="181" spans="2:11">
      <c r="B181" s="7">
        <v>330</v>
      </c>
      <c r="C18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</f>
        <v>14730</v>
      </c>
      <c r="D181" s="7">
        <v>14730</v>
      </c>
      <c r="E181" s="7">
        <f t="shared" si="4"/>
        <v>44730</v>
      </c>
      <c r="F181" s="7">
        <f>MAX($E$2:E181)</f>
        <v>44730</v>
      </c>
      <c r="G181" s="23">
        <f t="shared" si="5"/>
        <v>0</v>
      </c>
      <c r="H181" s="23"/>
    </row>
    <row r="182" spans="2:11">
      <c r="B182" s="7">
        <v>330</v>
      </c>
      <c r="C18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</f>
        <v>15060</v>
      </c>
      <c r="D182" s="7">
        <v>15060</v>
      </c>
      <c r="E182" s="7">
        <f t="shared" si="4"/>
        <v>45060</v>
      </c>
      <c r="F182" s="7">
        <f>MAX($E$2:E182)</f>
        <v>45060</v>
      </c>
      <c r="G182" s="23">
        <f t="shared" si="5"/>
        <v>0</v>
      </c>
      <c r="H182" s="23"/>
    </row>
    <row r="183" spans="2:11">
      <c r="B183" s="7">
        <v>330</v>
      </c>
      <c r="C18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</f>
        <v>15390</v>
      </c>
      <c r="D183" s="7">
        <v>15390</v>
      </c>
      <c r="E183" s="7">
        <f t="shared" si="4"/>
        <v>45390</v>
      </c>
      <c r="F183" s="7">
        <f>MAX($E$2:E183)</f>
        <v>45390</v>
      </c>
      <c r="G183" s="23">
        <f t="shared" si="5"/>
        <v>0</v>
      </c>
      <c r="H183" s="23"/>
    </row>
    <row r="184" spans="2:11">
      <c r="B184" s="7">
        <v>330</v>
      </c>
      <c r="C18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</f>
        <v>15720</v>
      </c>
      <c r="D184" s="7">
        <v>15720</v>
      </c>
      <c r="E184" s="7">
        <f t="shared" si="4"/>
        <v>45720</v>
      </c>
      <c r="F184" s="7">
        <f>MAX($E$2:E184)</f>
        <v>45720</v>
      </c>
      <c r="G184" s="23">
        <f t="shared" si="5"/>
        <v>0</v>
      </c>
      <c r="H184" s="23"/>
    </row>
    <row r="185" spans="2:11">
      <c r="B185" s="7">
        <v>-330</v>
      </c>
      <c r="C18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</f>
        <v>15390</v>
      </c>
      <c r="D185" s="7">
        <v>15390</v>
      </c>
      <c r="E185" s="7">
        <f t="shared" si="4"/>
        <v>45390</v>
      </c>
      <c r="F185" s="7">
        <f>MAX($E$2:E185)</f>
        <v>45720</v>
      </c>
      <c r="G185" s="23">
        <f t="shared" si="5"/>
        <v>7.2178477690288713E-3</v>
      </c>
      <c r="H185" s="23"/>
    </row>
    <row r="186" spans="2:11">
      <c r="B186" s="7">
        <v>-330</v>
      </c>
      <c r="C18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</f>
        <v>15060</v>
      </c>
      <c r="D186" s="7">
        <v>15060</v>
      </c>
      <c r="E186" s="7">
        <f t="shared" si="4"/>
        <v>45060</v>
      </c>
      <c r="F186" s="7">
        <f>MAX($E$2:E186)</f>
        <v>45720</v>
      </c>
      <c r="G186" s="23">
        <f t="shared" si="5"/>
        <v>1.4435695538057743E-2</v>
      </c>
      <c r="H186" s="23"/>
    </row>
    <row r="187" spans="2:11">
      <c r="B187" s="7">
        <v>330</v>
      </c>
      <c r="C18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</f>
        <v>15390</v>
      </c>
      <c r="D187" s="7">
        <v>15390</v>
      </c>
      <c r="E187" s="7">
        <f t="shared" si="4"/>
        <v>45390</v>
      </c>
      <c r="F187" s="7">
        <f>MAX($E$2:E187)</f>
        <v>45720</v>
      </c>
      <c r="G187" s="23">
        <f t="shared" si="5"/>
        <v>7.2178477690288713E-3</v>
      </c>
      <c r="H187" s="23"/>
    </row>
    <row r="188" spans="2:11">
      <c r="B188" s="7">
        <v>-330</v>
      </c>
      <c r="C18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</f>
        <v>15060</v>
      </c>
      <c r="D188" s="7">
        <v>15060</v>
      </c>
      <c r="E188" s="7">
        <f t="shared" si="4"/>
        <v>45060</v>
      </c>
      <c r="F188" s="7">
        <f>MAX($E$2:E188)</f>
        <v>45720</v>
      </c>
      <c r="G188" s="23">
        <f t="shared" si="5"/>
        <v>1.4435695538057743E-2</v>
      </c>
      <c r="H188" s="23"/>
    </row>
    <row r="189" spans="2:11">
      <c r="B189" s="7">
        <v>-330</v>
      </c>
      <c r="C18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</f>
        <v>14730</v>
      </c>
      <c r="D189" s="7">
        <v>14730</v>
      </c>
      <c r="E189" s="7">
        <f t="shared" si="4"/>
        <v>44730</v>
      </c>
      <c r="F189" s="7">
        <f>MAX($E$2:E189)</f>
        <v>45720</v>
      </c>
      <c r="G189" s="23">
        <f t="shared" si="5"/>
        <v>2.1653543307086614E-2</v>
      </c>
      <c r="H189" s="23"/>
    </row>
    <row r="190" spans="2:11">
      <c r="B190" s="7">
        <v>330</v>
      </c>
      <c r="C19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+B190</f>
        <v>15060</v>
      </c>
      <c r="D190" s="7">
        <v>15060</v>
      </c>
      <c r="E190" s="7">
        <f t="shared" si="4"/>
        <v>45060</v>
      </c>
      <c r="F190" s="7">
        <f>MAX($E$2:E190)</f>
        <v>45720</v>
      </c>
      <c r="G190" s="23">
        <f t="shared" si="5"/>
        <v>1.4435695538057743E-2</v>
      </c>
      <c r="H190" s="23"/>
    </row>
    <row r="191" spans="2:11">
      <c r="B191" s="7">
        <v>330</v>
      </c>
      <c r="C19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+B190+B191</f>
        <v>15390</v>
      </c>
      <c r="D191" s="7">
        <v>15390</v>
      </c>
      <c r="E191" s="7">
        <f t="shared" si="4"/>
        <v>45390</v>
      </c>
      <c r="F191" s="7">
        <f>MAX($E$2:E191)</f>
        <v>45720</v>
      </c>
      <c r="G191" s="23">
        <f t="shared" si="5"/>
        <v>7.2178477690288713E-3</v>
      </c>
      <c r="H191" s="23"/>
    </row>
    <row r="192" spans="2:11">
      <c r="B192" s="7">
        <v>-330</v>
      </c>
      <c r="C19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+B190+B191+B192</f>
        <v>15060</v>
      </c>
      <c r="D192" s="7">
        <v>15060</v>
      </c>
      <c r="E192" s="7">
        <f t="shared" si="4"/>
        <v>45060</v>
      </c>
      <c r="F192" s="7">
        <f>MAX($E$2:E192)</f>
        <v>45720</v>
      </c>
      <c r="G192" s="23">
        <f t="shared" si="5"/>
        <v>1.4435695538057743E-2</v>
      </c>
      <c r="H192" s="23"/>
    </row>
    <row r="193" spans="2:8">
      <c r="B193" s="7">
        <v>330</v>
      </c>
      <c r="C19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+B190+B191+B192+B193</f>
        <v>15390</v>
      </c>
      <c r="D193" s="7">
        <v>15390</v>
      </c>
      <c r="E193" s="7">
        <f t="shared" si="4"/>
        <v>45390</v>
      </c>
      <c r="F193" s="7">
        <f>MAX($E$2:E193)</f>
        <v>45720</v>
      </c>
      <c r="G193" s="23">
        <f t="shared" si="5"/>
        <v>7.2178477690288713E-3</v>
      </c>
      <c r="H193" s="23"/>
    </row>
    <row r="194" spans="2:8">
      <c r="B194" s="7"/>
      <c r="C194" s="7"/>
      <c r="D194" s="7"/>
      <c r="E194" s="7"/>
      <c r="F194" s="7"/>
      <c r="G194" s="23"/>
      <c r="H194" s="23"/>
    </row>
    <row r="195" spans="2:8">
      <c r="B195" s="7"/>
      <c r="C195" s="7"/>
      <c r="D195" s="7"/>
      <c r="E195" s="7"/>
      <c r="F195" s="7"/>
      <c r="G195" s="23"/>
      <c r="H195" s="23"/>
    </row>
    <row r="196" spans="2:8">
      <c r="B196" s="7"/>
      <c r="C196" s="7"/>
      <c r="D196" s="7"/>
      <c r="E196" s="7"/>
      <c r="F196" s="7"/>
      <c r="G196" s="23"/>
      <c r="H196" s="23"/>
    </row>
    <row r="197" spans="2:8">
      <c r="B197" s="7"/>
      <c r="C197" s="7"/>
      <c r="D197" s="7"/>
      <c r="E197" s="7"/>
      <c r="F197" s="7"/>
      <c r="G197" s="23"/>
      <c r="H197" s="23"/>
    </row>
    <row r="198" spans="2:8">
      <c r="B198" s="7"/>
      <c r="C198" s="7"/>
      <c r="D198" s="7"/>
      <c r="E198" s="7"/>
      <c r="F198" s="7"/>
      <c r="G198" s="23"/>
      <c r="H198" s="23"/>
    </row>
    <row r="199" spans="2:8">
      <c r="B199" s="7"/>
      <c r="C199" s="7"/>
      <c r="D199" s="7"/>
      <c r="E199" s="7"/>
      <c r="F199" s="7"/>
      <c r="G199" s="23"/>
      <c r="H199" s="23"/>
    </row>
    <row r="200" spans="2:8">
      <c r="B200" s="7"/>
      <c r="C200" s="7"/>
      <c r="D200" s="7"/>
      <c r="E200" s="7"/>
      <c r="F200" s="7"/>
      <c r="G200" s="23"/>
      <c r="H200" s="23"/>
    </row>
    <row r="201" spans="2:8">
      <c r="B201" s="7"/>
      <c r="C201" s="7"/>
      <c r="D201" s="7"/>
      <c r="E201" s="7"/>
      <c r="F201" s="7"/>
      <c r="G201" s="23"/>
      <c r="H201" s="23"/>
    </row>
    <row r="202" spans="2:8">
      <c r="B202" s="7"/>
      <c r="C202" s="7"/>
      <c r="D202" s="7"/>
      <c r="E202" s="7"/>
      <c r="F202" s="7"/>
      <c r="G202" s="23"/>
      <c r="H202" s="2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AF04-6381-41A7-AC23-51666943722A}">
  <dimension ref="A1:H16"/>
  <sheetViews>
    <sheetView workbookViewId="0">
      <selection activeCell="B17" sqref="B17"/>
    </sheetView>
  </sheetViews>
  <sheetFormatPr defaultRowHeight="13.8"/>
  <cols>
    <col min="1" max="1" width="14.3984375" customWidth="1"/>
    <col min="2" max="2" width="39.796875" customWidth="1"/>
    <col min="3" max="3" width="8.796875" customWidth="1"/>
    <col min="7" max="7" width="15" bestFit="1" customWidth="1"/>
  </cols>
  <sheetData>
    <row r="1" spans="1:8">
      <c r="A1" t="s">
        <v>2</v>
      </c>
      <c r="B1" t="s">
        <v>32</v>
      </c>
      <c r="C1" t="s">
        <v>4</v>
      </c>
      <c r="D1" t="s">
        <v>5</v>
      </c>
      <c r="E1" t="s">
        <v>0</v>
      </c>
      <c r="H1" t="s">
        <v>13</v>
      </c>
    </row>
    <row r="2" spans="1:8">
      <c r="A2" t="s">
        <v>16</v>
      </c>
      <c r="B2" t="s">
        <v>17</v>
      </c>
      <c r="C2" t="s">
        <v>18</v>
      </c>
      <c r="D2" t="s">
        <v>19</v>
      </c>
      <c r="E2" t="s">
        <v>15</v>
      </c>
      <c r="G2" t="s">
        <v>28</v>
      </c>
      <c r="H2" t="s">
        <v>29</v>
      </c>
    </row>
    <row r="3" spans="1:8">
      <c r="A3" t="s">
        <v>31</v>
      </c>
      <c r="B3" t="s">
        <v>21</v>
      </c>
      <c r="C3" t="s">
        <v>24</v>
      </c>
      <c r="D3" t="s">
        <v>22</v>
      </c>
      <c r="E3" t="s">
        <v>23</v>
      </c>
      <c r="G3" t="s">
        <v>20</v>
      </c>
      <c r="H3" t="s">
        <v>30</v>
      </c>
    </row>
    <row r="4" spans="1:8">
      <c r="B4" t="s">
        <v>36</v>
      </c>
      <c r="C4" t="s">
        <v>5</v>
      </c>
      <c r="D4" t="s">
        <v>35</v>
      </c>
      <c r="E4" t="s">
        <v>26</v>
      </c>
      <c r="G4" t="s">
        <v>25</v>
      </c>
    </row>
    <row r="5" spans="1:8">
      <c r="B5" t="s">
        <v>37</v>
      </c>
      <c r="E5" t="s">
        <v>27</v>
      </c>
    </row>
    <row r="6" spans="1:8">
      <c r="E6" t="s">
        <v>33</v>
      </c>
    </row>
    <row r="9" spans="1:8">
      <c r="B9" t="s">
        <v>38</v>
      </c>
      <c r="G9" s="2">
        <v>0.20833333333333334</v>
      </c>
    </row>
    <row r="10" spans="1:8">
      <c r="G10" s="2">
        <v>0.41666666666666669</v>
      </c>
    </row>
    <row r="11" spans="1:8">
      <c r="G11" s="2">
        <v>0.625</v>
      </c>
    </row>
    <row r="12" spans="1:8">
      <c r="G12" s="2">
        <v>0.83333333333333337</v>
      </c>
    </row>
    <row r="13" spans="1:8">
      <c r="G13" s="3">
        <v>1.0416666666666667</v>
      </c>
    </row>
    <row r="14" spans="1:8">
      <c r="G14" s="3">
        <v>1.25</v>
      </c>
    </row>
    <row r="15" spans="1:8">
      <c r="G15" s="3">
        <v>1.4583333333333333</v>
      </c>
    </row>
    <row r="16" spans="1:8">
      <c r="G16" s="3">
        <v>1.6666666666666667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Database</vt:lpstr>
      <vt:lpstr>Statistiche</vt:lpstr>
      <vt:lpstr>Commissioni</vt:lpstr>
      <vt:lpstr>Rendimenti</vt:lpstr>
      <vt:lpstr>Cumulativo</vt:lpstr>
      <vt:lpstr>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cupellaro</dc:creator>
  <cp:lastModifiedBy>luca cupellaro</cp:lastModifiedBy>
  <dcterms:created xsi:type="dcterms:W3CDTF">2024-09-26T12:52:04Z</dcterms:created>
  <dcterms:modified xsi:type="dcterms:W3CDTF">2025-01-19T14:16:46Z</dcterms:modified>
</cp:coreProperties>
</file>