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mc:AlternateContent xmlns:mc="http://schemas.openxmlformats.org/markup-compatibility/2006">
    <mc:Choice Requires="x15">
      <x15ac:absPath xmlns:x15ac="http://schemas.microsoft.com/office/spreadsheetml/2010/11/ac" url="/Users/luiscarranza/Documents/CompuGrafica/proyectoFinal/ProyectoFinal/"/>
    </mc:Choice>
  </mc:AlternateContent>
  <xr:revisionPtr revIDLastSave="0" documentId="13_ncr:1_{09363F94-D755-4A4C-B6AA-CEBFC13A6FAC}" xr6:coauthVersionLast="36" xr6:coauthVersionMax="36" xr10:uidLastSave="{00000000-0000-0000-0000-000000000000}"/>
  <bookViews>
    <workbookView xWindow="0" yWindow="500" windowWidth="25600" windowHeight="14220" xr2:uid="{00000000-000D-0000-FFFF-FFFF00000000}"/>
  </bookViews>
  <sheets>
    <sheet name="HOJA DE TRABAJO" sheetId="1" r:id="rId1"/>
    <sheet name="INSTRUCCIONES" sheetId="2" r:id="rId2"/>
  </sheets>
  <calcPr calcId="191029"/>
  <extLst>
    <ext uri="GoogleSheetsCustomDataVersion1">
      <go:sheetsCustomData xmlns:go="http://customooxmlschemas.google.com/" r:id="rId6" roundtripDataSignature="AMtx7micJkDEfxbm6uTZXCn39tu7v02DSg=="/>
    </ext>
  </extLst>
</workbook>
</file>

<file path=xl/calcChain.xml><?xml version="1.0" encoding="utf-8"?>
<calcChain xmlns="http://schemas.openxmlformats.org/spreadsheetml/2006/main">
  <c r="J23" i="1" l="1"/>
  <c r="E39" i="1"/>
  <c r="E40" i="1"/>
  <c r="E10" i="1"/>
  <c r="BD24" i="1" l="1"/>
  <c r="BD23" i="1"/>
  <c r="C16" i="2" l="1"/>
  <c r="C21" i="2" s="1"/>
  <c r="C23" i="2" s="1"/>
  <c r="C28" i="2" s="1"/>
  <c r="C10" i="2"/>
  <c r="L215" i="1"/>
  <c r="L214" i="1"/>
  <c r="L213" i="1"/>
  <c r="G212" i="1"/>
  <c r="G211" i="1"/>
  <c r="L209" i="1"/>
  <c r="G209" i="1"/>
  <c r="D209" i="1"/>
  <c r="L208" i="1"/>
  <c r="G208" i="1"/>
  <c r="D208" i="1"/>
  <c r="L207" i="1"/>
  <c r="G207" i="1"/>
  <c r="D207" i="1"/>
  <c r="G206" i="1"/>
  <c r="D206" i="1"/>
  <c r="G205" i="1"/>
  <c r="D205" i="1"/>
  <c r="G204" i="1"/>
  <c r="D204" i="1"/>
  <c r="G203" i="1"/>
  <c r="D203" i="1"/>
  <c r="D169" i="1"/>
  <c r="D168" i="1"/>
  <c r="F167" i="1"/>
  <c r="G167" i="1" s="1"/>
  <c r="D167" i="1"/>
  <c r="E167" i="1" s="1"/>
  <c r="I167" i="1" s="1"/>
  <c r="O139" i="1"/>
  <c r="N139" i="1"/>
  <c r="J139" i="1"/>
  <c r="I139" i="1"/>
  <c r="H139" i="1"/>
  <c r="G139" i="1"/>
  <c r="F139" i="1"/>
  <c r="E139" i="1"/>
  <c r="AT125" i="1"/>
  <c r="N125" i="1"/>
  <c r="AS119" i="1"/>
  <c r="M119" i="1"/>
  <c r="AJ118" i="1"/>
  <c r="AS118" i="1" s="1"/>
  <c r="BB118" i="1" s="1"/>
  <c r="U118" i="1"/>
  <c r="L118" i="1"/>
  <c r="C118" i="1"/>
  <c r="U116" i="1"/>
  <c r="L116" i="1"/>
  <c r="C116" i="1"/>
  <c r="U114" i="1"/>
  <c r="L114" i="1"/>
  <c r="C114" i="1"/>
  <c r="AY113" i="1"/>
  <c r="AL113" i="1"/>
  <c r="AI112" i="1"/>
  <c r="AS102" i="1"/>
  <c r="AS101" i="1"/>
  <c r="BB101" i="1" s="1"/>
  <c r="AO101" i="1"/>
  <c r="AM101" i="1"/>
  <c r="AL101" i="1"/>
  <c r="AK101" i="1"/>
  <c r="AP101" i="1" s="1"/>
  <c r="AJ101" i="1"/>
  <c r="E101" i="1"/>
  <c r="H99" i="1"/>
  <c r="H98" i="1"/>
  <c r="G98" i="1"/>
  <c r="AL97" i="1"/>
  <c r="AK97" i="1"/>
  <c r="AJ97" i="1"/>
  <c r="AJ114" i="1" s="1"/>
  <c r="AS114" i="1" s="1"/>
  <c r="BB114" i="1" s="1"/>
  <c r="J97" i="1"/>
  <c r="G97" i="1"/>
  <c r="AO96" i="1"/>
  <c r="AN96" i="1"/>
  <c r="AM96" i="1"/>
  <c r="AL96" i="1"/>
  <c r="AK96" i="1"/>
  <c r="AJ96" i="1"/>
  <c r="AI96" i="1"/>
  <c r="AI113" i="1" s="1"/>
  <c r="H96" i="1"/>
  <c r="G96" i="1"/>
  <c r="AO95" i="1"/>
  <c r="AN95" i="1"/>
  <c r="AM95" i="1"/>
  <c r="AL95" i="1"/>
  <c r="AK95" i="1"/>
  <c r="AJ95" i="1"/>
  <c r="AJ112" i="1" s="1"/>
  <c r="AS112" i="1" s="1"/>
  <c r="BB112" i="1" s="1"/>
  <c r="AI95" i="1"/>
  <c r="J95" i="1"/>
  <c r="F95" i="1"/>
  <c r="AO94" i="1"/>
  <c r="AN94" i="1"/>
  <c r="AM94" i="1"/>
  <c r="AL94" i="1"/>
  <c r="AK94" i="1"/>
  <c r="AJ94" i="1"/>
  <c r="AI94" i="1"/>
  <c r="AI111" i="1" s="1"/>
  <c r="AO93" i="1"/>
  <c r="AN93" i="1"/>
  <c r="AM93" i="1"/>
  <c r="AL93" i="1"/>
  <c r="AK93" i="1"/>
  <c r="AJ93" i="1"/>
  <c r="AJ110" i="1" s="1"/>
  <c r="AS110" i="1" s="1"/>
  <c r="BB110" i="1" s="1"/>
  <c r="AI93" i="1"/>
  <c r="AI110" i="1" s="1"/>
  <c r="H93" i="1"/>
  <c r="E93" i="1"/>
  <c r="AK92" i="1"/>
  <c r="AJ92" i="1"/>
  <c r="AJ109" i="1" s="1"/>
  <c r="AS109" i="1" s="1"/>
  <c r="BB109" i="1" s="1"/>
  <c r="L92" i="1"/>
  <c r="F92" i="1"/>
  <c r="AS91" i="1"/>
  <c r="BB91" i="1" s="1"/>
  <c r="AO91" i="1"/>
  <c r="AN91" i="1"/>
  <c r="AM91" i="1"/>
  <c r="AL91" i="1"/>
  <c r="AJ91" i="1"/>
  <c r="AJ108" i="1" s="1"/>
  <c r="AS108" i="1" s="1"/>
  <c r="BB108" i="1" s="1"/>
  <c r="AI91" i="1"/>
  <c r="AI108" i="1" s="1"/>
  <c r="L91" i="1"/>
  <c r="L108" i="1" s="1"/>
  <c r="G91" i="1"/>
  <c r="F91" i="1"/>
  <c r="C91" i="1"/>
  <c r="C108" i="1" s="1"/>
  <c r="AL86" i="1"/>
  <c r="AK86" i="1"/>
  <c r="AP85" i="1"/>
  <c r="I85" i="1"/>
  <c r="I101" i="1" s="1"/>
  <c r="H85" i="1"/>
  <c r="H101" i="1" s="1"/>
  <c r="E85" i="1"/>
  <c r="D85" i="1"/>
  <c r="C85" i="1"/>
  <c r="BD84" i="1"/>
  <c r="BC84" i="1"/>
  <c r="AM84" i="1"/>
  <c r="AI84" i="1"/>
  <c r="AI97" i="1" s="1"/>
  <c r="AI114" i="1" s="1"/>
  <c r="H84" i="1"/>
  <c r="H100" i="1" s="1"/>
  <c r="D84" i="1"/>
  <c r="C84" i="1"/>
  <c r="BD83" i="1"/>
  <c r="BC83" i="1"/>
  <c r="AP83" i="1"/>
  <c r="AI83" i="1"/>
  <c r="I83" i="1"/>
  <c r="H83" i="1"/>
  <c r="G83" i="1"/>
  <c r="G99" i="1" s="1"/>
  <c r="E83" i="1"/>
  <c r="D83" i="1"/>
  <c r="C83" i="1"/>
  <c r="BD78" i="1"/>
  <c r="BC78" i="1"/>
  <c r="AT78" i="1"/>
  <c r="AA78" i="1"/>
  <c r="Z78" i="1"/>
  <c r="Y78" i="1"/>
  <c r="X78" i="1"/>
  <c r="F138" i="1" s="1"/>
  <c r="W78" i="1"/>
  <c r="R78" i="1"/>
  <c r="Q78" i="1"/>
  <c r="P78" i="1"/>
  <c r="O78" i="1"/>
  <c r="N78" i="1"/>
  <c r="E141" i="1" s="1"/>
  <c r="N141" i="1" s="1"/>
  <c r="I78" i="1"/>
  <c r="AB77" i="1"/>
  <c r="S77" i="1"/>
  <c r="J77" i="1"/>
  <c r="J98" i="1" s="1"/>
  <c r="I77" i="1"/>
  <c r="I98" i="1" s="1"/>
  <c r="H77" i="1"/>
  <c r="G77" i="1"/>
  <c r="F77" i="1"/>
  <c r="F98" i="1" s="1"/>
  <c r="E77" i="1"/>
  <c r="E98" i="1" s="1"/>
  <c r="AB76" i="1"/>
  <c r="S76" i="1"/>
  <c r="J76" i="1"/>
  <c r="I76" i="1"/>
  <c r="I97" i="1" s="1"/>
  <c r="H76" i="1"/>
  <c r="H97" i="1" s="1"/>
  <c r="G76" i="1"/>
  <c r="F76" i="1"/>
  <c r="F97" i="1" s="1"/>
  <c r="E76" i="1"/>
  <c r="E97" i="1" s="1"/>
  <c r="AB75" i="1"/>
  <c r="S75" i="1"/>
  <c r="J75" i="1"/>
  <c r="J96" i="1" s="1"/>
  <c r="I75" i="1"/>
  <c r="I96" i="1" s="1"/>
  <c r="H75" i="1"/>
  <c r="G75" i="1"/>
  <c r="F75" i="1"/>
  <c r="F96" i="1" s="1"/>
  <c r="E75" i="1"/>
  <c r="E96" i="1" s="1"/>
  <c r="BG74" i="1"/>
  <c r="BH74" i="1" s="1"/>
  <c r="AX74" i="1"/>
  <c r="AY74" i="1" s="1"/>
  <c r="AN74" i="1"/>
  <c r="AN92" i="1" s="1"/>
  <c r="AM74" i="1"/>
  <c r="AM92" i="1" s="1"/>
  <c r="AL74" i="1"/>
  <c r="AL92" i="1" s="1"/>
  <c r="AK74" i="1"/>
  <c r="AI74" i="1"/>
  <c r="AB74" i="1"/>
  <c r="S74" i="1"/>
  <c r="J74" i="1" s="1"/>
  <c r="I74" i="1"/>
  <c r="I95" i="1" s="1"/>
  <c r="H74" i="1"/>
  <c r="H95" i="1" s="1"/>
  <c r="G74" i="1"/>
  <c r="G95" i="1" s="1"/>
  <c r="F74" i="1"/>
  <c r="E74" i="1"/>
  <c r="E95" i="1" s="1"/>
  <c r="BH73" i="1"/>
  <c r="BG73" i="1"/>
  <c r="AY73" i="1"/>
  <c r="AX73" i="1"/>
  <c r="AN73" i="1"/>
  <c r="AM73" i="1"/>
  <c r="AL73" i="1"/>
  <c r="AK73" i="1"/>
  <c r="AI73" i="1"/>
  <c r="AS73" i="1" s="1"/>
  <c r="BB73" i="1" s="1"/>
  <c r="AB73" i="1"/>
  <c r="J73" i="1" s="1"/>
  <c r="J94" i="1" s="1"/>
  <c r="S73" i="1"/>
  <c r="I73" i="1"/>
  <c r="I94" i="1" s="1"/>
  <c r="H73" i="1"/>
  <c r="H94" i="1" s="1"/>
  <c r="G73" i="1"/>
  <c r="G94" i="1" s="1"/>
  <c r="F73" i="1"/>
  <c r="F94" i="1" s="1"/>
  <c r="E73" i="1"/>
  <c r="E94" i="1" s="1"/>
  <c r="BF72" i="1"/>
  <c r="BF78" i="1" s="1"/>
  <c r="AN142" i="1" s="1"/>
  <c r="BE72" i="1"/>
  <c r="BE78" i="1" s="1"/>
  <c r="BD72" i="1"/>
  <c r="BH72" i="1" s="1"/>
  <c r="AW72" i="1"/>
  <c r="AV72" i="1"/>
  <c r="AU72" i="1"/>
  <c r="AU78" i="1" s="1"/>
  <c r="AO72" i="1"/>
  <c r="AK72" i="1"/>
  <c r="AB72" i="1"/>
  <c r="J72" i="1" s="1"/>
  <c r="J93" i="1" s="1"/>
  <c r="U72" i="1"/>
  <c r="S72" i="1"/>
  <c r="I72" i="1"/>
  <c r="I93" i="1" s="1"/>
  <c r="H72" i="1"/>
  <c r="G72" i="1"/>
  <c r="G93" i="1" s="1"/>
  <c r="F72" i="1"/>
  <c r="F93" i="1" s="1"/>
  <c r="E72" i="1"/>
  <c r="BH71" i="1"/>
  <c r="BH78" i="1" s="1"/>
  <c r="AT71" i="1"/>
  <c r="AY71" i="1" s="1"/>
  <c r="AS71" i="1"/>
  <c r="BB71" i="1" s="1"/>
  <c r="AI71" i="1"/>
  <c r="AI72" i="1" s="1"/>
  <c r="AS72" i="1" s="1"/>
  <c r="BB72" i="1" s="1"/>
  <c r="AB71" i="1"/>
  <c r="S71" i="1"/>
  <c r="J71" i="1" s="1"/>
  <c r="J92" i="1" s="1"/>
  <c r="L71" i="1"/>
  <c r="L72" i="1" s="1"/>
  <c r="L93" i="1" s="1"/>
  <c r="L110" i="1" s="1"/>
  <c r="I71" i="1"/>
  <c r="I92" i="1" s="1"/>
  <c r="H71" i="1"/>
  <c r="H92" i="1" s="1"/>
  <c r="G71" i="1"/>
  <c r="G92" i="1" s="1"/>
  <c r="F71" i="1"/>
  <c r="E71" i="1"/>
  <c r="E92" i="1" s="1"/>
  <c r="C71" i="1"/>
  <c r="BH70" i="1"/>
  <c r="AY70" i="1"/>
  <c r="AT70" i="1"/>
  <c r="AS70" i="1"/>
  <c r="BB70" i="1" s="1"/>
  <c r="AB70" i="1"/>
  <c r="V70" i="1"/>
  <c r="U70" i="1"/>
  <c r="U71" i="1" s="1"/>
  <c r="U92" i="1" s="1"/>
  <c r="S70" i="1"/>
  <c r="I70" i="1"/>
  <c r="I91" i="1" s="1"/>
  <c r="H70" i="1"/>
  <c r="G70" i="1"/>
  <c r="F70" i="1"/>
  <c r="E70" i="1"/>
  <c r="AS61" i="1"/>
  <c r="M61" i="1"/>
  <c r="BH60" i="1"/>
  <c r="M60" i="1"/>
  <c r="V60" i="1" s="1"/>
  <c r="L60" i="1"/>
  <c r="U60" i="1" s="1"/>
  <c r="BH59" i="1"/>
  <c r="BG59" i="1"/>
  <c r="BF59" i="1"/>
  <c r="M59" i="1"/>
  <c r="V59" i="1" s="1"/>
  <c r="L59" i="1"/>
  <c r="U59" i="1" s="1"/>
  <c r="BH58" i="1"/>
  <c r="AB58" i="1"/>
  <c r="M58" i="1"/>
  <c r="V58" i="1" s="1"/>
  <c r="L58" i="1"/>
  <c r="U58" i="1" s="1"/>
  <c r="AB57" i="1"/>
  <c r="M57" i="1"/>
  <c r="V57" i="1" s="1"/>
  <c r="L57" i="1"/>
  <c r="U57" i="1" s="1"/>
  <c r="AB56" i="1"/>
  <c r="U56" i="1"/>
  <c r="M56" i="1"/>
  <c r="V56" i="1" s="1"/>
  <c r="L56" i="1"/>
  <c r="AB55" i="1"/>
  <c r="M55" i="1"/>
  <c r="V55" i="1" s="1"/>
  <c r="L55" i="1"/>
  <c r="U55" i="1" s="1"/>
  <c r="BH54" i="1"/>
  <c r="AS54" i="1"/>
  <c r="AB54" i="1"/>
  <c r="M54" i="1"/>
  <c r="V54" i="1" s="1"/>
  <c r="BH53" i="1"/>
  <c r="AS53" i="1"/>
  <c r="AB53" i="1"/>
  <c r="M53" i="1"/>
  <c r="V53" i="1" s="1"/>
  <c r="BH52" i="1"/>
  <c r="AB52" i="1"/>
  <c r="M52" i="1"/>
  <c r="V52" i="1" s="1"/>
  <c r="AB51" i="1"/>
  <c r="M51" i="1"/>
  <c r="V51" i="1" s="1"/>
  <c r="BH50" i="1"/>
  <c r="AB50" i="1"/>
  <c r="M50" i="1"/>
  <c r="V50" i="1" s="1"/>
  <c r="AS42" i="1"/>
  <c r="M42" i="1"/>
  <c r="J41" i="1"/>
  <c r="I41" i="1"/>
  <c r="H41" i="1"/>
  <c r="F40" i="1"/>
  <c r="F39" i="1"/>
  <c r="AO38" i="1"/>
  <c r="AO118" i="1" s="1"/>
  <c r="AM38" i="1"/>
  <c r="AL38" i="1"/>
  <c r="AK38" i="1"/>
  <c r="AP38" i="1" s="1"/>
  <c r="AJ38" i="1"/>
  <c r="AS60" i="1" s="1"/>
  <c r="M38" i="1"/>
  <c r="V38" i="1" s="1"/>
  <c r="L38" i="1"/>
  <c r="U38" i="1" s="1"/>
  <c r="E38" i="1"/>
  <c r="E115" i="1" s="1"/>
  <c r="AS37" i="1"/>
  <c r="BB37" i="1" s="1"/>
  <c r="AN37" i="1"/>
  <c r="AL37" i="1"/>
  <c r="AL114" i="1" s="1"/>
  <c r="AK37" i="1"/>
  <c r="AJ37" i="1"/>
  <c r="AS59" i="1" s="1"/>
  <c r="M37" i="1"/>
  <c r="V37" i="1" s="1"/>
  <c r="L37" i="1"/>
  <c r="U37" i="1" s="1"/>
  <c r="AO36" i="1"/>
  <c r="AN36" i="1"/>
  <c r="AM36" i="1"/>
  <c r="AL36" i="1"/>
  <c r="AK36" i="1"/>
  <c r="AJ36" i="1"/>
  <c r="AS58" i="1" s="1"/>
  <c r="U36" i="1"/>
  <c r="M36" i="1"/>
  <c r="V36" i="1" s="1"/>
  <c r="L36" i="1"/>
  <c r="AM35" i="1"/>
  <c r="AL35" i="1"/>
  <c r="AJ35" i="1"/>
  <c r="AS35" i="1" s="1"/>
  <c r="BB54" i="1" s="1"/>
  <c r="M35" i="1"/>
  <c r="V35" i="1" s="1"/>
  <c r="AN34" i="1"/>
  <c r="AL34" i="1"/>
  <c r="AK34" i="1"/>
  <c r="AJ34" i="1"/>
  <c r="AS34" i="1" s="1"/>
  <c r="M34" i="1"/>
  <c r="V34" i="1" s="1"/>
  <c r="AO33" i="1"/>
  <c r="AO110" i="1" s="1"/>
  <c r="AJ33" i="1"/>
  <c r="AS33" i="1" s="1"/>
  <c r="BB52" i="1" s="1"/>
  <c r="M33" i="1"/>
  <c r="V33" i="1" s="1"/>
  <c r="AS32" i="1"/>
  <c r="BB32" i="1" s="1"/>
  <c r="AO32" i="1"/>
  <c r="AN32" i="1"/>
  <c r="AM32" i="1"/>
  <c r="AL32" i="1"/>
  <c r="AL109" i="1" s="1"/>
  <c r="AJ32" i="1"/>
  <c r="AS51" i="1" s="1"/>
  <c r="M32" i="1"/>
  <c r="V32" i="1" s="1"/>
  <c r="AS31" i="1"/>
  <c r="BB50" i="1" s="1"/>
  <c r="AO31" i="1"/>
  <c r="AN31" i="1"/>
  <c r="AM31" i="1"/>
  <c r="AL31" i="1"/>
  <c r="AJ31" i="1"/>
  <c r="AS50" i="1" s="1"/>
  <c r="AI31" i="1"/>
  <c r="M31" i="1"/>
  <c r="V31" i="1" s="1"/>
  <c r="C31" i="1"/>
  <c r="L50" i="1" s="1"/>
  <c r="U50" i="1" s="1"/>
  <c r="AO26" i="1"/>
  <c r="AN26" i="1"/>
  <c r="AL26" i="1"/>
  <c r="AK26" i="1"/>
  <c r="H26" i="1"/>
  <c r="AP25" i="1"/>
  <c r="F25" i="1"/>
  <c r="F85" i="1" s="1"/>
  <c r="F101" i="1" s="1"/>
  <c r="BC24" i="1"/>
  <c r="AN12" i="1" s="1"/>
  <c r="AO24" i="1"/>
  <c r="AO37" i="1" s="1"/>
  <c r="AN24" i="1"/>
  <c r="AM24" i="1"/>
  <c r="AM37" i="1" s="1"/>
  <c r="I84" i="1"/>
  <c r="I100" i="1" s="1"/>
  <c r="H40" i="1"/>
  <c r="G26" i="1"/>
  <c r="BC23" i="1"/>
  <c r="AP23" i="1"/>
  <c r="J83" i="1"/>
  <c r="J99" i="1" s="1"/>
  <c r="F83" i="1"/>
  <c r="F99" i="1" s="1"/>
  <c r="C23" i="1"/>
  <c r="C24" i="1" s="1"/>
  <c r="C25" i="1" s="1"/>
  <c r="BG18" i="1"/>
  <c r="AO130" i="1" s="1"/>
  <c r="BD18" i="1"/>
  <c r="AL130" i="1" s="1"/>
  <c r="BC18" i="1"/>
  <c r="AK130" i="1" s="1"/>
  <c r="AW18" i="1"/>
  <c r="AV18" i="1"/>
  <c r="AA18" i="1"/>
  <c r="Z18" i="1"/>
  <c r="Y18" i="1"/>
  <c r="X18" i="1"/>
  <c r="W18" i="1"/>
  <c r="R18" i="1"/>
  <c r="Q18" i="1"/>
  <c r="P18" i="1"/>
  <c r="O18" i="1"/>
  <c r="N18" i="1"/>
  <c r="AB17" i="1"/>
  <c r="S17" i="1"/>
  <c r="I17" i="1"/>
  <c r="H17" i="1"/>
  <c r="G17" i="1"/>
  <c r="F17" i="1"/>
  <c r="E17" i="1"/>
  <c r="AB16" i="1"/>
  <c r="S16" i="1"/>
  <c r="I16" i="1"/>
  <c r="I37" i="1" s="1"/>
  <c r="I114" i="1" s="1"/>
  <c r="H16" i="1"/>
  <c r="H37" i="1" s="1"/>
  <c r="G16" i="1"/>
  <c r="F16" i="1"/>
  <c r="E16" i="1"/>
  <c r="AB15" i="1"/>
  <c r="S15" i="1"/>
  <c r="I15" i="1"/>
  <c r="I36" i="1" s="1"/>
  <c r="H15" i="1"/>
  <c r="H36" i="1" s="1"/>
  <c r="G15" i="1"/>
  <c r="G36" i="1" s="1"/>
  <c r="F15" i="1"/>
  <c r="E15" i="1"/>
  <c r="BG14" i="1"/>
  <c r="BH14" i="1" s="1"/>
  <c r="AX14" i="1"/>
  <c r="AY14" i="1" s="1"/>
  <c r="AN14" i="1"/>
  <c r="AN35" i="1" s="1"/>
  <c r="AM14" i="1"/>
  <c r="AL14" i="1"/>
  <c r="AK14" i="1"/>
  <c r="AB14" i="1"/>
  <c r="S14" i="1"/>
  <c r="I14" i="1"/>
  <c r="I35" i="1" s="1"/>
  <c r="H14" i="1"/>
  <c r="H35" i="1" s="1"/>
  <c r="G14" i="1"/>
  <c r="G35" i="1" s="1"/>
  <c r="F14" i="1"/>
  <c r="F35" i="1" s="1"/>
  <c r="F112" i="1" s="1"/>
  <c r="E14" i="1"/>
  <c r="E35" i="1" s="1"/>
  <c r="BH13" i="1"/>
  <c r="BG13" i="1"/>
  <c r="AY13" i="1"/>
  <c r="AX13" i="1"/>
  <c r="AN13" i="1"/>
  <c r="AM13" i="1"/>
  <c r="AM34" i="1" s="1"/>
  <c r="AL13" i="1"/>
  <c r="AK13" i="1"/>
  <c r="AB13" i="1"/>
  <c r="S13" i="1"/>
  <c r="I13" i="1"/>
  <c r="I34" i="1" s="1"/>
  <c r="I111" i="1" s="1"/>
  <c r="H13" i="1"/>
  <c r="H34" i="1" s="1"/>
  <c r="G13" i="1"/>
  <c r="G34" i="1" s="1"/>
  <c r="F13" i="1"/>
  <c r="F34" i="1" s="1"/>
  <c r="F111" i="1" s="1"/>
  <c r="E13" i="1"/>
  <c r="BF12" i="1"/>
  <c r="BF18" i="1" s="1"/>
  <c r="BE12" i="1"/>
  <c r="BE18" i="1" s="1"/>
  <c r="BD12" i="1"/>
  <c r="BH12" i="1" s="1"/>
  <c r="AW12" i="1"/>
  <c r="AV12" i="1"/>
  <c r="AU12" i="1"/>
  <c r="AO12" i="1"/>
  <c r="AK12" i="1"/>
  <c r="AI12" i="1"/>
  <c r="AB12" i="1"/>
  <c r="U12" i="1"/>
  <c r="U13" i="1" s="1"/>
  <c r="U14" i="1" s="1"/>
  <c r="S12" i="1"/>
  <c r="I12" i="1"/>
  <c r="I33" i="1" s="1"/>
  <c r="I110" i="1" s="1"/>
  <c r="H12" i="1"/>
  <c r="H33" i="1" s="1"/>
  <c r="G12" i="1"/>
  <c r="G33" i="1" s="1"/>
  <c r="F12" i="1"/>
  <c r="E12" i="1"/>
  <c r="E33" i="1" s="1"/>
  <c r="E110" i="1" s="1"/>
  <c r="BH11" i="1"/>
  <c r="AT11" i="1"/>
  <c r="AK11" i="1" s="1"/>
  <c r="AI11" i="1"/>
  <c r="AI32" i="1" s="1"/>
  <c r="AB11" i="1"/>
  <c r="U11" i="1"/>
  <c r="S11" i="1"/>
  <c r="L11" i="1"/>
  <c r="L12" i="1" s="1"/>
  <c r="L13" i="1" s="1"/>
  <c r="L14" i="1" s="1"/>
  <c r="I11" i="1"/>
  <c r="I32" i="1" s="1"/>
  <c r="I109" i="1" s="1"/>
  <c r="H11" i="1"/>
  <c r="H32" i="1" s="1"/>
  <c r="H109" i="1" s="1"/>
  <c r="G11" i="1"/>
  <c r="F11" i="1"/>
  <c r="F32" i="1" s="1"/>
  <c r="E11" i="1"/>
  <c r="E32" i="1" s="1"/>
  <c r="E109" i="1" s="1"/>
  <c r="C11" i="1"/>
  <c r="BH10" i="1"/>
  <c r="AY10" i="1"/>
  <c r="AT10" i="1"/>
  <c r="AT18" i="1" s="1"/>
  <c r="AS10" i="1"/>
  <c r="BB10" i="1" s="1"/>
  <c r="AB10" i="1"/>
  <c r="S10" i="1"/>
  <c r="I10" i="1"/>
  <c r="I31" i="1" s="1"/>
  <c r="H10" i="1"/>
  <c r="H31" i="1" s="1"/>
  <c r="G10" i="1"/>
  <c r="G31" i="1" s="1"/>
  <c r="F10" i="1"/>
  <c r="E31" i="1"/>
  <c r="F38" i="1" l="1"/>
  <c r="F115" i="1" s="1"/>
  <c r="J25" i="1"/>
  <c r="I38" i="1"/>
  <c r="I115" i="1" s="1"/>
  <c r="I118" i="1"/>
  <c r="J37" i="1"/>
  <c r="Y97" i="1" s="1"/>
  <c r="J16" i="1"/>
  <c r="J15" i="1"/>
  <c r="J12" i="1"/>
  <c r="S18" i="1"/>
  <c r="AT19" i="1" s="1"/>
  <c r="J11" i="1"/>
  <c r="AP34" i="1"/>
  <c r="AP11" i="1"/>
  <c r="AK32" i="1"/>
  <c r="G110" i="1"/>
  <c r="G112" i="1"/>
  <c r="AN33" i="1"/>
  <c r="AN18" i="1"/>
  <c r="AK128" i="1"/>
  <c r="AK129" i="1"/>
  <c r="H42" i="1"/>
  <c r="H111" i="1"/>
  <c r="H18" i="1"/>
  <c r="AN129" i="1"/>
  <c r="AN128" i="1"/>
  <c r="AP26" i="1"/>
  <c r="J85" i="1"/>
  <c r="J101" i="1" s="1"/>
  <c r="I108" i="1"/>
  <c r="F109" i="1"/>
  <c r="Y37" i="1"/>
  <c r="G141" i="1"/>
  <c r="G129" i="1"/>
  <c r="G128" i="1" s="1"/>
  <c r="AB78" i="1"/>
  <c r="Z101" i="1"/>
  <c r="H116" i="1"/>
  <c r="AP113" i="1"/>
  <c r="AY11" i="1"/>
  <c r="E34" i="1"/>
  <c r="J13" i="1"/>
  <c r="BH18" i="1"/>
  <c r="AO27" i="1"/>
  <c r="L31" i="1"/>
  <c r="U31" i="1" s="1"/>
  <c r="F33" i="1"/>
  <c r="J33" i="1" s="1"/>
  <c r="AA110" i="1" s="1"/>
  <c r="H112" i="1"/>
  <c r="H113" i="1"/>
  <c r="F116" i="1"/>
  <c r="AA101" i="1"/>
  <c r="Z41" i="1"/>
  <c r="Z60" i="1" s="1"/>
  <c r="Y41" i="1"/>
  <c r="W41" i="1"/>
  <c r="BB51" i="1"/>
  <c r="AV78" i="1"/>
  <c r="AM72" i="1"/>
  <c r="AM78" i="1" s="1"/>
  <c r="AI92" i="1"/>
  <c r="AI109" i="1" s="1"/>
  <c r="AS74" i="1"/>
  <c r="BB74" i="1" s="1"/>
  <c r="AK141" i="1"/>
  <c r="AK138" i="1"/>
  <c r="AO18" i="1"/>
  <c r="AM130" i="1"/>
  <c r="AX130" i="1" s="1"/>
  <c r="E112" i="1"/>
  <c r="J35" i="1"/>
  <c r="Y35" i="1" s="1"/>
  <c r="AK35" i="1"/>
  <c r="AP35" i="1" s="1"/>
  <c r="AP14" i="1"/>
  <c r="AO14" i="1"/>
  <c r="AO35" i="1" s="1"/>
  <c r="AV130" i="1"/>
  <c r="AU130" i="1"/>
  <c r="AT130" i="1"/>
  <c r="BB33" i="1"/>
  <c r="G111" i="1"/>
  <c r="BB53" i="1"/>
  <c r="BB34" i="1"/>
  <c r="J39" i="1"/>
  <c r="Z99" i="1" s="1"/>
  <c r="G40" i="1"/>
  <c r="X41" i="1"/>
  <c r="F114" i="1"/>
  <c r="G84" i="1"/>
  <c r="AJ113" i="1"/>
  <c r="AS113" i="1" s="1"/>
  <c r="BB113" i="1" s="1"/>
  <c r="AS96" i="1"/>
  <c r="BB96" i="1" s="1"/>
  <c r="I112" i="1"/>
  <c r="C32" i="1"/>
  <c r="C12" i="1"/>
  <c r="AU18" i="1"/>
  <c r="AL12" i="1"/>
  <c r="AK70" i="1"/>
  <c r="AO73" i="1"/>
  <c r="AO78" i="1" s="1"/>
  <c r="AO13" i="1"/>
  <c r="AO34" i="1" s="1"/>
  <c r="AM12" i="1"/>
  <c r="AL72" i="1"/>
  <c r="AO74" i="1"/>
  <c r="AO92" i="1" s="1"/>
  <c r="AP92" i="1" s="1"/>
  <c r="G113" i="1"/>
  <c r="J36" i="1"/>
  <c r="Y36" i="1" s="1"/>
  <c r="AM142" i="1"/>
  <c r="F142" i="1"/>
  <c r="F130" i="1"/>
  <c r="O130" i="1" s="1"/>
  <c r="AK87" i="1"/>
  <c r="AJ111" i="1"/>
  <c r="AS111" i="1" s="1"/>
  <c r="BB111" i="1" s="1"/>
  <c r="AS94" i="1"/>
  <c r="BB94" i="1" s="1"/>
  <c r="I18" i="1"/>
  <c r="AB18" i="1"/>
  <c r="AC13" i="1" s="1"/>
  <c r="AX18" i="1"/>
  <c r="H117" i="1"/>
  <c r="AN42" i="1"/>
  <c r="BB31" i="1"/>
  <c r="F31" i="1"/>
  <c r="F18" i="1"/>
  <c r="J10" i="1"/>
  <c r="AK10" i="1"/>
  <c r="G18" i="1"/>
  <c r="G32" i="1"/>
  <c r="H110" i="1"/>
  <c r="AI33" i="1"/>
  <c r="AI13" i="1"/>
  <c r="AS12" i="1"/>
  <c r="BB12" i="1" s="1"/>
  <c r="AY12" i="1"/>
  <c r="AN130" i="1"/>
  <c r="J14" i="1"/>
  <c r="I113" i="1"/>
  <c r="J17" i="1"/>
  <c r="E18" i="1"/>
  <c r="F84" i="1"/>
  <c r="F26" i="1"/>
  <c r="G85" i="1"/>
  <c r="G101" i="1" s="1"/>
  <c r="AK33" i="1"/>
  <c r="BB35" i="1"/>
  <c r="BD36" i="1"/>
  <c r="BH36" i="1" s="1"/>
  <c r="AP36" i="1"/>
  <c r="AP37" i="1"/>
  <c r="BG37" i="1" s="1"/>
  <c r="AA41" i="1"/>
  <c r="AA60" i="1" s="1"/>
  <c r="BB59" i="1"/>
  <c r="E91" i="1"/>
  <c r="E78" i="1"/>
  <c r="I102" i="1"/>
  <c r="I135" i="1" s="1"/>
  <c r="AL142" i="1"/>
  <c r="I86" i="1"/>
  <c r="I99" i="1"/>
  <c r="S78" i="1"/>
  <c r="C72" i="1"/>
  <c r="C92" i="1"/>
  <c r="AN72" i="1"/>
  <c r="AN78" i="1" s="1"/>
  <c r="AP74" i="1"/>
  <c r="H114" i="1"/>
  <c r="Z97" i="1"/>
  <c r="H141" i="1"/>
  <c r="H129" i="1"/>
  <c r="AW78" i="1"/>
  <c r="BG78" i="1"/>
  <c r="E99" i="1"/>
  <c r="AP93" i="1"/>
  <c r="AP94" i="1"/>
  <c r="H115" i="1"/>
  <c r="E118" i="1"/>
  <c r="W101" i="1"/>
  <c r="AP24" i="1"/>
  <c r="I26" i="1"/>
  <c r="AS36" i="1"/>
  <c r="AS38" i="1"/>
  <c r="BG38" i="1"/>
  <c r="BH38" i="1" s="1"/>
  <c r="H118" i="1"/>
  <c r="Z118" i="1" s="1"/>
  <c r="AS52" i="1"/>
  <c r="G78" i="1"/>
  <c r="L73" i="1"/>
  <c r="E113" i="1"/>
  <c r="E114" i="1"/>
  <c r="AX78" i="1"/>
  <c r="G116" i="1"/>
  <c r="AI85" i="1"/>
  <c r="AI101" i="1" s="1"/>
  <c r="AI118" i="1" s="1"/>
  <c r="U91" i="1"/>
  <c r="U108" i="1" s="1"/>
  <c r="AP95" i="1"/>
  <c r="AP96" i="1"/>
  <c r="AS11" i="1"/>
  <c r="BB11" i="1" s="1"/>
  <c r="AM129" i="1"/>
  <c r="AM128" i="1"/>
  <c r="F118" i="1"/>
  <c r="X118" i="1" s="1"/>
  <c r="X101" i="1"/>
  <c r="AM26" i="1"/>
  <c r="G108" i="1"/>
  <c r="AP118" i="1"/>
  <c r="I40" i="1"/>
  <c r="AA118" i="1"/>
  <c r="H78" i="1"/>
  <c r="H91" i="1"/>
  <c r="AK71" i="1"/>
  <c r="AP71" i="1" s="1"/>
  <c r="U73" i="1"/>
  <c r="U93" i="1"/>
  <c r="U110" i="1" s="1"/>
  <c r="AL141" i="1"/>
  <c r="AL138" i="1"/>
  <c r="F113" i="1"/>
  <c r="F78" i="1"/>
  <c r="E142" i="1"/>
  <c r="N142" i="1" s="1"/>
  <c r="E138" i="1"/>
  <c r="N138" i="1" s="1"/>
  <c r="O138" i="1" s="1"/>
  <c r="I142" i="1"/>
  <c r="I138" i="1"/>
  <c r="I130" i="1"/>
  <c r="AK142" i="1"/>
  <c r="H86" i="1"/>
  <c r="AM86" i="1"/>
  <c r="AN84" i="1"/>
  <c r="AS92" i="1"/>
  <c r="BB92" i="1" s="1"/>
  <c r="AS95" i="1"/>
  <c r="BB95" i="1" s="1"/>
  <c r="G114" i="1"/>
  <c r="Y114" i="1" s="1"/>
  <c r="AM97" i="1"/>
  <c r="AM114" i="1" s="1"/>
  <c r="E130" i="1"/>
  <c r="N130" i="1" s="1"/>
  <c r="J70" i="1"/>
  <c r="AY72" i="1"/>
  <c r="I141" i="1"/>
  <c r="I129" i="1"/>
  <c r="G138" i="1"/>
  <c r="G142" i="1"/>
  <c r="G130" i="1"/>
  <c r="AL102" i="1"/>
  <c r="AS93" i="1"/>
  <c r="BB93" i="1" s="1"/>
  <c r="AS97" i="1"/>
  <c r="BB97" i="1" s="1"/>
  <c r="E129" i="1"/>
  <c r="Q139" i="1"/>
  <c r="R139" i="1" s="1"/>
  <c r="F129" i="1"/>
  <c r="F128" i="1" s="1"/>
  <c r="F141" i="1"/>
  <c r="O141" i="1" s="1"/>
  <c r="H138" i="1"/>
  <c r="H130" i="1"/>
  <c r="H142" i="1"/>
  <c r="AM102" i="1"/>
  <c r="BG101" i="1"/>
  <c r="BH101" i="1" s="1"/>
  <c r="P139" i="1"/>
  <c r="D170" i="1"/>
  <c r="F169" i="1"/>
  <c r="G169" i="1" s="1"/>
  <c r="E169" i="1"/>
  <c r="I169" i="1" s="1"/>
  <c r="E168" i="1"/>
  <c r="I168" i="1" s="1"/>
  <c r="AA97" i="1" l="1"/>
  <c r="W37" i="1"/>
  <c r="BD114" i="1"/>
  <c r="W97" i="1"/>
  <c r="AB97" i="1" s="1"/>
  <c r="AA114" i="1"/>
  <c r="X114" i="1"/>
  <c r="Z114" i="1"/>
  <c r="X97" i="1"/>
  <c r="X37" i="1"/>
  <c r="X113" i="1"/>
  <c r="Y116" i="1"/>
  <c r="X116" i="1"/>
  <c r="X99" i="1"/>
  <c r="AU79" i="1"/>
  <c r="AZ72" i="1"/>
  <c r="AZ70" i="1"/>
  <c r="AZ71" i="1"/>
  <c r="O19" i="1"/>
  <c r="AZ74" i="1"/>
  <c r="AZ12" i="1"/>
  <c r="AA37" i="1"/>
  <c r="Z37" i="1"/>
  <c r="BI71" i="1"/>
  <c r="AA113" i="1"/>
  <c r="BI74" i="1"/>
  <c r="Z96" i="1"/>
  <c r="BF79" i="1"/>
  <c r="BD79" i="1"/>
  <c r="BG19" i="1"/>
  <c r="BI14" i="1"/>
  <c r="Z19" i="1"/>
  <c r="AC15" i="1"/>
  <c r="BC79" i="1"/>
  <c r="BI72" i="1"/>
  <c r="AC11" i="1"/>
  <c r="BF19" i="1"/>
  <c r="AA19" i="1"/>
  <c r="AC16" i="1"/>
  <c r="W19" i="1"/>
  <c r="BI13" i="1"/>
  <c r="T13" i="1"/>
  <c r="T17" i="1"/>
  <c r="AZ11" i="1"/>
  <c r="AV19" i="1"/>
  <c r="W96" i="1"/>
  <c r="AT79" i="1"/>
  <c r="AZ13" i="1"/>
  <c r="AW19" i="1"/>
  <c r="AZ10" i="1"/>
  <c r="AZ14" i="1"/>
  <c r="P19" i="1"/>
  <c r="T10" i="1"/>
  <c r="T15" i="1"/>
  <c r="AA36" i="1"/>
  <c r="Q19" i="1"/>
  <c r="Z113" i="1"/>
  <c r="R19" i="1"/>
  <c r="T11" i="1"/>
  <c r="T12" i="1"/>
  <c r="AZ73" i="1"/>
  <c r="T14" i="1"/>
  <c r="N19" i="1"/>
  <c r="T16" i="1"/>
  <c r="AA95" i="1"/>
  <c r="X112" i="1"/>
  <c r="W35" i="1"/>
  <c r="Z95" i="1"/>
  <c r="X95" i="1"/>
  <c r="Y95" i="1"/>
  <c r="AA112" i="1"/>
  <c r="X93" i="1"/>
  <c r="AA33" i="1"/>
  <c r="Z33" i="1"/>
  <c r="BE114" i="1"/>
  <c r="AO142" i="1"/>
  <c r="BG79" i="1"/>
  <c r="F100" i="1"/>
  <c r="F86" i="1"/>
  <c r="AX142" i="1"/>
  <c r="J142" i="1"/>
  <c r="J138" i="1"/>
  <c r="J130" i="1"/>
  <c r="AQ83" i="1"/>
  <c r="AL27" i="1"/>
  <c r="AQ23" i="1"/>
  <c r="AL87" i="1"/>
  <c r="AN27" i="1"/>
  <c r="D171" i="1"/>
  <c r="F170" i="1"/>
  <c r="G170" i="1" s="1"/>
  <c r="E170" i="1"/>
  <c r="I170" i="1" s="1"/>
  <c r="P138" i="1"/>
  <c r="I117" i="1"/>
  <c r="AY78" i="1"/>
  <c r="Y93" i="1"/>
  <c r="AI34" i="1"/>
  <c r="AS13" i="1"/>
  <c r="BB13" i="1" s="1"/>
  <c r="AI14" i="1"/>
  <c r="W36" i="1"/>
  <c r="Y96" i="1"/>
  <c r="X36" i="1"/>
  <c r="AU141" i="1"/>
  <c r="AT141" i="1"/>
  <c r="AM141" i="1"/>
  <c r="AM138" i="1"/>
  <c r="AV79" i="1"/>
  <c r="E111" i="1"/>
  <c r="J34" i="1"/>
  <c r="W34" i="1" s="1"/>
  <c r="H127" i="1"/>
  <c r="AQ25" i="1"/>
  <c r="Y33" i="1"/>
  <c r="BG94" i="1"/>
  <c r="BH94" i="1" s="1"/>
  <c r="D172" i="1"/>
  <c r="Q138" i="1"/>
  <c r="E128" i="1"/>
  <c r="N128" i="1" s="1"/>
  <c r="O128" i="1" s="1"/>
  <c r="P128" i="1" s="1"/>
  <c r="N129" i="1"/>
  <c r="O129" i="1" s="1"/>
  <c r="P129" i="1" s="1"/>
  <c r="Q129" i="1" s="1"/>
  <c r="R129" i="1" s="1"/>
  <c r="AL135" i="1"/>
  <c r="I128" i="1"/>
  <c r="AO84" i="1"/>
  <c r="AN97" i="1"/>
  <c r="AN86" i="1"/>
  <c r="AN87" i="1" s="1"/>
  <c r="AT142" i="1"/>
  <c r="AP142" i="1"/>
  <c r="AV142" i="1"/>
  <c r="AU142" i="1"/>
  <c r="AP73" i="1"/>
  <c r="H102" i="1"/>
  <c r="H135" i="1" s="1"/>
  <c r="AM139" i="1"/>
  <c r="J114" i="1"/>
  <c r="W114" i="1"/>
  <c r="AB114" i="1" s="1"/>
  <c r="Z93" i="1"/>
  <c r="E116" i="1"/>
  <c r="W99" i="1"/>
  <c r="H128" i="1"/>
  <c r="J129" i="1"/>
  <c r="J141" i="1"/>
  <c r="AW142" i="1"/>
  <c r="BE37" i="1"/>
  <c r="BD96" i="1"/>
  <c r="BH96" i="1" s="1"/>
  <c r="E84" i="1"/>
  <c r="E26" i="1"/>
  <c r="J24" i="1"/>
  <c r="G109" i="1"/>
  <c r="G42" i="1"/>
  <c r="AN127" i="1"/>
  <c r="AO128" i="1"/>
  <c r="AO129" i="1"/>
  <c r="AX19" i="1"/>
  <c r="O142" i="1"/>
  <c r="P142" i="1" s="1"/>
  <c r="Q142" i="1" s="1"/>
  <c r="R142" i="1" s="1"/>
  <c r="Y113" i="1"/>
  <c r="AM33" i="1"/>
  <c r="AM18" i="1"/>
  <c r="L32" i="1"/>
  <c r="U32" i="1" s="1"/>
  <c r="L51" i="1"/>
  <c r="U51" i="1" s="1"/>
  <c r="W95" i="1"/>
  <c r="W33" i="1"/>
  <c r="J32" i="1"/>
  <c r="AO112" i="1"/>
  <c r="BG35" i="1"/>
  <c r="BH35" i="1" s="1"/>
  <c r="AA35" i="1"/>
  <c r="J112" i="1"/>
  <c r="W112" i="1"/>
  <c r="AC10" i="1"/>
  <c r="Z35" i="1"/>
  <c r="E42" i="1"/>
  <c r="BI12" i="1"/>
  <c r="BD113" i="1"/>
  <c r="BH113" i="1" s="1"/>
  <c r="W93" i="1"/>
  <c r="P141" i="1"/>
  <c r="H108" i="1"/>
  <c r="AT129" i="1"/>
  <c r="AV129" i="1"/>
  <c r="AU129" i="1"/>
  <c r="Y110" i="1"/>
  <c r="R138" i="1"/>
  <c r="AW138" i="1"/>
  <c r="L74" i="1"/>
  <c r="L95" i="1" s="1"/>
  <c r="L112" i="1" s="1"/>
  <c r="L94" i="1"/>
  <c r="C73" i="1"/>
  <c r="C93" i="1"/>
  <c r="C110" i="1" s="1"/>
  <c r="G115" i="1"/>
  <c r="J38" i="1"/>
  <c r="AK31" i="1"/>
  <c r="AK18" i="1"/>
  <c r="AP10" i="1"/>
  <c r="AL18" i="1"/>
  <c r="AL33" i="1"/>
  <c r="BG95" i="1"/>
  <c r="BH95" i="1" s="1"/>
  <c r="AV138" i="1"/>
  <c r="AU138" i="1"/>
  <c r="AT138" i="1"/>
  <c r="AB41" i="1"/>
  <c r="F168" i="1"/>
  <c r="Q130" i="1"/>
  <c r="J91" i="1"/>
  <c r="J78" i="1"/>
  <c r="AQ85" i="1"/>
  <c r="J113" i="1"/>
  <c r="W113" i="1"/>
  <c r="BB60" i="1"/>
  <c r="BB38" i="1"/>
  <c r="AN141" i="1"/>
  <c r="AP141" i="1" s="1"/>
  <c r="AN138" i="1"/>
  <c r="AN139" i="1" s="1"/>
  <c r="AW79" i="1"/>
  <c r="G118" i="1"/>
  <c r="Y118" i="1" s="1"/>
  <c r="Y101" i="1"/>
  <c r="AB101" i="1" s="1"/>
  <c r="AW130" i="1"/>
  <c r="Z110" i="1"/>
  <c r="J18" i="1"/>
  <c r="F19" i="1" s="1"/>
  <c r="AL78" i="1"/>
  <c r="AP72" i="1"/>
  <c r="AK78" i="1"/>
  <c r="AP70" i="1"/>
  <c r="AK91" i="1"/>
  <c r="AL129" i="1"/>
  <c r="AW129" i="1" s="1"/>
  <c r="AL128" i="1"/>
  <c r="AU19" i="1"/>
  <c r="C33" i="1"/>
  <c r="C13" i="1"/>
  <c r="AA93" i="1"/>
  <c r="Y39" i="1"/>
  <c r="Z39" i="1"/>
  <c r="W39" i="1"/>
  <c r="Y99" i="1"/>
  <c r="AA39" i="1"/>
  <c r="AP130" i="1"/>
  <c r="BG110" i="1"/>
  <c r="AM135" i="1"/>
  <c r="P130" i="1"/>
  <c r="R141" i="1"/>
  <c r="BE97" i="1"/>
  <c r="AM87" i="1"/>
  <c r="R130" i="1"/>
  <c r="X96" i="1"/>
  <c r="U74" i="1"/>
  <c r="U95" i="1" s="1"/>
  <c r="U112" i="1" s="1"/>
  <c r="U94" i="1"/>
  <c r="AM27" i="1"/>
  <c r="AO141" i="1"/>
  <c r="AO138" i="1"/>
  <c r="AP138" i="1" s="1"/>
  <c r="AX79" i="1"/>
  <c r="AA96" i="1"/>
  <c r="BB58" i="1"/>
  <c r="BB36" i="1"/>
  <c r="AQ24" i="1"/>
  <c r="W118" i="1"/>
  <c r="Q141" i="1"/>
  <c r="I116" i="1"/>
  <c r="AA116" i="1" s="1"/>
  <c r="AA99" i="1"/>
  <c r="BD37" i="1"/>
  <c r="BH37" i="1" s="1"/>
  <c r="BD97" i="1"/>
  <c r="BF37" i="1"/>
  <c r="F108" i="1"/>
  <c r="F42" i="1"/>
  <c r="AC14" i="1"/>
  <c r="AC12" i="1"/>
  <c r="BI73" i="1"/>
  <c r="BI11" i="1"/>
  <c r="BI10" i="1"/>
  <c r="AC17" i="1"/>
  <c r="BD19" i="1"/>
  <c r="Y19" i="1"/>
  <c r="BI70" i="1"/>
  <c r="BC19" i="1"/>
  <c r="X19" i="1"/>
  <c r="BE79" i="1"/>
  <c r="AO111" i="1"/>
  <c r="BG34" i="1"/>
  <c r="BH34" i="1" s="1"/>
  <c r="W110" i="1"/>
  <c r="AY18" i="1"/>
  <c r="G100" i="1"/>
  <c r="G117" i="1" s="1"/>
  <c r="G86" i="1"/>
  <c r="AK27" i="1"/>
  <c r="X35" i="1"/>
  <c r="BE19" i="1"/>
  <c r="AB60" i="1"/>
  <c r="X39" i="1"/>
  <c r="Z36" i="1"/>
  <c r="Z112" i="1"/>
  <c r="F110" i="1"/>
  <c r="X33" i="1"/>
  <c r="J31" i="1"/>
  <c r="E108" i="1"/>
  <c r="Z116" i="1"/>
  <c r="I42" i="1"/>
  <c r="AP12" i="1"/>
  <c r="AO42" i="1"/>
  <c r="AK139" i="1"/>
  <c r="AU128" i="1"/>
  <c r="AT128" i="1"/>
  <c r="AN110" i="1"/>
  <c r="Y112" i="1"/>
  <c r="AK109" i="1"/>
  <c r="AP32" i="1"/>
  <c r="AP13" i="1"/>
  <c r="AB37" i="1" l="1"/>
  <c r="AZ78" i="1"/>
  <c r="AB35" i="1"/>
  <c r="Z111" i="1"/>
  <c r="AB113" i="1"/>
  <c r="AC18" i="1"/>
  <c r="AB19" i="1"/>
  <c r="Y111" i="1"/>
  <c r="AZ18" i="1"/>
  <c r="AB96" i="1"/>
  <c r="S19" i="1"/>
  <c r="T18" i="1"/>
  <c r="AB95" i="1"/>
  <c r="AB93" i="1"/>
  <c r="G19" i="1"/>
  <c r="K17" i="1"/>
  <c r="X31" i="1"/>
  <c r="H19" i="1"/>
  <c r="K10" i="1"/>
  <c r="AA108" i="1"/>
  <c r="W91" i="1"/>
  <c r="Z91" i="1"/>
  <c r="BD92" i="1"/>
  <c r="BC92" i="1"/>
  <c r="AP18" i="1"/>
  <c r="AQ10" i="1"/>
  <c r="W92" i="1"/>
  <c r="W32" i="1"/>
  <c r="W109" i="1"/>
  <c r="AA92" i="1"/>
  <c r="X92" i="1"/>
  <c r="AA32" i="1"/>
  <c r="Z32" i="1"/>
  <c r="Z92" i="1"/>
  <c r="BD109" i="1"/>
  <c r="X32" i="1"/>
  <c r="Z109" i="1"/>
  <c r="Y92" i="1"/>
  <c r="AA109" i="1"/>
  <c r="J84" i="1"/>
  <c r="J26" i="1"/>
  <c r="E27" i="1" s="1"/>
  <c r="G119" i="1"/>
  <c r="W111" i="1"/>
  <c r="J111" i="1"/>
  <c r="AQ26" i="1"/>
  <c r="BC109" i="1"/>
  <c r="AP109" i="1"/>
  <c r="AT139" i="1"/>
  <c r="X110" i="1"/>
  <c r="AB110" i="1" s="1"/>
  <c r="J110" i="1"/>
  <c r="AL139" i="1"/>
  <c r="AW139" i="1" s="1"/>
  <c r="AW128" i="1"/>
  <c r="AM19" i="1"/>
  <c r="AO97" i="1"/>
  <c r="AO86" i="1"/>
  <c r="AO87" i="1" s="1"/>
  <c r="AB36" i="1"/>
  <c r="AW141" i="1"/>
  <c r="E171" i="1"/>
  <c r="I171" i="1" s="1"/>
  <c r="F171" i="1"/>
  <c r="G171" i="1" s="1"/>
  <c r="F117" i="1"/>
  <c r="F102" i="1"/>
  <c r="F135" i="1" s="1"/>
  <c r="AP78" i="1"/>
  <c r="AP79" i="1" s="1"/>
  <c r="Z38" i="1"/>
  <c r="W98" i="1"/>
  <c r="AA38" i="1"/>
  <c r="X38" i="1"/>
  <c r="W38" i="1"/>
  <c r="BG118" i="1"/>
  <c r="BH118" i="1" s="1"/>
  <c r="W115" i="1"/>
  <c r="Y98" i="1"/>
  <c r="Z98" i="1"/>
  <c r="AA115" i="1"/>
  <c r="AA98" i="1"/>
  <c r="X115" i="1"/>
  <c r="X98" i="1"/>
  <c r="BF97" i="1"/>
  <c r="AN114" i="1"/>
  <c r="AN102" i="1"/>
  <c r="AQ13" i="1"/>
  <c r="AN119" i="1"/>
  <c r="BF110" i="1"/>
  <c r="W108" i="1"/>
  <c r="J108" i="1"/>
  <c r="AB39" i="1"/>
  <c r="AK79" i="1"/>
  <c r="AB99" i="1"/>
  <c r="AX128" i="1"/>
  <c r="AV128" i="1"/>
  <c r="Y31" i="1"/>
  <c r="X91" i="1"/>
  <c r="Y91" i="1"/>
  <c r="W31" i="1"/>
  <c r="AA91" i="1"/>
  <c r="Z31" i="1"/>
  <c r="AA31" i="1"/>
  <c r="G102" i="1"/>
  <c r="G135" i="1" s="1"/>
  <c r="J118" i="1"/>
  <c r="C34" i="1"/>
  <c r="C14" i="1"/>
  <c r="C35" i="1" s="1"/>
  <c r="G168" i="1"/>
  <c r="K13" i="1"/>
  <c r="AL110" i="1"/>
  <c r="AL42" i="1"/>
  <c r="AK108" i="1"/>
  <c r="AP31" i="1"/>
  <c r="AK42" i="1"/>
  <c r="BC31" i="1"/>
  <c r="BH31" i="1" s="1"/>
  <c r="Y38" i="1"/>
  <c r="C94" i="1"/>
  <c r="C74" i="1"/>
  <c r="C95" i="1" s="1"/>
  <c r="C112" i="1" s="1"/>
  <c r="AB112" i="1"/>
  <c r="AM110" i="1"/>
  <c r="BE33" i="1"/>
  <c r="AM42" i="1"/>
  <c r="Y109" i="1"/>
  <c r="J109" i="1"/>
  <c r="J40" i="1"/>
  <c r="AA117" i="1" s="1"/>
  <c r="J128" i="1"/>
  <c r="W116" i="1"/>
  <c r="AB116" i="1" s="1"/>
  <c r="J116" i="1"/>
  <c r="AP84" i="1"/>
  <c r="Q128" i="1"/>
  <c r="R128" i="1" s="1"/>
  <c r="AX138" i="1"/>
  <c r="AI23" i="1"/>
  <c r="AS14" i="1"/>
  <c r="BB14" i="1" s="1"/>
  <c r="AI35" i="1"/>
  <c r="AP33" i="1"/>
  <c r="Z115" i="1"/>
  <c r="AQ12" i="1"/>
  <c r="I119" i="1"/>
  <c r="AB33" i="1"/>
  <c r="Y32" i="1"/>
  <c r="AP128" i="1"/>
  <c r="AP139" i="1" s="1"/>
  <c r="I127" i="1"/>
  <c r="I136" i="1" s="1"/>
  <c r="F127" i="1"/>
  <c r="AP97" i="1"/>
  <c r="K15" i="1"/>
  <c r="K16" i="1"/>
  <c r="K11" i="1"/>
  <c r="K12" i="1"/>
  <c r="BC32" i="1"/>
  <c r="BH32" i="1" s="1"/>
  <c r="AO127" i="1"/>
  <c r="X109" i="1"/>
  <c r="BG111" i="1"/>
  <c r="BH111" i="1" s="1"/>
  <c r="AP111" i="1"/>
  <c r="BI78" i="1"/>
  <c r="BI18" i="1"/>
  <c r="X108" i="1"/>
  <c r="F119" i="1"/>
  <c r="AB118" i="1"/>
  <c r="AX129" i="1"/>
  <c r="L33" i="1"/>
  <c r="U33" i="1" s="1"/>
  <c r="L52" i="1"/>
  <c r="U52" i="1" s="1"/>
  <c r="AK102" i="1"/>
  <c r="AP91" i="1"/>
  <c r="BC91" i="1"/>
  <c r="BH91" i="1" s="1"/>
  <c r="E19" i="1"/>
  <c r="Y115" i="1"/>
  <c r="J115" i="1"/>
  <c r="AP129" i="1"/>
  <c r="H119" i="1"/>
  <c r="Z108" i="1"/>
  <c r="E127" i="1"/>
  <c r="BG112" i="1"/>
  <c r="BH112" i="1" s="1"/>
  <c r="AP112" i="1"/>
  <c r="AO139" i="1"/>
  <c r="G127" i="1"/>
  <c r="G136" i="1" s="1"/>
  <c r="K14" i="1"/>
  <c r="E100" i="1"/>
  <c r="E117" i="1" s="1"/>
  <c r="E86" i="1"/>
  <c r="Y108" i="1"/>
  <c r="H136" i="1"/>
  <c r="Z94" i="1"/>
  <c r="AA34" i="1"/>
  <c r="Y34" i="1"/>
  <c r="W94" i="1"/>
  <c r="X94" i="1"/>
  <c r="Y94" i="1"/>
  <c r="X34" i="1"/>
  <c r="Z34" i="1"/>
  <c r="AA94" i="1"/>
  <c r="AA111" i="1"/>
  <c r="X111" i="1"/>
  <c r="AX141" i="1"/>
  <c r="AV141" i="1"/>
  <c r="I19" i="1"/>
  <c r="J42" i="1" l="1"/>
  <c r="AQ109" i="1" s="1"/>
  <c r="Y117" i="1"/>
  <c r="Y100" i="1"/>
  <c r="X100" i="1"/>
  <c r="F136" i="1"/>
  <c r="AB38" i="1"/>
  <c r="AB34" i="1"/>
  <c r="K18" i="1"/>
  <c r="AB91" i="1"/>
  <c r="L54" i="1"/>
  <c r="U54" i="1" s="1"/>
  <c r="L35" i="1"/>
  <c r="U35" i="1" s="1"/>
  <c r="W117" i="1"/>
  <c r="J117" i="1"/>
  <c r="AB31" i="1"/>
  <c r="E119" i="1"/>
  <c r="AP19" i="1"/>
  <c r="AO79" i="1"/>
  <c r="AQ74" i="1"/>
  <c r="AQ11" i="1"/>
  <c r="AQ18" i="1" s="1"/>
  <c r="AQ14" i="1"/>
  <c r="AN19" i="1"/>
  <c r="AN79" i="1"/>
  <c r="AQ71" i="1"/>
  <c r="AM79" i="1"/>
  <c r="AO19" i="1"/>
  <c r="AN135" i="1"/>
  <c r="AN103" i="1"/>
  <c r="AB115" i="1"/>
  <c r="AK19" i="1"/>
  <c r="K23" i="1"/>
  <c r="H27" i="1"/>
  <c r="G27" i="1"/>
  <c r="K25" i="1"/>
  <c r="AP27" i="1"/>
  <c r="I27" i="1"/>
  <c r="F27" i="1"/>
  <c r="AM127" i="1"/>
  <c r="AM43" i="1"/>
  <c r="AM132" i="1" s="1"/>
  <c r="AP108" i="1"/>
  <c r="AK119" i="1"/>
  <c r="BC108" i="1"/>
  <c r="BH108" i="1" s="1"/>
  <c r="BD110" i="1"/>
  <c r="AP110" i="1"/>
  <c r="AL119" i="1"/>
  <c r="AB108" i="1"/>
  <c r="AU139" i="1"/>
  <c r="J100" i="1"/>
  <c r="J102" i="1" s="1"/>
  <c r="J86" i="1"/>
  <c r="AB32" i="1"/>
  <c r="J19" i="1"/>
  <c r="AQ84" i="1"/>
  <c r="AP86" i="1"/>
  <c r="AK127" i="1"/>
  <c r="L34" i="1"/>
  <c r="U34" i="1" s="1"/>
  <c r="L53" i="1"/>
  <c r="U53" i="1" s="1"/>
  <c r="AB98" i="1"/>
  <c r="AB92" i="1"/>
  <c r="AB94" i="1"/>
  <c r="AL19" i="1"/>
  <c r="AP102" i="1"/>
  <c r="AQ91" i="1"/>
  <c r="AQ73" i="1"/>
  <c r="AI24" i="1"/>
  <c r="AI36" i="1"/>
  <c r="AX139" i="1"/>
  <c r="X40" i="1"/>
  <c r="X59" i="1" s="1"/>
  <c r="Z40" i="1"/>
  <c r="Z59" i="1" s="1"/>
  <c r="Z100" i="1"/>
  <c r="AA100" i="1"/>
  <c r="Y40" i="1"/>
  <c r="Y59" i="1" s="1"/>
  <c r="AA40" i="1"/>
  <c r="AA59" i="1" s="1"/>
  <c r="Z117" i="1"/>
  <c r="AL127" i="1"/>
  <c r="AL43" i="1"/>
  <c r="AL132" i="1" s="1"/>
  <c r="W100" i="1"/>
  <c r="E102" i="1"/>
  <c r="E135" i="1" s="1"/>
  <c r="N135" i="1" s="1"/>
  <c r="O135" i="1" s="1"/>
  <c r="P135" i="1" s="1"/>
  <c r="Q135" i="1" s="1"/>
  <c r="R135" i="1" s="1"/>
  <c r="N127" i="1"/>
  <c r="O127" i="1" s="1"/>
  <c r="P127" i="1" s="1"/>
  <c r="Q127" i="1" s="1"/>
  <c r="R127" i="1" s="1"/>
  <c r="AL79" i="1"/>
  <c r="AK135" i="1"/>
  <c r="AK103" i="1"/>
  <c r="AQ72" i="1"/>
  <c r="BF93" i="1"/>
  <c r="BG93" i="1"/>
  <c r="AQ33" i="1"/>
  <c r="BE93" i="1"/>
  <c r="BD93" i="1"/>
  <c r="BH93" i="1" s="1"/>
  <c r="BF33" i="1"/>
  <c r="W40" i="1"/>
  <c r="BE110" i="1"/>
  <c r="AM119" i="1"/>
  <c r="AM120" i="1" s="1"/>
  <c r="AQ31" i="1"/>
  <c r="AP42" i="1"/>
  <c r="BD33" i="1"/>
  <c r="J119" i="1"/>
  <c r="AN120" i="1"/>
  <c r="BF114" i="1"/>
  <c r="AQ70" i="1"/>
  <c r="AQ78" i="1" s="1"/>
  <c r="X117" i="1"/>
  <c r="AX97" i="1"/>
  <c r="BG97" i="1"/>
  <c r="BH97" i="1" s="1"/>
  <c r="AO114" i="1"/>
  <c r="AO102" i="1"/>
  <c r="AV139" i="1"/>
  <c r="BH109" i="1"/>
  <c r="AB111" i="1"/>
  <c r="K24" i="1"/>
  <c r="AB109" i="1"/>
  <c r="BH92" i="1"/>
  <c r="AY33" i="1" l="1"/>
  <c r="AY91" i="1"/>
  <c r="AQ111" i="1"/>
  <c r="AQ110" i="1"/>
  <c r="AY31" i="1"/>
  <c r="AT50" i="1" s="1"/>
  <c r="K40" i="1"/>
  <c r="AQ112" i="1"/>
  <c r="J27" i="1"/>
  <c r="E136" i="1"/>
  <c r="N136" i="1" s="1"/>
  <c r="O136" i="1" s="1"/>
  <c r="P136" i="1" s="1"/>
  <c r="Q136" i="1" s="1"/>
  <c r="R136" i="1" s="1"/>
  <c r="BH110" i="1"/>
  <c r="AB117" i="1"/>
  <c r="BG114" i="1"/>
  <c r="BH114" i="1" s="1"/>
  <c r="AO119" i="1"/>
  <c r="AO120" i="1" s="1"/>
  <c r="BH33" i="1"/>
  <c r="AV135" i="1"/>
  <c r="AU135" i="1"/>
  <c r="AT135" i="1"/>
  <c r="AL136" i="1"/>
  <c r="AW127" i="1"/>
  <c r="AI37" i="1"/>
  <c r="AI25" i="1"/>
  <c r="AI38" i="1" s="1"/>
  <c r="AM136" i="1"/>
  <c r="AX127" i="1"/>
  <c r="AP114" i="1"/>
  <c r="AQ114" i="1" s="1"/>
  <c r="J127" i="1"/>
  <c r="O54" i="1"/>
  <c r="O41" i="1"/>
  <c r="R39" i="1"/>
  <c r="N39" i="1"/>
  <c r="Q38" i="1"/>
  <c r="P37" i="1"/>
  <c r="N36" i="1"/>
  <c r="P56" i="1"/>
  <c r="N41" i="1"/>
  <c r="Q39" i="1"/>
  <c r="O37" i="1"/>
  <c r="N97" i="1"/>
  <c r="N96" i="1"/>
  <c r="R98" i="1"/>
  <c r="P91" i="1"/>
  <c r="Q51" i="1"/>
  <c r="P41" i="1"/>
  <c r="N37" i="1"/>
  <c r="P31" i="1"/>
  <c r="Q41" i="1"/>
  <c r="P39" i="1"/>
  <c r="N38" i="1"/>
  <c r="Q37" i="1"/>
  <c r="R101" i="1"/>
  <c r="O93" i="1"/>
  <c r="R38" i="1"/>
  <c r="R115" i="1" s="1"/>
  <c r="O55" i="1"/>
  <c r="O38" i="1"/>
  <c r="R37" i="1"/>
  <c r="O36" i="1"/>
  <c r="O35" i="1"/>
  <c r="R34" i="1"/>
  <c r="N32" i="1"/>
  <c r="Q31" i="1"/>
  <c r="AY38" i="1"/>
  <c r="P92" i="1"/>
  <c r="Q101" i="1"/>
  <c r="AY101" i="1"/>
  <c r="Q94" i="1"/>
  <c r="N98" i="1"/>
  <c r="P57" i="1"/>
  <c r="N33" i="1"/>
  <c r="P36" i="1"/>
  <c r="K41" i="1"/>
  <c r="N94" i="1"/>
  <c r="N95" i="1"/>
  <c r="O96" i="1"/>
  <c r="R33" i="1"/>
  <c r="P95" i="1"/>
  <c r="Q33" i="1"/>
  <c r="R36" i="1"/>
  <c r="O34" i="1"/>
  <c r="R91" i="1"/>
  <c r="O53" i="1"/>
  <c r="Q93" i="1"/>
  <c r="Q57" i="1"/>
  <c r="R92" i="1"/>
  <c r="Q97" i="1"/>
  <c r="R96" i="1"/>
  <c r="R31" i="1"/>
  <c r="S37" i="1"/>
  <c r="N93" i="1"/>
  <c r="Q58" i="1"/>
  <c r="Q35" i="1"/>
  <c r="O40" i="1"/>
  <c r="R35" i="1"/>
  <c r="R95" i="1"/>
  <c r="O97" i="1"/>
  <c r="P94" i="1"/>
  <c r="O39" i="1"/>
  <c r="Q96" i="1"/>
  <c r="P99" i="1"/>
  <c r="O101" i="1"/>
  <c r="P97" i="1"/>
  <c r="N101" i="1"/>
  <c r="Q34" i="1"/>
  <c r="K37" i="1"/>
  <c r="P51" i="1"/>
  <c r="O91" i="1"/>
  <c r="Q99" i="1"/>
  <c r="N31" i="1"/>
  <c r="Q32" i="1"/>
  <c r="P98" i="1"/>
  <c r="R53" i="1"/>
  <c r="O56" i="1"/>
  <c r="Q100" i="1"/>
  <c r="Q98" i="1"/>
  <c r="O99" i="1"/>
  <c r="N92" i="1"/>
  <c r="P58" i="1"/>
  <c r="O95" i="1"/>
  <c r="R97" i="1"/>
  <c r="Q40" i="1"/>
  <c r="Q36" i="1"/>
  <c r="S41" i="1"/>
  <c r="Q92" i="1"/>
  <c r="Q95" i="1"/>
  <c r="P34" i="1"/>
  <c r="R94" i="1"/>
  <c r="R50" i="1"/>
  <c r="O92" i="1"/>
  <c r="R41" i="1"/>
  <c r="R51" i="1"/>
  <c r="O57" i="1"/>
  <c r="O98" i="1"/>
  <c r="P35" i="1"/>
  <c r="O32" i="1"/>
  <c r="R32" i="1"/>
  <c r="O94" i="1"/>
  <c r="P50" i="1"/>
  <c r="P93" i="1"/>
  <c r="P96" i="1"/>
  <c r="P33" i="1"/>
  <c r="N35" i="1"/>
  <c r="N112" i="1" s="1"/>
  <c r="R93" i="1"/>
  <c r="Q56" i="1"/>
  <c r="R100" i="1"/>
  <c r="P55" i="1"/>
  <c r="R40" i="1"/>
  <c r="S36" i="1"/>
  <c r="Q50" i="1"/>
  <c r="P40" i="1"/>
  <c r="K39" i="1"/>
  <c r="S39" i="1"/>
  <c r="R58" i="1"/>
  <c r="O33" i="1"/>
  <c r="P101" i="1"/>
  <c r="AQ113" i="1"/>
  <c r="AY37" i="1"/>
  <c r="S35" i="1"/>
  <c r="P38" i="1"/>
  <c r="P115" i="1" s="1"/>
  <c r="AY35" i="1"/>
  <c r="P32" i="1"/>
  <c r="S33" i="1"/>
  <c r="K36" i="1"/>
  <c r="H43" i="1"/>
  <c r="H132" i="1" s="1"/>
  <c r="Q91" i="1"/>
  <c r="AY95" i="1"/>
  <c r="AY96" i="1"/>
  <c r="AY94" i="1"/>
  <c r="R99" i="1"/>
  <c r="O31" i="1"/>
  <c r="AY92" i="1"/>
  <c r="AQ118" i="1"/>
  <c r="K33" i="1"/>
  <c r="N34" i="1"/>
  <c r="AY34" i="1"/>
  <c r="N91" i="1"/>
  <c r="K35" i="1"/>
  <c r="AY93" i="1"/>
  <c r="N99" i="1"/>
  <c r="AY36" i="1"/>
  <c r="S32" i="1"/>
  <c r="I43" i="1"/>
  <c r="I132" i="1" s="1"/>
  <c r="S31" i="1"/>
  <c r="E43" i="1"/>
  <c r="K34" i="1"/>
  <c r="AY32" i="1"/>
  <c r="AT51" i="1" s="1"/>
  <c r="O100" i="1"/>
  <c r="K31" i="1"/>
  <c r="F43" i="1"/>
  <c r="F132" i="1" s="1"/>
  <c r="G43" i="1"/>
  <c r="G132" i="1" s="1"/>
  <c r="S34" i="1"/>
  <c r="S38" i="1"/>
  <c r="P100" i="1"/>
  <c r="K32" i="1"/>
  <c r="K38" i="1"/>
  <c r="N40" i="1"/>
  <c r="AV93" i="1"/>
  <c r="AV102" i="1" s="1"/>
  <c r="AM148" i="1" s="1"/>
  <c r="AM149" i="1" s="1"/>
  <c r="AM150" i="1" s="1"/>
  <c r="AP43" i="1"/>
  <c r="AW93" i="1"/>
  <c r="AT92" i="1"/>
  <c r="AX95" i="1"/>
  <c r="AU37" i="1"/>
  <c r="AU114" i="1" s="1"/>
  <c r="AV37" i="1"/>
  <c r="AQ101" i="1"/>
  <c r="AX93" i="1"/>
  <c r="AU36" i="1"/>
  <c r="AU96" i="1"/>
  <c r="AQ38" i="1"/>
  <c r="AX94" i="1"/>
  <c r="AU92" i="1"/>
  <c r="AU97" i="1"/>
  <c r="AX38" i="1"/>
  <c r="AX101" i="1"/>
  <c r="AX37" i="1"/>
  <c r="AX114" i="1" s="1"/>
  <c r="AU93" i="1"/>
  <c r="AW37" i="1"/>
  <c r="AQ93" i="1"/>
  <c r="AT33" i="1"/>
  <c r="AQ34" i="1"/>
  <c r="AL103" i="1"/>
  <c r="AQ96" i="1"/>
  <c r="AQ95" i="1"/>
  <c r="AV97" i="1"/>
  <c r="AT32" i="1"/>
  <c r="AT109" i="1" s="1"/>
  <c r="AQ36" i="1"/>
  <c r="AQ42" i="1" s="1"/>
  <c r="AQ94" i="1"/>
  <c r="AQ37" i="1"/>
  <c r="AX34" i="1"/>
  <c r="AQ92" i="1"/>
  <c r="AW33" i="1"/>
  <c r="AX35" i="1"/>
  <c r="AM103" i="1"/>
  <c r="AN43" i="1"/>
  <c r="AN132" i="1" s="1"/>
  <c r="AQ35" i="1"/>
  <c r="AT31" i="1"/>
  <c r="AW97" i="1"/>
  <c r="AO43" i="1"/>
  <c r="AO132" i="1" s="1"/>
  <c r="AT91" i="1"/>
  <c r="AT102" i="1" s="1"/>
  <c r="AK148" i="1" s="1"/>
  <c r="AQ32" i="1"/>
  <c r="AU33" i="1"/>
  <c r="AV33" i="1"/>
  <c r="N100" i="1"/>
  <c r="S40" i="1"/>
  <c r="AP103" i="1"/>
  <c r="AQ102" i="1"/>
  <c r="AK43" i="1"/>
  <c r="AK132" i="1" s="1"/>
  <c r="AL120" i="1"/>
  <c r="AK120" i="1"/>
  <c r="AQ97" i="1"/>
  <c r="AN136" i="1"/>
  <c r="AW135" i="1"/>
  <c r="AO135" i="1"/>
  <c r="AO136" i="1" s="1"/>
  <c r="AO103" i="1"/>
  <c r="AQ86" i="1"/>
  <c r="AP87" i="1"/>
  <c r="W59" i="1"/>
  <c r="AB59" i="1" s="1"/>
  <c r="AB40" i="1"/>
  <c r="AB100" i="1"/>
  <c r="AT127" i="1"/>
  <c r="AV127" i="1"/>
  <c r="AK136" i="1"/>
  <c r="AU127" i="1"/>
  <c r="AP127" i="1"/>
  <c r="E166" i="1"/>
  <c r="J135" i="1"/>
  <c r="AP119" i="1"/>
  <c r="AP120" i="1" s="1"/>
  <c r="AQ108" i="1"/>
  <c r="AY97" i="1"/>
  <c r="K26" i="1"/>
  <c r="AQ119" i="1" l="1"/>
  <c r="Q111" i="1"/>
  <c r="R110" i="1"/>
  <c r="R111" i="1"/>
  <c r="N116" i="1"/>
  <c r="Q113" i="1"/>
  <c r="R112" i="1"/>
  <c r="Q110" i="1"/>
  <c r="P110" i="1"/>
  <c r="Q117" i="1"/>
  <c r="AY102" i="1"/>
  <c r="O113" i="1"/>
  <c r="Q102" i="1"/>
  <c r="H148" i="1" s="1"/>
  <c r="H149" i="1" s="1"/>
  <c r="H150" i="1" s="1"/>
  <c r="P109" i="1"/>
  <c r="O117" i="1"/>
  <c r="R114" i="1"/>
  <c r="P116" i="1"/>
  <c r="P118" i="1"/>
  <c r="S96" i="1"/>
  <c r="N118" i="1"/>
  <c r="Q115" i="1"/>
  <c r="AV110" i="1"/>
  <c r="AV42" i="1"/>
  <c r="AM131" i="1" s="1"/>
  <c r="AX102" i="1"/>
  <c r="AO148" i="1" s="1"/>
  <c r="AX110" i="1"/>
  <c r="N108" i="1"/>
  <c r="N42" i="1"/>
  <c r="E131" i="1" s="1"/>
  <c r="N131" i="1" s="1"/>
  <c r="AX59" i="1"/>
  <c r="AW59" i="1"/>
  <c r="R56" i="1"/>
  <c r="AV59" i="1"/>
  <c r="AU59" i="1"/>
  <c r="N56" i="1"/>
  <c r="R102" i="1"/>
  <c r="I148" i="1" s="1"/>
  <c r="I149" i="1" s="1"/>
  <c r="S94" i="1"/>
  <c r="N109" i="1"/>
  <c r="AX136" i="1"/>
  <c r="AW136" i="1"/>
  <c r="AW132" i="1"/>
  <c r="AT136" i="1"/>
  <c r="AP136" i="1"/>
  <c r="AU136" i="1"/>
  <c r="AV136" i="1"/>
  <c r="AU110" i="1"/>
  <c r="AY110" i="1" s="1"/>
  <c r="AU42" i="1"/>
  <c r="AL131" i="1" s="1"/>
  <c r="AX111" i="1"/>
  <c r="AY111" i="1" s="1"/>
  <c r="AX42" i="1"/>
  <c r="AO131" i="1" s="1"/>
  <c r="AY109" i="1"/>
  <c r="AW114" i="1"/>
  <c r="AX118" i="1"/>
  <c r="AY118" i="1" s="1"/>
  <c r="N117" i="1"/>
  <c r="AX60" i="1"/>
  <c r="AY60" i="1" s="1"/>
  <c r="R57" i="1"/>
  <c r="N57" i="1"/>
  <c r="K42" i="1"/>
  <c r="E132" i="1"/>
  <c r="J43" i="1"/>
  <c r="J132" i="1" s="1"/>
  <c r="S91" i="1"/>
  <c r="N102" i="1"/>
  <c r="E148" i="1" s="1"/>
  <c r="N148" i="1" s="1"/>
  <c r="O58" i="1"/>
  <c r="N58" i="1"/>
  <c r="AU58" i="1"/>
  <c r="AY58" i="1" s="1"/>
  <c r="N55" i="1"/>
  <c r="R55" i="1"/>
  <c r="Q55" i="1"/>
  <c r="R109" i="1"/>
  <c r="Q112" i="1"/>
  <c r="R108" i="1"/>
  <c r="R42" i="1"/>
  <c r="I131" i="1" s="1"/>
  <c r="O111" i="1"/>
  <c r="S98" i="1"/>
  <c r="O115" i="1"/>
  <c r="Q118" i="1"/>
  <c r="S97" i="1"/>
  <c r="J136" i="1"/>
  <c r="AP135" i="1"/>
  <c r="I166" i="1"/>
  <c r="I172" i="1" s="1"/>
  <c r="H181" i="1" s="1"/>
  <c r="E172" i="1"/>
  <c r="F166" i="1"/>
  <c r="AX135" i="1"/>
  <c r="P59" i="1"/>
  <c r="O59" i="1"/>
  <c r="P60" i="1"/>
  <c r="Q59" i="1"/>
  <c r="N59" i="1"/>
  <c r="R59" i="1"/>
  <c r="AT108" i="1"/>
  <c r="AT42" i="1"/>
  <c r="AK131" i="1" s="1"/>
  <c r="AX112" i="1"/>
  <c r="AY112" i="1" s="1"/>
  <c r="AV114" i="1"/>
  <c r="AW102" i="1"/>
  <c r="AN148" i="1" s="1"/>
  <c r="AN149" i="1" s="1"/>
  <c r="AN150" i="1" s="1"/>
  <c r="AX53" i="1"/>
  <c r="AY53" i="1" s="1"/>
  <c r="N53" i="1"/>
  <c r="P53" i="1"/>
  <c r="N50" i="1"/>
  <c r="S42" i="1"/>
  <c r="J131" i="1" s="1"/>
  <c r="O50" i="1"/>
  <c r="S99" i="1"/>
  <c r="R117" i="1"/>
  <c r="O109" i="1"/>
  <c r="N60" i="1"/>
  <c r="O60" i="1"/>
  <c r="Q60" i="1"/>
  <c r="R60" i="1"/>
  <c r="O102" i="1"/>
  <c r="F148" i="1" s="1"/>
  <c r="F149" i="1" s="1"/>
  <c r="S101" i="1"/>
  <c r="R113" i="1"/>
  <c r="P113" i="1"/>
  <c r="O112" i="1"/>
  <c r="Q114" i="1"/>
  <c r="P108" i="1"/>
  <c r="P42" i="1"/>
  <c r="G131" i="1" s="1"/>
  <c r="P102" i="1"/>
  <c r="G148" i="1" s="1"/>
  <c r="O114" i="1"/>
  <c r="N113" i="1"/>
  <c r="R116" i="1"/>
  <c r="AX132" i="1"/>
  <c r="AY42" i="1"/>
  <c r="AO149" i="1"/>
  <c r="AO150" i="1" s="1"/>
  <c r="N51" i="1"/>
  <c r="AU51" i="1"/>
  <c r="O51" i="1"/>
  <c r="S92" i="1"/>
  <c r="AK149" i="1"/>
  <c r="AV132" i="1"/>
  <c r="AT132" i="1"/>
  <c r="AP132" i="1"/>
  <c r="AP149" i="1" s="1"/>
  <c r="AP150" i="1" s="1"/>
  <c r="AU132" i="1"/>
  <c r="S100" i="1"/>
  <c r="AT148" i="1"/>
  <c r="AP148" i="1"/>
  <c r="AW110" i="1"/>
  <c r="AW119" i="1" s="1"/>
  <c r="AW42" i="1"/>
  <c r="AN131" i="1" s="1"/>
  <c r="AU109" i="1"/>
  <c r="AU102" i="1"/>
  <c r="AL148" i="1" s="1"/>
  <c r="AL149" i="1" s="1"/>
  <c r="AL150" i="1" s="1"/>
  <c r="AY114" i="1"/>
  <c r="G149" i="1"/>
  <c r="N111" i="1"/>
  <c r="O108" i="1"/>
  <c r="O42" i="1"/>
  <c r="F131" i="1" s="1"/>
  <c r="AW52" i="1"/>
  <c r="R52" i="1"/>
  <c r="N52" i="1"/>
  <c r="AU52" i="1"/>
  <c r="O52" i="1"/>
  <c r="AX52" i="1"/>
  <c r="Q52" i="1"/>
  <c r="P52" i="1"/>
  <c r="AV52" i="1"/>
  <c r="AX54" i="1"/>
  <c r="AY54" i="1" s="1"/>
  <c r="P54" i="1"/>
  <c r="N54" i="1"/>
  <c r="R54" i="1"/>
  <c r="Q54" i="1"/>
  <c r="O110" i="1"/>
  <c r="P117" i="1"/>
  <c r="P112" i="1"/>
  <c r="R118" i="1"/>
  <c r="P111" i="1"/>
  <c r="Q109" i="1"/>
  <c r="O116" i="1"/>
  <c r="S93" i="1"/>
  <c r="S95" i="1"/>
  <c r="N110" i="1"/>
  <c r="Q108" i="1"/>
  <c r="Q42" i="1"/>
  <c r="H131" i="1" s="1"/>
  <c r="N115" i="1"/>
  <c r="N114" i="1"/>
  <c r="Q116" i="1"/>
  <c r="P114" i="1"/>
  <c r="O118" i="1"/>
  <c r="AT61" i="1"/>
  <c r="AK144" i="1" s="1"/>
  <c r="AY50" i="1"/>
  <c r="AV61" i="1" l="1"/>
  <c r="AM144" i="1" s="1"/>
  <c r="AM145" i="1" s="1"/>
  <c r="AM146" i="1" s="1"/>
  <c r="R61" i="1"/>
  <c r="I144" i="1" s="1"/>
  <c r="I145" i="1" s="1"/>
  <c r="I146" i="1" s="1"/>
  <c r="S118" i="1"/>
  <c r="S115" i="1"/>
  <c r="Q61" i="1"/>
  <c r="H144" i="1" s="1"/>
  <c r="H145" i="1" s="1"/>
  <c r="P61" i="1"/>
  <c r="G144" i="1" s="1"/>
  <c r="G145" i="1" s="1"/>
  <c r="G146" i="1" s="1"/>
  <c r="Q119" i="1"/>
  <c r="S112" i="1"/>
  <c r="S116" i="1"/>
  <c r="S114" i="1"/>
  <c r="S55" i="1"/>
  <c r="S56" i="1"/>
  <c r="S52" i="1"/>
  <c r="S113" i="1"/>
  <c r="S58" i="1"/>
  <c r="S57" i="1"/>
  <c r="F150" i="1"/>
  <c r="E149" i="1"/>
  <c r="N132" i="1"/>
  <c r="O132" i="1" s="1"/>
  <c r="P132" i="1" s="1"/>
  <c r="Q132" i="1" s="1"/>
  <c r="R132" i="1" s="1"/>
  <c r="AX61" i="1"/>
  <c r="AO144" i="1" s="1"/>
  <c r="AO145" i="1" s="1"/>
  <c r="AY59" i="1"/>
  <c r="O61" i="1"/>
  <c r="F144" i="1" s="1"/>
  <c r="F145" i="1" s="1"/>
  <c r="F146" i="1" s="1"/>
  <c r="S59" i="1"/>
  <c r="R119" i="1"/>
  <c r="S102" i="1"/>
  <c r="J148" i="1" s="1"/>
  <c r="J149" i="1" s="1"/>
  <c r="O131" i="1"/>
  <c r="P131" i="1" s="1"/>
  <c r="Q131" i="1" s="1"/>
  <c r="R131" i="1" s="1"/>
  <c r="AX131" i="1"/>
  <c r="O119" i="1"/>
  <c r="P119" i="1"/>
  <c r="N61" i="1"/>
  <c r="E144" i="1" s="1"/>
  <c r="S50" i="1"/>
  <c r="AY108" i="1"/>
  <c r="AY119" i="1" s="1"/>
  <c r="AT119" i="1"/>
  <c r="F172" i="1"/>
  <c r="E180" i="1" s="1"/>
  <c r="G166" i="1"/>
  <c r="H172" i="1"/>
  <c r="J166" i="1"/>
  <c r="J167" i="1" s="1"/>
  <c r="J168" i="1" s="1"/>
  <c r="J169" i="1" s="1"/>
  <c r="J170" i="1" s="1"/>
  <c r="J171" i="1" s="1"/>
  <c r="AK145" i="1"/>
  <c r="AT144" i="1"/>
  <c r="S110" i="1"/>
  <c r="S111" i="1"/>
  <c r="G150" i="1"/>
  <c r="S117" i="1"/>
  <c r="S109" i="1"/>
  <c r="AW61" i="1"/>
  <c r="AN144" i="1" s="1"/>
  <c r="AN145" i="1" s="1"/>
  <c r="AU148" i="1"/>
  <c r="AU61" i="1"/>
  <c r="AL144" i="1" s="1"/>
  <c r="AL145" i="1" s="1"/>
  <c r="O148" i="1"/>
  <c r="P148" i="1" s="1"/>
  <c r="Q148" i="1" s="1"/>
  <c r="R148" i="1" s="1"/>
  <c r="S60" i="1"/>
  <c r="S53" i="1"/>
  <c r="S54" i="1"/>
  <c r="AY52" i="1"/>
  <c r="AY51" i="1"/>
  <c r="AU119" i="1"/>
  <c r="AV148" i="1"/>
  <c r="AW148" i="1" s="1"/>
  <c r="AX148" i="1" s="1"/>
  <c r="AV149" i="1"/>
  <c r="AU149" i="1"/>
  <c r="AU150" i="1" s="1"/>
  <c r="AT149" i="1"/>
  <c r="AT150" i="1" s="1"/>
  <c r="AK150" i="1"/>
  <c r="S51" i="1"/>
  <c r="AT131" i="1"/>
  <c r="AU131" i="1"/>
  <c r="AP131" i="1"/>
  <c r="AV131" i="1"/>
  <c r="I150" i="1"/>
  <c r="AW131" i="1"/>
  <c r="N119" i="1"/>
  <c r="S108" i="1"/>
  <c r="AX119" i="1"/>
  <c r="AV119" i="1"/>
  <c r="AM152" i="1" l="1"/>
  <c r="AM153" i="1" s="1"/>
  <c r="I152" i="1"/>
  <c r="I153" i="1" s="1"/>
  <c r="G152" i="1"/>
  <c r="G153" i="1" s="1"/>
  <c r="AY61" i="1"/>
  <c r="H146" i="1"/>
  <c r="H152" i="1"/>
  <c r="H153" i="1" s="1"/>
  <c r="AU144" i="1"/>
  <c r="AP144" i="1"/>
  <c r="J150" i="1"/>
  <c r="AV150" i="1"/>
  <c r="AW149" i="1"/>
  <c r="E145" i="1"/>
  <c r="E152" i="1" s="1"/>
  <c r="N144" i="1"/>
  <c r="O144" i="1" s="1"/>
  <c r="P144" i="1" s="1"/>
  <c r="Q144" i="1" s="1"/>
  <c r="R144" i="1" s="1"/>
  <c r="AL152" i="1"/>
  <c r="AL153" i="1" s="1"/>
  <c r="AL146" i="1"/>
  <c r="F152" i="1"/>
  <c r="AO152" i="1"/>
  <c r="AO153" i="1" s="1"/>
  <c r="AO146" i="1"/>
  <c r="S119" i="1"/>
  <c r="AN152" i="1"/>
  <c r="AN153" i="1" s="1"/>
  <c r="AN146" i="1"/>
  <c r="AV144" i="1"/>
  <c r="AW144" i="1" s="1"/>
  <c r="AX144" i="1" s="1"/>
  <c r="AK152" i="1"/>
  <c r="AK153" i="1" s="1"/>
  <c r="AK146" i="1"/>
  <c r="AT145" i="1"/>
  <c r="AP145" i="1"/>
  <c r="AU145" i="1"/>
  <c r="AV145" i="1"/>
  <c r="K166" i="1"/>
  <c r="K167" i="1" s="1"/>
  <c r="K168" i="1" s="1"/>
  <c r="K169" i="1" s="1"/>
  <c r="K170" i="1" s="1"/>
  <c r="K171" i="1" s="1"/>
  <c r="G172" i="1"/>
  <c r="G174" i="1" a="1"/>
  <c r="G174" i="1" s="1"/>
  <c r="S61" i="1"/>
  <c r="J144" i="1" s="1"/>
  <c r="J145" i="1" s="1"/>
  <c r="J146" i="1" s="1"/>
  <c r="N149" i="1"/>
  <c r="O149" i="1" s="1"/>
  <c r="P149" i="1" s="1"/>
  <c r="Q149" i="1" s="1"/>
  <c r="R149" i="1" s="1"/>
  <c r="E150" i="1"/>
  <c r="N150" i="1" s="1"/>
  <c r="O150" i="1" s="1"/>
  <c r="P150" i="1" s="1"/>
  <c r="Q150" i="1" s="1"/>
  <c r="R150" i="1" s="1"/>
  <c r="E153" i="1" l="1"/>
  <c r="N152" i="1"/>
  <c r="O152" i="1" s="1"/>
  <c r="P152" i="1" s="1"/>
  <c r="Q152" i="1" s="1"/>
  <c r="R152" i="1" s="1"/>
  <c r="AU152" i="1"/>
  <c r="AU153" i="1" s="1"/>
  <c r="AU146" i="1"/>
  <c r="G181" i="1"/>
  <c r="E182" i="1"/>
  <c r="AP152" i="1"/>
  <c r="AP153" i="1" s="1"/>
  <c r="AP146" i="1"/>
  <c r="F153" i="1"/>
  <c r="AV152" i="1"/>
  <c r="AV153" i="1" s="1"/>
  <c r="AV146" i="1"/>
  <c r="AW145" i="1"/>
  <c r="AW150" i="1"/>
  <c r="AX149" i="1"/>
  <c r="AX150" i="1" s="1"/>
  <c r="AT152" i="1"/>
  <c r="AT153" i="1" s="1"/>
  <c r="AT146" i="1"/>
  <c r="E146" i="1"/>
  <c r="N146" i="1" s="1"/>
  <c r="O146" i="1" s="1"/>
  <c r="P146" i="1" s="1"/>
  <c r="Q146" i="1" s="1"/>
  <c r="R146" i="1" s="1"/>
  <c r="N145" i="1"/>
  <c r="O145" i="1" s="1"/>
  <c r="P145" i="1" s="1"/>
  <c r="Q145" i="1" s="1"/>
  <c r="R145" i="1" s="1"/>
  <c r="J152" i="1"/>
  <c r="AX145" i="1" l="1"/>
  <c r="AW152" i="1"/>
  <c r="AW153" i="1" s="1"/>
  <c r="AW146" i="1"/>
  <c r="J153" i="1"/>
  <c r="N153" i="1"/>
  <c r="O153" i="1" s="1"/>
  <c r="P153" i="1" s="1"/>
  <c r="Q153" i="1" s="1"/>
  <c r="R153" i="1" s="1"/>
  <c r="AX146" i="1" l="1"/>
  <c r="AX152" i="1"/>
  <c r="AX153" i="1" s="1"/>
</calcChain>
</file>

<file path=xl/sharedStrings.xml><?xml version="1.0" encoding="utf-8"?>
<sst xmlns="http://schemas.openxmlformats.org/spreadsheetml/2006/main" count="754" uniqueCount="265">
  <si>
    <t>Técnica Valor Ganado o EVM (Earned Value Management)</t>
  </si>
  <si>
    <t>EQUIPO No.   5</t>
  </si>
  <si>
    <t>NOMBRE DEL EQUIPO :</t>
  </si>
  <si>
    <t xml:space="preserve">HardHome </t>
  </si>
  <si>
    <t>EXPLICACIÓN DETALLADA DE CADA CUADRO</t>
  </si>
  <si>
    <t>PRESUPUESTO</t>
  </si>
  <si>
    <r>
      <rPr>
        <b/>
        <sz val="18"/>
        <color theme="4"/>
        <rFont val="Calibri"/>
      </rPr>
      <t xml:space="preserve">PRESUPUESTO </t>
    </r>
    <r>
      <rPr>
        <b/>
        <sz val="11"/>
        <color rgb="FF7030A0"/>
        <rFont val="Calibri (Cuerpo)"/>
      </rPr>
      <t xml:space="preserve">= </t>
    </r>
    <r>
      <rPr>
        <sz val="11"/>
        <color rgb="FF7030A0"/>
        <rFont val="Calibri (Cuerpo)"/>
      </rPr>
      <t>Cuánto esperamos gastar. Es muy importante, porque en función de esto determinaremos el precio, es decir, lo que vamos a cobrar.</t>
    </r>
  </si>
  <si>
    <t>9% representa que el paso 1 de Análisis de Factibliad, planes y Req representa el 9% del total del esfuezo del proyecto en cuestión de horas de programación. Se calcula dividiendo 16,667 / 189,750</t>
  </si>
  <si>
    <t>Suma de cada uno de los pasos del proyecto</t>
  </si>
  <si>
    <t>PASO 1</t>
  </si>
  <si>
    <t>Estos son estimados de tiempo de programación requerido, se calculan en función de la experiencia</t>
  </si>
  <si>
    <t>PASO 2</t>
  </si>
  <si>
    <t>P3</t>
  </si>
  <si>
    <t xml:space="preserve">Presupuesto en Pesos sobre horas trabajadas </t>
  </si>
  <si>
    <t>P1</t>
  </si>
  <si>
    <t>Presupuesto Horas trabajadas (programador Senior)</t>
  </si>
  <si>
    <t>P2</t>
  </si>
  <si>
    <t>Presupuesto Horas trabajadas (programador Junior)</t>
  </si>
  <si>
    <t>PASO 3</t>
  </si>
  <si>
    <t>Este es el presupuesto que caclulas cuando vas a realizar un proyecto, el presupuesto deber estar detallado y debe incluir todas las lineas requeridas. En primer lugar en este caso tenemos las horas de programación. Las horas de programación se calculan multiplicando las horas que se requerirán para realizar el trabajo x el costo por hora de cada recurso (dependiendo la experiencia de los recursos, en nuestros casos acedémicos sólo manejaremos Programador Senior y Programador Junior)</t>
  </si>
  <si>
    <t>Presupuesto de Horas trabajadas (programador Senior)</t>
  </si>
  <si>
    <t>Presupuesto de Horas trabajadas (programador Junior)</t>
  </si>
  <si>
    <t>Sem 1</t>
  </si>
  <si>
    <t>Sem 2</t>
  </si>
  <si>
    <t>Sem 3</t>
  </si>
  <si>
    <t>Sem 4</t>
  </si>
  <si>
    <t>Sem 5</t>
  </si>
  <si>
    <t>Total</t>
  </si>
  <si>
    <t>Análisis Factibilidad, Planes y Requisitos</t>
  </si>
  <si>
    <t>Análisis Factibilidad, Planes y Req</t>
  </si>
  <si>
    <t>Se multiplica el Número Horas X costo x hora. Sumandose ambos cálculos (programadores senior &amp; junior)</t>
  </si>
  <si>
    <t xml:space="preserve">Diseño </t>
  </si>
  <si>
    <t>Diseño del producto</t>
  </si>
  <si>
    <t>Programación</t>
  </si>
  <si>
    <t>Instalación en servidor web</t>
  </si>
  <si>
    <t>Integración y pruebas</t>
  </si>
  <si>
    <t>Pruebas individuales</t>
  </si>
  <si>
    <t>Go Life</t>
  </si>
  <si>
    <t xml:space="preserve">Integración y pruebas </t>
  </si>
  <si>
    <t>Mantenimiento</t>
  </si>
  <si>
    <t>Total Horas programación</t>
  </si>
  <si>
    <t>Horas senior</t>
  </si>
  <si>
    <t>Horas Junior</t>
  </si>
  <si>
    <t>Suma de semana 1</t>
  </si>
  <si>
    <t>Siempre tiene que ser 100%</t>
  </si>
  <si>
    <t>Dividir 50,000 / 189,750, representa que en la semana 1 deberemos tener un avance del 26% de las horas trabajadas y así con todos los periodos</t>
  </si>
  <si>
    <t>P4</t>
  </si>
  <si>
    <t>Presupuesto en Insumos (costos )</t>
  </si>
  <si>
    <t>PASO 4</t>
  </si>
  <si>
    <t xml:space="preserve">Son costos asociados al proyecto pero que no están directamente relacionados con las horas de programación </t>
  </si>
  <si>
    <t>Pesos</t>
  </si>
  <si>
    <t>Dólares</t>
  </si>
  <si>
    <t>Son valores dados, los costos por hora son calculados con metodologías específicas de "Recovery Rates", en donde se incluyen todos los costos que representan una hora de trabajo de una persona, desde sueldo, vacaciones, aguinaldo, hasta espacio ocupado.</t>
  </si>
  <si>
    <t>Infraestructura (SW)</t>
  </si>
  <si>
    <t>Hora de programacion junior</t>
  </si>
  <si>
    <t>Programador Junior</t>
  </si>
  <si>
    <t>Costos Fijos (Luz, Agua, servicios,renta)</t>
  </si>
  <si>
    <t>Hora de programacion senior</t>
  </si>
  <si>
    <t>Costos Fijos (Luz, Agua, servicios)</t>
  </si>
  <si>
    <t>Programador Senior</t>
  </si>
  <si>
    <t>Mercadotécnia</t>
  </si>
  <si>
    <t xml:space="preserve">66% se calcula dividiendo 25,000 / 37,800 y representa la proporción que significa un gasto específico (en este caso Mercadotécnia), del total de Insumos Costos </t>
  </si>
  <si>
    <t>Tipo de Cambio (pss - Dls)</t>
  </si>
  <si>
    <t>Total Costos (insumos)</t>
  </si>
  <si>
    <t>Dividir 9,200 / 37,800, representa que en la semana 2 deberemos tener un avance del 24% de los insumos y así con todos los periodos</t>
  </si>
  <si>
    <t>PASO 6</t>
  </si>
  <si>
    <t>PASO 7</t>
  </si>
  <si>
    <t>Muestra cada actividad de manera aislada, es decir, de la actividad específica cuándo se completará la misma. Ejemplo: El análisis de factibilidad se concluye al 100% en la semana 1</t>
  </si>
  <si>
    <t>P5</t>
  </si>
  <si>
    <t>Presupuesto Total</t>
  </si>
  <si>
    <t>P7</t>
  </si>
  <si>
    <t>Avance en % del total (Presupuestado)</t>
  </si>
  <si>
    <t>P6</t>
  </si>
  <si>
    <t>Avance en % específico (Presupuestado)</t>
  </si>
  <si>
    <t>PASO 5</t>
  </si>
  <si>
    <t>Suma de los detalles de presupuesto calculados. En este caso Presupuesto de programación y de costos (insumos)</t>
  </si>
  <si>
    <t>Avance en % del total</t>
  </si>
  <si>
    <t>Muestra que % del TOTAL representa cada una de las actividades en cada uno de los periodos</t>
  </si>
  <si>
    <t>Avance en % (específico)</t>
  </si>
  <si>
    <t xml:space="preserve">7% se calcula dividiendo 16,667 / 222,550 y representa la proporción que significa un gasto específico (en este caso el análisis de factibilidad), del total del proyecto </t>
  </si>
  <si>
    <t>Se calcula dividiendo el presupuesto de gasto de esta actividad y periodo / el total de gastos: 16,667 / 222,550</t>
  </si>
  <si>
    <t>Se calcula dividiendo el valor del presupuesto de esta casilla / el total de la actividad, nos dice qué % se completa de esta actividad en esta casilla</t>
  </si>
  <si>
    <t>cada línea debe sumar 100%</t>
  </si>
  <si>
    <t>Se suman los %, para mostrar el esfuerzo total que representa determinada actividad sobre el todo. La programación representa el 45% del esfuerzo / costo del proyecto</t>
  </si>
  <si>
    <t>&lt;</t>
  </si>
  <si>
    <t>Total Presupuesto</t>
  </si>
  <si>
    <t>Debe dar 100%</t>
  </si>
  <si>
    <t>NO SE SUMAN LOS TOTALES, POR QUE ES UN CUADRO ESPECÍFICO Y NO TOTAL</t>
  </si>
  <si>
    <t>Quiere decir que en el año 1 debemos tener un avance del 22% del total del proyecto</t>
  </si>
  <si>
    <t>Dividir 50,000 / 222,550, representa que en la semana 1 deberemos tener un avance del 22% de Total del proyecto  así con todos los periodos</t>
  </si>
  <si>
    <t>Este es un avance técnico y no financiero, es decir, aquí no se considera cuándo dinero se ha gastado, sino cuál es la posición sobre la evolución del proyecto tecnicamente hablando</t>
  </si>
  <si>
    <t>CIFRAS REALES</t>
  </si>
  <si>
    <t>PASO 9</t>
  </si>
  <si>
    <t>PASO 8</t>
  </si>
  <si>
    <t>P9</t>
  </si>
  <si>
    <t>Control de Avance (total)</t>
  </si>
  <si>
    <t>P8</t>
  </si>
  <si>
    <t xml:space="preserve">Control de Avance (específico) </t>
  </si>
  <si>
    <t>Una vez que se ha hecho el presupuesto y se está ejecutando, se muy importante darle seguimiento al avance. Existen muchos métodos para el seguimiento de proyectos, pero todo ellos requieren un análisis detallado de avances y costos.  La Técnica de Valor Ganado (Earned Value Management) busca identificar el diferencial del presupuesto financiero y técnico con la realidad.  Para ello es fundamental calcular los costos reales y el avance efectivo del proyecto.  Cuando un proyecto se retraza hay una mayor posiblidad de tener costos más altos, ya sea por esfuerzos extraordinarios para alcanzar los plazos estipulados, por correcciones requeridas o bien por falta de una correcta administración del proyecto.</t>
  </si>
  <si>
    <t>Es el avance que lleva el proyecto en su totalidad</t>
  </si>
  <si>
    <t>Se multiplica el % de avance (Paso 9) x (Paso 6) x lo que representa esta casilla del todo. Es decir, del 7% que vale esta actividad en la pestaña de Presupuesto (PASO 6), llevamos el 100% = 7%</t>
  </si>
  <si>
    <t>Real</t>
  </si>
  <si>
    <t>Quiere decir que se concluyó en semana 1 el paso de análisis</t>
  </si>
  <si>
    <t>El diseño se concluyo en la seman 2, se realizó el 50% en semana 1 y el 50% en semana 2</t>
  </si>
  <si>
    <t>Siempre que un proyecto se termina esto tiene que ser 100%, hay veces que los proyectos dejan temas inconclusos, y esto puede reflejarse en un % diferente a 100% , sólo en estas circunstancias</t>
  </si>
  <si>
    <t>Normalmente se marcan de color (scorecard) para visualmente entender en dónde estamos retrazados (ROJO) y en dónde vamos bien (VERDE) o en dónde hay algun retrazo (AMARILLO), pero aun no es un tema de mucha preocupación. Todo comparando el avance real contra el Plan hecho.</t>
  </si>
  <si>
    <t>Valor ganado  (el costo presupuestado del trabajo realmente ejecutado)</t>
  </si>
  <si>
    <t>PASO 12</t>
  </si>
  <si>
    <t>PASO 11</t>
  </si>
  <si>
    <t>Reflejo de las horas reales utilizadas por los programadores</t>
  </si>
  <si>
    <t>PASO 10</t>
  </si>
  <si>
    <t>P12</t>
  </si>
  <si>
    <t xml:space="preserve">Gasto real Pesos sobre horas trabajadas </t>
  </si>
  <si>
    <t>P11</t>
  </si>
  <si>
    <t>Real de Horas trabajadas (programador Senior)</t>
  </si>
  <si>
    <t>P10</t>
  </si>
  <si>
    <t>Real de Horas trabajadas (programador Junior)</t>
  </si>
  <si>
    <t>Aquí se refleja el costo real de horas realmente trabajadas en el proyecto</t>
  </si>
  <si>
    <t xml:space="preserve">El % se calcula sobre las horas presupuestadas y no sobre el total de reales. </t>
  </si>
  <si>
    <t>Este %, puede ser menor o mayor del 100%, si es menor es que se ha gastado menos, si es mayor que se ha gastado más</t>
  </si>
  <si>
    <t>Este % puede ser mayor o menor, las diferencias reflejan las diferencias de los presupuestos contra las cifras reales</t>
  </si>
  <si>
    <t>Estos % se calculan sobre el total y no sobre los gastos realmente ejecutados. $45,000 / 189,750 (presupuesto total de horas)</t>
  </si>
  <si>
    <t>Este porcentaje se calcula sobre el presupuesto y no sobre las cifras reales. Es la división de 108 / 225 (que es el total de horas senior mostradas en Paso 1). El 48% representa que lo que llevamos en la semana 1 reprenta el 48% del total de horas Senior presupuestadas</t>
  </si>
  <si>
    <t>los cálculos y detalles son iguales que en los programadores senior</t>
  </si>
  <si>
    <t>P13</t>
  </si>
  <si>
    <t>Real gastado en Insumos (costos )</t>
  </si>
  <si>
    <t>PASO 13</t>
  </si>
  <si>
    <t>Esta tabla analiza qué tanto se ha gastado respecto al presupuesto y el avance de cada paso desde la visión de gastos</t>
  </si>
  <si>
    <t>PASO 16</t>
  </si>
  <si>
    <t>107 excedente</t>
  </si>
  <si>
    <t xml:space="preserve">Estos % se calculan sobre el total y no sobre los gastos realmente ejecutados. </t>
  </si>
  <si>
    <t>PASO 15</t>
  </si>
  <si>
    <t>Divide el gasto real / el total de gastos presupuestado, el 11% significa que en la actividad de Análisis de la semana 1 se ha gastado el 11% de presupuesto</t>
  </si>
  <si>
    <t>Esta tabla analiza qué tanto se ha gastado respecto al presupuesto y el avance de cada paso desde la visión de gastos de cada línea</t>
  </si>
  <si>
    <t>P14</t>
  </si>
  <si>
    <t>Gastos Reales</t>
  </si>
  <si>
    <t>P15</t>
  </si>
  <si>
    <t>Avance en % del total (Gastado)</t>
  </si>
  <si>
    <t>P16</t>
  </si>
  <si>
    <t>Avance en % específico (Gastado)</t>
  </si>
  <si>
    <t>Gastos Reales (semana 3)</t>
  </si>
  <si>
    <t>PASO 14</t>
  </si>
  <si>
    <t>Se divide el gasto real / Total Presupuestado de esta línea</t>
  </si>
  <si>
    <t>Estos números pueden ser mayores o menores del 100%, si son menores significa que han gastado menos por línea, si son mayores significa que han gastado más</t>
  </si>
  <si>
    <t xml:space="preserve">Total Gastos Semana </t>
  </si>
  <si>
    <t>Total Gastos Semana 3</t>
  </si>
  <si>
    <t>PASO 17</t>
  </si>
  <si>
    <t>PASO 18</t>
  </si>
  <si>
    <t>PASO 19</t>
  </si>
  <si>
    <t>Diferencial Gastos</t>
  </si>
  <si>
    <t>P18</t>
  </si>
  <si>
    <t>Diferencial en Avance % total</t>
  </si>
  <si>
    <t>P19</t>
  </si>
  <si>
    <t>Diferencial en Avance en % específico</t>
  </si>
  <si>
    <t>Diferencia entre reales (Paso 12) y presupuesto (Paso5)</t>
  </si>
  <si>
    <t>Diferencial en Avance</t>
  </si>
  <si>
    <t>Diferencial de Paso 6 - Paso 13</t>
  </si>
  <si>
    <t>P17</t>
  </si>
  <si>
    <t>Este cuadro se lee por línea y no en los totales. Si están negativos los %, significa que se gastó mas en ese %, si están positivos, significa que se gastó menos en ese %</t>
  </si>
  <si>
    <t>Total Diferencial - Mejor / (Peor)</t>
  </si>
  <si>
    <t>Si el % es positivo significa que hemos gastado menos. SI es negativo que hemos gastado mas</t>
  </si>
  <si>
    <t>Si son positivos es se se gastó menos, si son negativos es que se gastó más</t>
  </si>
  <si>
    <t>PASO 20</t>
  </si>
  <si>
    <t>PASO 21</t>
  </si>
  <si>
    <t xml:space="preserve">Se hacen cálculos acumulados. </t>
  </si>
  <si>
    <t>ANÁLISIS SUMARIO</t>
  </si>
  <si>
    <t>CIFRAS ACUMULADAS</t>
  </si>
  <si>
    <t>Se hace un sumario con el resumen de los cálculos realizados</t>
  </si>
  <si>
    <t>P20</t>
  </si>
  <si>
    <t>P21</t>
  </si>
  <si>
    <t>a Sem 2</t>
  </si>
  <si>
    <t>a Sem 3</t>
  </si>
  <si>
    <t>a Sem 4</t>
  </si>
  <si>
    <t>a Sem 5</t>
  </si>
  <si>
    <t>Sem 1+2</t>
  </si>
  <si>
    <t>Sem 1+2+3</t>
  </si>
  <si>
    <t>Sem 1+2+3+4</t>
  </si>
  <si>
    <t>Sem 1+2+3+4+5</t>
  </si>
  <si>
    <t>Presupuesto</t>
  </si>
  <si>
    <t>Horas invertidas Totales</t>
  </si>
  <si>
    <t>Horas Senior</t>
  </si>
  <si>
    <t>% de Avance Esperado</t>
  </si>
  <si>
    <t>% de Gasto Planeado</t>
  </si>
  <si>
    <t>GASTOS REALES</t>
  </si>
  <si>
    <t>Gasto Real</t>
  </si>
  <si>
    <t xml:space="preserve">   Mejor / (Peor)</t>
  </si>
  <si>
    <t>Horas Invertidas Reales</t>
  </si>
  <si>
    <t>% de Avance Realizado</t>
  </si>
  <si>
    <t>Diferencial entre el % de Avance Según presupuesto y el % de avance realizado (real)</t>
  </si>
  <si>
    <t>Impacto financiero del retrazo si es negativo o el valor obtenido si es positivo por los tiempos en la solución técnica</t>
  </si>
  <si>
    <t>% de Gasto Realizado</t>
  </si>
  <si>
    <t xml:space="preserve"> * /Excedente</t>
  </si>
  <si>
    <t>Diferencial entre el % de Gasto presupuesto y el % de gasto realizado (real)</t>
  </si>
  <si>
    <t>*/Excedente en pesos</t>
  </si>
  <si>
    <t>Impacto financiero del retrazo si es negativo o el valor obtenido si es positivo por gastos adicionales, pueden ser generados por el mismo retrazo o bien por otros factores</t>
  </si>
  <si>
    <t xml:space="preserve">Diferencial  </t>
  </si>
  <si>
    <t>Excedente Vs Presupuesto en %</t>
  </si>
  <si>
    <t>Diferencial excedente de presupuesto en %</t>
  </si>
  <si>
    <t>Suma de diferencial de avance + Gasto. -11% significa que gastamos 11% más de lo presupuestado</t>
  </si>
  <si>
    <t>Excedente Vs Presupuesto en pesos</t>
  </si>
  <si>
    <t>Excedente Vs Presupuesto</t>
  </si>
  <si>
    <t>que represnta un gasto adicional de 23,900 pesos</t>
  </si>
  <si>
    <t>Análisis del Proyecto</t>
  </si>
  <si>
    <t>Cifras acumuladas sirven para el análisis en cada semana y saber cómo vamos</t>
  </si>
  <si>
    <t>P22</t>
  </si>
  <si>
    <t xml:space="preserve">La ejecución del proyecto en cuanto al dinero propuesto por el presupuesto vimos que fue excedido en un 7% al finalizar el proyecto lo que significó realizar un gasto extra de cerca de diecinueve mil pesos MXN, ocasionado por la falta de avance que se presentó en la semana uno el cual fue un indicador que en un inicio no se estaba llevando a cabo una buena ejecución y gestión del proyecto como se tenía planeado, pero gracias a que nos percatamos a buen tiempo de lo que estaba sucediendo se tomaron acciones para corregir esos aspectos, logramos recuperarnos en cuanto al avance planteado en las semanas respectivas y poco a poco fuimos realizando un extra para compensar lo sucedido en la semana uno pero esto de igual manera significó ese gasto extra del siete por ciento que vemos al finalizar el proyecto.
En conclusión la ejecución inicial del proyecto empezó con unos traspiés en la primera semana pero se logró corregir y finalizar todo el proyecto en tiempo gracias a los cambios realizados en la gestión y ejecución del mismo.
</t>
  </si>
  <si>
    <t>Paso 22</t>
  </si>
  <si>
    <t>PROYECTO 1</t>
  </si>
  <si>
    <t xml:space="preserve">Los ingresos del año 1 seran de $140,000, creciendo un 10% anual y tus costos anuales serán de un </t>
  </si>
  <si>
    <t>Flujo Neto</t>
  </si>
  <si>
    <t>NPV</t>
  </si>
  <si>
    <t>Ingresos</t>
  </si>
  <si>
    <t>Costos</t>
  </si>
  <si>
    <t>TIR</t>
  </si>
  <si>
    <t>Costos VP</t>
  </si>
  <si>
    <t>Payback</t>
  </si>
  <si>
    <t>PAYBACK</t>
  </si>
  <si>
    <t xml:space="preserve">costo real </t>
  </si>
  <si>
    <t>ebs</t>
  </si>
  <si>
    <t>Tasa Descuento</t>
  </si>
  <si>
    <t>ROI</t>
  </si>
  <si>
    <t>ROI NPV</t>
  </si>
  <si>
    <t>REAL</t>
  </si>
  <si>
    <t>ANÁLISIS</t>
  </si>
  <si>
    <t>TRABAJO FINAL</t>
  </si>
  <si>
    <t>Realizarás un análisis de tu proyecto "start-up" considerando los siguientes puntos:</t>
  </si>
  <si>
    <t xml:space="preserve">TRABAJO  </t>
  </si>
  <si>
    <t xml:space="preserve">PRESENTACIÓN  </t>
  </si>
  <si>
    <t>DESCRIPCIÓN DE ACTIVIDAD</t>
  </si>
  <si>
    <t>ESCRITO</t>
  </si>
  <si>
    <t>FINAL</t>
  </si>
  <si>
    <t>Presentación de "start-up"</t>
  </si>
  <si>
    <t>1 cuartilla</t>
  </si>
  <si>
    <t>Incluirlo de manera ejecutiva (1 o 2 diapositivas)</t>
  </si>
  <si>
    <t>Realiza una página con la presentación de tu start-up. ¿Cuál es su giro?, ¿Cuál es su oferta de valor?, ¿Quiénes son tus competidores?, ¿Cuáles son tus diferenciales respecto a los competidores?, ¿Por qué es relevante tu proyecto?</t>
  </si>
  <si>
    <r>
      <rPr>
        <b/>
        <sz val="14"/>
        <color rgb="FF202122"/>
        <rFont val="Arial"/>
      </rPr>
      <t xml:space="preserve">Presupuesto: realiza el presupuesto de costos que se requerirán para desarollar tu proyecto </t>
    </r>
    <r>
      <rPr>
        <b/>
        <sz val="14"/>
        <color rgb="FF7F7F7F"/>
        <rFont val="Arial"/>
      </rPr>
      <t>(</t>
    </r>
    <r>
      <rPr>
        <b/>
        <i/>
        <sz val="14"/>
        <color rgb="FF7F7F7F"/>
        <rFont val="Arial"/>
      </rPr>
      <t>utiliza el Formato 1</t>
    </r>
    <r>
      <rPr>
        <b/>
        <sz val="14"/>
        <color rgb="FF7F7F7F"/>
        <rFont val="Arial"/>
      </rPr>
      <t>)</t>
    </r>
  </si>
  <si>
    <t xml:space="preserve">Incluir sólo el sumario </t>
  </si>
  <si>
    <t xml:space="preserve"> - Realiza el presupuesto de tu proyecto. Utiliza el método de Descomposición, abriendo en un renglon cada uno de  los rubros requeridos para realizar tu proyecto. Estima los costos requeridos, buscando fuentes razonables. No se calificará la exactitud de estas estimaciones. Puedes utilizar los valores por hora de programadores proporcionado en este caso. Si quieres utilizar otros costos está bien, siempre y cuando los especifiques.</t>
  </si>
  <si>
    <t>Detalles</t>
  </si>
  <si>
    <t xml:space="preserve"> - Anota las consideraciones que tomaste para hacer tu presupuesto, no necesitas validar cifras exactas de costos o insumos, pero tienen que ser razonables</t>
  </si>
  <si>
    <t xml:space="preserve"> - Esta actividad es parte de la tarea, por lo que asegurate de reenviar este archivo, tal cual está con el Formato 1 lleno, asegura también de indicar en los cuadros siguientes todas las actividades que definiste en el método de Descomposición</t>
  </si>
  <si>
    <t xml:space="preserve"> - Calcula el avance del % especifico y un Avance del % total de tu presupuesto</t>
  </si>
  <si>
    <r>
      <rPr>
        <b/>
        <sz val="14"/>
        <color rgb="FF202122"/>
        <rFont val="Arial"/>
      </rPr>
      <t xml:space="preserve">Análisis de reales </t>
    </r>
    <r>
      <rPr>
        <b/>
        <sz val="14"/>
        <color rgb="FF7F7F7F"/>
        <rFont val="Arial"/>
      </rPr>
      <t>(</t>
    </r>
    <r>
      <rPr>
        <b/>
        <i/>
        <sz val="14"/>
        <color rgb="FF7F7F7F"/>
        <rFont val="Arial"/>
      </rPr>
      <t>Formato 2</t>
    </r>
    <r>
      <rPr>
        <b/>
        <sz val="14"/>
        <color rgb="FF7F7F7F"/>
        <rFont val="Arial"/>
      </rPr>
      <t>)</t>
    </r>
    <r>
      <rPr>
        <b/>
        <sz val="14"/>
        <color rgb="FF202122"/>
        <rFont val="Arial"/>
      </rPr>
      <t xml:space="preserve">. En función de la tarea entregada en el punto 2, el profesor te asignará los datos para </t>
    </r>
  </si>
  <si>
    <t>Incluir sólo el sumario</t>
  </si>
  <si>
    <t>realizar este análisis</t>
  </si>
  <si>
    <t xml:space="preserve"> - Utiliza los datos proporcionados en los cuadros: Control de Avance (total), Control de avance (específico) y los % de Gastos para calcular y realizar el análisis de las cifras reales.</t>
  </si>
  <si>
    <t xml:space="preserve"> - Calcula los gastos reales, el avance del % específico real y el avance del % total real</t>
  </si>
  <si>
    <t>Analiza los datos de tu proyecto y concluye cómo fue la ejecución del mismo. Documentalo</t>
  </si>
  <si>
    <t>1/2 cuartilla</t>
  </si>
  <si>
    <t>(no puede ser menos de 1/2 cuartilla)</t>
  </si>
  <si>
    <t>Proyección de los flujos de efectivo y análisis del proyecto</t>
  </si>
  <si>
    <t>Incluir un sumario del análisis</t>
  </si>
  <si>
    <t xml:space="preserve"> - Con los datos del formato 3 proyecta y. los datos que te proporcionará el profesor proyecta los ingresos y costos en los próximos 5 años. </t>
  </si>
  <si>
    <t xml:space="preserve"> - Recuerda que la inversión analizada en el punto 3 deberá considerarse el año 0</t>
  </si>
  <si>
    <t xml:space="preserve"> - Calcula el ROI, IRR, Payback, NPV, Payback con NPV </t>
  </si>
  <si>
    <t>Conclusiones</t>
  </si>
  <si>
    <t>3/4 a 1 cuartilla</t>
  </si>
  <si>
    <t>Incluir para finalizar presentación</t>
  </si>
  <si>
    <t xml:space="preserve"> - Presenta tus conclusiones sobre el proyecto, desde su construcción, hasta su ejecución. Se lo más específico posible, utilizando un leguaje financiero y mencionando a detalle los elementos financieros que consideras relevantes. Utiliza gráficos, cuadros, ejemplos. De preferencia haz una relación del negocio con las cifras financieras. Ejemplo: ".... el proyecto se demoró por situaciones del COVID, lo cual generó un impacto financiero, sin embargo con el crecimiento del PIB en 2021 y la reapertura comercial se espera un crecmiento en 2021 de los ingresos, y una amplia recuperación apartir del 2022... "</t>
  </si>
  <si>
    <t>Mínimo 3/4 de cuartilla a doble espacio, font 11 o 12</t>
  </si>
  <si>
    <t>Estimación de Costos</t>
  </si>
  <si>
    <t xml:space="preserve">
Carranza Escobar Luis Enrique 
</t>
  </si>
  <si>
    <t>Documentación</t>
  </si>
  <si>
    <t>Revisión proyecto</t>
  </si>
  <si>
    <t>Transportes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</si>
</sst>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_-;\-* #,##0_-;_-* &quot;-&quot;??_-;_-@"/>
    <numFmt numFmtId="165" formatCode="0%;[Red]\-0%"/>
    <numFmt numFmtId="166" formatCode="#,##0_ ;[Red]\-#,##0\ "/>
    <numFmt numFmtId="167" formatCode="#,##0.00\ [$$-1]"/>
    <numFmt numFmtId="168" formatCode="0.0%"/>
    <numFmt numFmtId="169" formatCode="#,##0\ [$$-1]"/>
    <numFmt numFmtId="170" formatCode="_(* #,##0_);_(* \(#,##0\);_(* &quot;-&quot;??_);_(@_)"/>
  </numFmts>
  <fonts count="67">
    <font>
      <sz val="12"/>
      <color theme="1"/>
      <name val="Arial"/>
    </font>
    <font>
      <b/>
      <sz val="20"/>
      <color theme="1"/>
      <name val="Arial"/>
    </font>
    <font>
      <b/>
      <sz val="10"/>
      <color theme="1"/>
      <name val="Calibri"/>
    </font>
    <font>
      <sz val="12"/>
      <color theme="1"/>
      <name val="Calibri"/>
    </font>
    <font>
      <b/>
      <sz val="12"/>
      <color theme="1"/>
      <name val="Calibri"/>
    </font>
    <font>
      <b/>
      <sz val="18"/>
      <color theme="1"/>
      <name val="Arial"/>
    </font>
    <font>
      <b/>
      <sz val="20"/>
      <color theme="1"/>
      <name val="Calibri"/>
    </font>
    <font>
      <b/>
      <sz val="18"/>
      <color theme="1"/>
      <name val="Calibri"/>
    </font>
    <font>
      <b/>
      <sz val="18"/>
      <color rgb="FF7030A0"/>
      <name val="Calibri"/>
    </font>
    <font>
      <sz val="12"/>
      <name val="Arial"/>
    </font>
    <font>
      <b/>
      <sz val="18"/>
      <color theme="4"/>
      <name val="Calibri"/>
    </font>
    <font>
      <sz val="11"/>
      <color rgb="FF7030A0"/>
      <name val="Calibri"/>
    </font>
    <font>
      <b/>
      <sz val="12"/>
      <color rgb="FFC00000"/>
      <name val="Calibri"/>
    </font>
    <font>
      <sz val="12"/>
      <color rgb="FF7030A0"/>
      <name val="Calibri"/>
    </font>
    <font>
      <b/>
      <sz val="14"/>
      <color rgb="FF202122"/>
      <name val="Arial"/>
    </font>
    <font>
      <b/>
      <sz val="14"/>
      <color theme="0"/>
      <name val="Arial"/>
    </font>
    <font>
      <sz val="12"/>
      <color theme="0"/>
      <name val="Calibri"/>
    </font>
    <font>
      <sz val="14"/>
      <color rgb="FF202122"/>
      <name val="Arial"/>
    </font>
    <font>
      <sz val="11"/>
      <color rgb="FF202122"/>
      <name val="Arial"/>
    </font>
    <font>
      <sz val="12"/>
      <color rgb="FF202122"/>
      <name val="Arial"/>
    </font>
    <font>
      <i/>
      <sz val="12"/>
      <color rgb="FF2F5496"/>
      <name val="Arial"/>
    </font>
    <font>
      <b/>
      <sz val="10"/>
      <color theme="1"/>
      <name val="Arial"/>
    </font>
    <font>
      <sz val="12"/>
      <color theme="0"/>
      <name val="Arial"/>
    </font>
    <font>
      <sz val="9"/>
      <color rgb="FF7030A0"/>
      <name val="Arial"/>
    </font>
    <font>
      <i/>
      <sz val="12"/>
      <color theme="0"/>
      <name val="Arial"/>
    </font>
    <font>
      <b/>
      <sz val="12"/>
      <color rgb="FF202122"/>
      <name val="Arial"/>
    </font>
    <font>
      <i/>
      <sz val="12"/>
      <color rgb="FF2F5496"/>
      <name val="Calibri"/>
    </font>
    <font>
      <b/>
      <sz val="12"/>
      <color theme="0"/>
      <name val="Arial"/>
    </font>
    <font>
      <b/>
      <i/>
      <sz val="12"/>
      <color theme="0"/>
      <name val="Calibri"/>
    </font>
    <font>
      <sz val="12"/>
      <color rgb="FF7030A0"/>
      <name val="Arial"/>
    </font>
    <font>
      <i/>
      <sz val="12"/>
      <color theme="0"/>
      <name val="Calibri"/>
    </font>
    <font>
      <b/>
      <sz val="12"/>
      <color theme="1"/>
      <name val="Arial"/>
    </font>
    <font>
      <b/>
      <i/>
      <sz val="12"/>
      <color rgb="FF2F5496"/>
      <name val="Calibri"/>
    </font>
    <font>
      <b/>
      <i/>
      <sz val="12"/>
      <color theme="0"/>
      <name val="Arial"/>
    </font>
    <font>
      <b/>
      <u/>
      <sz val="16"/>
      <color theme="0"/>
      <name val="Arial"/>
    </font>
    <font>
      <b/>
      <sz val="10"/>
      <color rgb="FF202122"/>
      <name val="Arial"/>
    </font>
    <font>
      <sz val="10"/>
      <color rgb="FF7030A0"/>
      <name val="Calibri"/>
    </font>
    <font>
      <sz val="12"/>
      <color theme="1"/>
      <name val="Calibri"/>
    </font>
    <font>
      <b/>
      <sz val="12"/>
      <color theme="0"/>
      <name val="Calibri"/>
    </font>
    <font>
      <b/>
      <sz val="12"/>
      <color rgb="FF7030A0"/>
      <name val="Calibri"/>
    </font>
    <font>
      <sz val="7"/>
      <color rgb="FF7030A0"/>
      <name val="Arial"/>
    </font>
    <font>
      <sz val="9"/>
      <color rgb="FF7030A0"/>
      <name val="Calibri"/>
    </font>
    <font>
      <sz val="13"/>
      <color rgb="FF0B0080"/>
      <name val="Arial"/>
    </font>
    <font>
      <b/>
      <sz val="13"/>
      <color rgb="FFC00000"/>
      <name val="Arial"/>
    </font>
    <font>
      <i/>
      <sz val="11"/>
      <color rgb="FF7030A0"/>
      <name val="Arial"/>
    </font>
    <font>
      <sz val="10"/>
      <color rgb="FF7030A0"/>
      <name val="Arial"/>
    </font>
    <font>
      <b/>
      <sz val="11"/>
      <color rgb="FFC00000"/>
      <name val="Calibri"/>
    </font>
    <font>
      <b/>
      <sz val="18"/>
      <color rgb="FF4472C4"/>
      <name val="Calibri"/>
    </font>
    <font>
      <b/>
      <sz val="18"/>
      <color theme="0"/>
      <name val="Calibri"/>
    </font>
    <font>
      <b/>
      <sz val="14"/>
      <color theme="1"/>
      <name val="Calibri"/>
    </font>
    <font>
      <b/>
      <u/>
      <sz val="14"/>
      <color theme="4"/>
      <name val="Calibri"/>
    </font>
    <font>
      <b/>
      <u/>
      <sz val="14"/>
      <color rgb="FF4472C4"/>
      <name val="Calibri"/>
    </font>
    <font>
      <i/>
      <sz val="12"/>
      <color theme="1"/>
      <name val="Calibri"/>
    </font>
    <font>
      <sz val="12"/>
      <color rgb="FF000000"/>
      <name val="Calibri"/>
    </font>
    <font>
      <b/>
      <sz val="16"/>
      <color theme="4"/>
      <name val="Calibri"/>
    </font>
    <font>
      <b/>
      <sz val="16"/>
      <color theme="0"/>
      <name val="Calibri"/>
    </font>
    <font>
      <sz val="12"/>
      <color rgb="FFFFFFFF"/>
      <name val="Calibri"/>
    </font>
    <font>
      <sz val="12"/>
      <color theme="1"/>
      <name val="Arial"/>
    </font>
    <font>
      <sz val="10"/>
      <color theme="1"/>
      <name val="Calibri"/>
    </font>
    <font>
      <b/>
      <sz val="10"/>
      <color theme="0"/>
      <name val="Calibri"/>
    </font>
    <font>
      <b/>
      <sz val="16"/>
      <color theme="1"/>
      <name val="Calibri"/>
    </font>
    <font>
      <i/>
      <sz val="10"/>
      <color theme="1"/>
      <name val="Calibri"/>
    </font>
    <font>
      <i/>
      <sz val="11"/>
      <color theme="1"/>
      <name val="Calibri"/>
    </font>
    <font>
      <b/>
      <sz val="11"/>
      <color rgb="FF7030A0"/>
      <name val="Calibri (Cuerpo)"/>
    </font>
    <font>
      <sz val="11"/>
      <color rgb="FF7030A0"/>
      <name val="Calibri (Cuerpo)"/>
    </font>
    <font>
      <b/>
      <sz val="14"/>
      <color rgb="FF7F7F7F"/>
      <name val="Arial"/>
    </font>
    <font>
      <b/>
      <i/>
      <sz val="14"/>
      <color rgb="FF7F7F7F"/>
      <name val="Arial"/>
    </font>
  </fonts>
  <fills count="10">
    <fill>
      <patternFill patternType="none"/>
    </fill>
    <fill>
      <patternFill patternType="gray125"/>
    </fill>
    <fill>
      <patternFill patternType="solid">
        <fgColor rgb="FF7030A0"/>
        <bgColor rgb="FF7030A0"/>
      </patternFill>
    </fill>
    <fill>
      <patternFill patternType="solid">
        <fgColor rgb="FFD8D8D8"/>
        <bgColor rgb="FFD8D8D8"/>
      </patternFill>
    </fill>
    <fill>
      <patternFill patternType="solid">
        <fgColor rgb="FF92D050"/>
        <bgColor rgb="FF92D050"/>
      </patternFill>
    </fill>
    <fill>
      <patternFill patternType="solid">
        <fgColor rgb="FFFEF2CB"/>
        <bgColor rgb="FFFEF2CB"/>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s>
  <borders count="60">
    <border>
      <left/>
      <right/>
      <top/>
      <bottom/>
      <diagonal/>
    </border>
    <border>
      <left/>
      <right/>
      <top/>
      <bottom style="thick">
        <color theme="4"/>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rgb="FF7030A0"/>
      </left>
      <right/>
      <top style="thick">
        <color rgb="FF7030A0"/>
      </top>
      <bottom/>
      <diagonal/>
    </border>
    <border>
      <left/>
      <right/>
      <top style="thick">
        <color rgb="FF7030A0"/>
      </top>
      <bottom/>
      <diagonal/>
    </border>
    <border>
      <left/>
      <right style="thick">
        <color rgb="FF7030A0"/>
      </right>
      <top style="thick">
        <color rgb="FF7030A0"/>
      </top>
      <bottom/>
      <diagonal/>
    </border>
    <border>
      <left style="thick">
        <color theme="4"/>
      </left>
      <right/>
      <top/>
      <bottom/>
      <diagonal/>
    </border>
    <border>
      <left/>
      <right style="thick">
        <color theme="4"/>
      </right>
      <top/>
      <bottom/>
      <diagonal/>
    </border>
    <border>
      <left style="thick">
        <color rgb="FF7030A0"/>
      </left>
      <right/>
      <top/>
      <bottom/>
      <diagonal/>
    </border>
    <border>
      <left/>
      <right style="thick">
        <color rgb="FF7030A0"/>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ck">
        <color theme="4"/>
      </left>
      <right/>
      <top/>
      <bottom style="thick">
        <color theme="4"/>
      </bottom>
      <diagonal/>
    </border>
    <border>
      <left/>
      <right style="thick">
        <color theme="4"/>
      </right>
      <top/>
      <bottom style="thick">
        <color theme="4"/>
      </bottom>
      <diagonal/>
    </border>
    <border>
      <left style="thick">
        <color rgb="FF7030A0"/>
      </left>
      <right/>
      <top/>
      <bottom style="thick">
        <color rgb="FF7030A0"/>
      </bottom>
      <diagonal/>
    </border>
    <border>
      <left/>
      <right/>
      <top/>
      <bottom style="thick">
        <color rgb="FF7030A0"/>
      </bottom>
      <diagonal/>
    </border>
    <border>
      <left/>
      <right style="thick">
        <color rgb="FF7030A0"/>
      </right>
      <top/>
      <bottom style="thick">
        <color rgb="FF7030A0"/>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top style="thin">
        <color rgb="FF000000"/>
      </top>
      <bottom style="double">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306">
    <xf numFmtId="0" fontId="0" fillId="0" borderId="0" xfId="0" applyFont="1" applyAlignment="1"/>
    <xf numFmtId="0" fontId="0" fillId="0" borderId="0" xfId="0" applyFont="1"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5" fillId="0" borderId="0" xfId="0" applyFont="1" applyAlignment="1">
      <alignment vertical="center"/>
    </xf>
    <xf numFmtId="0" fontId="3" fillId="0" borderId="0" xfId="0" applyFont="1"/>
    <xf numFmtId="0" fontId="6" fillId="0" borderId="0" xfId="0" applyFont="1"/>
    <xf numFmtId="0" fontId="7" fillId="0" borderId="0" xfId="0" applyFont="1"/>
    <xf numFmtId="0" fontId="2" fillId="0" borderId="0" xfId="0" applyFont="1"/>
    <xf numFmtId="0" fontId="8" fillId="0" borderId="0" xfId="0" applyFont="1"/>
    <xf numFmtId="0" fontId="3" fillId="0" borderId="2" xfId="0" applyFont="1" applyBorder="1"/>
    <xf numFmtId="0" fontId="10" fillId="0" borderId="3"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11" fillId="0" borderId="0" xfId="0" applyFont="1"/>
    <xf numFmtId="0" fontId="12" fillId="0" borderId="0" xfId="0" applyFont="1"/>
    <xf numFmtId="0" fontId="13" fillId="0" borderId="0" xfId="0" applyFont="1" applyAlignment="1">
      <alignment wrapText="1"/>
    </xf>
    <xf numFmtId="0" fontId="3" fillId="0" borderId="11" xfId="0" applyFont="1" applyBorder="1"/>
    <xf numFmtId="0" fontId="14" fillId="0" borderId="0" xfId="0" applyFont="1"/>
    <xf numFmtId="0" fontId="12" fillId="0" borderId="10" xfId="0" applyFont="1" applyBorder="1"/>
    <xf numFmtId="0" fontId="15" fillId="2" borderId="12" xfId="0" applyFont="1" applyFill="1" applyBorder="1"/>
    <xf numFmtId="0" fontId="16" fillId="2" borderId="12" xfId="0" applyFont="1" applyFill="1" applyBorder="1"/>
    <xf numFmtId="0" fontId="17" fillId="0" borderId="0" xfId="0" applyFont="1"/>
    <xf numFmtId="0" fontId="14" fillId="0" borderId="0" xfId="0" applyFont="1" applyAlignment="1">
      <alignment horizontal="center"/>
    </xf>
    <xf numFmtId="0" fontId="18" fillId="0" borderId="0" xfId="0" applyFont="1" applyAlignment="1">
      <alignment horizontal="left"/>
    </xf>
    <xf numFmtId="3" fontId="19" fillId="0" borderId="13" xfId="0" applyNumberFormat="1" applyFont="1" applyBorder="1"/>
    <xf numFmtId="9" fontId="20" fillId="0" borderId="0" xfId="0" applyNumberFormat="1" applyFont="1"/>
    <xf numFmtId="0" fontId="21" fillId="0" borderId="0" xfId="0" applyFont="1"/>
    <xf numFmtId="0" fontId="17" fillId="0" borderId="0" xfId="0" applyFont="1" applyAlignment="1">
      <alignment horizontal="left"/>
    </xf>
    <xf numFmtId="3" fontId="22" fillId="2" borderId="13" xfId="0" applyNumberFormat="1" applyFont="1" applyFill="1" applyBorder="1"/>
    <xf numFmtId="3" fontId="22" fillId="2" borderId="17" xfId="0" applyNumberFormat="1" applyFont="1" applyFill="1" applyBorder="1"/>
    <xf numFmtId="9" fontId="24" fillId="2" borderId="12" xfId="0" applyNumberFormat="1" applyFont="1" applyFill="1" applyBorder="1"/>
    <xf numFmtId="3" fontId="19" fillId="0" borderId="0" xfId="0" applyNumberFormat="1" applyFont="1" applyAlignment="1">
      <alignment horizontal="left"/>
    </xf>
    <xf numFmtId="3" fontId="19" fillId="0" borderId="21" xfId="0" applyNumberFormat="1" applyFont="1" applyBorder="1"/>
    <xf numFmtId="0" fontId="0" fillId="0" borderId="0" xfId="0" applyFont="1"/>
    <xf numFmtId="3" fontId="19" fillId="0" borderId="22" xfId="0" applyNumberFormat="1" applyFont="1" applyBorder="1"/>
    <xf numFmtId="3" fontId="19" fillId="0" borderId="23" xfId="0" applyNumberFormat="1" applyFont="1" applyBorder="1"/>
    <xf numFmtId="3" fontId="19" fillId="0" borderId="24" xfId="0" applyNumberFormat="1" applyFont="1" applyBorder="1"/>
    <xf numFmtId="3" fontId="19" fillId="0" borderId="25" xfId="0" applyNumberFormat="1" applyFont="1" applyBorder="1"/>
    <xf numFmtId="3" fontId="25" fillId="0" borderId="26" xfId="0" applyNumberFormat="1" applyFont="1" applyBorder="1"/>
    <xf numFmtId="3" fontId="25" fillId="0" borderId="27" xfId="0" applyNumberFormat="1" applyFont="1" applyBorder="1"/>
    <xf numFmtId="3" fontId="25" fillId="0" borderId="28" xfId="0" applyNumberFormat="1" applyFont="1" applyBorder="1"/>
    <xf numFmtId="3" fontId="3" fillId="0" borderId="0" xfId="0" applyNumberFormat="1" applyFont="1"/>
    <xf numFmtId="3" fontId="25" fillId="0" borderId="0" xfId="0" applyNumberFormat="1" applyFont="1"/>
    <xf numFmtId="9" fontId="26" fillId="0" borderId="0" xfId="0" applyNumberFormat="1" applyFont="1"/>
    <xf numFmtId="3" fontId="27" fillId="2" borderId="26" xfId="0" applyNumberFormat="1" applyFont="1" applyFill="1" applyBorder="1"/>
    <xf numFmtId="9" fontId="28" fillId="2" borderId="12" xfId="0" applyNumberFormat="1" applyFont="1" applyFill="1" applyBorder="1"/>
    <xf numFmtId="0" fontId="29" fillId="0" borderId="0" xfId="0" applyFont="1" applyAlignment="1">
      <alignment horizontal="left"/>
    </xf>
    <xf numFmtId="9" fontId="30" fillId="2" borderId="12" xfId="0" applyNumberFormat="1" applyFont="1" applyFill="1" applyBorder="1"/>
    <xf numFmtId="3" fontId="11" fillId="0" borderId="0" xfId="0" applyNumberFormat="1" applyFont="1"/>
    <xf numFmtId="0" fontId="31" fillId="0" borderId="0" xfId="0" applyFont="1" applyAlignment="1">
      <alignment horizontal="center"/>
    </xf>
    <xf numFmtId="0" fontId="4" fillId="0" borderId="0" xfId="0" applyFont="1" applyAlignment="1">
      <alignment horizontal="center"/>
    </xf>
    <xf numFmtId="0" fontId="19" fillId="0" borderId="0" xfId="0" applyFont="1" applyAlignment="1">
      <alignment horizontal="left"/>
    </xf>
    <xf numFmtId="3" fontId="0" fillId="0" borderId="0" xfId="0" applyNumberFormat="1" applyFont="1"/>
    <xf numFmtId="0" fontId="0" fillId="0" borderId="0" xfId="0" applyFont="1" applyAlignment="1">
      <alignment horizontal="left"/>
    </xf>
    <xf numFmtId="1" fontId="0" fillId="0" borderId="0" xfId="0" applyNumberFormat="1" applyFont="1"/>
    <xf numFmtId="164" fontId="0" fillId="0" borderId="0" xfId="0" applyNumberFormat="1" applyFont="1"/>
    <xf numFmtId="0" fontId="3" fillId="0" borderId="0" xfId="0" applyFont="1" applyAlignment="1">
      <alignment horizontal="left"/>
    </xf>
    <xf numFmtId="1" fontId="3" fillId="0" borderId="0" xfId="0" applyNumberFormat="1" applyFont="1"/>
    <xf numFmtId="164" fontId="3" fillId="0" borderId="0" xfId="0" applyNumberFormat="1" applyFont="1"/>
    <xf numFmtId="9" fontId="32" fillId="0" borderId="0" xfId="0" applyNumberFormat="1" applyFont="1"/>
    <xf numFmtId="9" fontId="33" fillId="2" borderId="12" xfId="0" applyNumberFormat="1" applyFont="1" applyFill="1" applyBorder="1"/>
    <xf numFmtId="0" fontId="34" fillId="2" borderId="12" xfId="0" applyFont="1" applyFill="1" applyBorder="1"/>
    <xf numFmtId="0" fontId="35" fillId="0" borderId="0" xfId="0" applyFont="1"/>
    <xf numFmtId="3" fontId="19" fillId="0" borderId="0" xfId="0" applyNumberFormat="1" applyFont="1"/>
    <xf numFmtId="9" fontId="19" fillId="0" borderId="13" xfId="0" applyNumberFormat="1" applyFont="1" applyBorder="1"/>
    <xf numFmtId="9" fontId="3" fillId="0" borderId="0" xfId="0" applyNumberFormat="1" applyFont="1"/>
    <xf numFmtId="9" fontId="19" fillId="0" borderId="29" xfId="0" applyNumberFormat="1" applyFont="1" applyBorder="1"/>
    <xf numFmtId="9" fontId="19" fillId="0" borderId="30" xfId="0" applyNumberFormat="1" applyFont="1" applyBorder="1"/>
    <xf numFmtId="9" fontId="19" fillId="0" borderId="31" xfId="0" applyNumberFormat="1" applyFont="1" applyBorder="1"/>
    <xf numFmtId="9" fontId="19" fillId="0" borderId="32" xfId="0" applyNumberFormat="1" applyFont="1" applyBorder="1"/>
    <xf numFmtId="9" fontId="22" fillId="2" borderId="13" xfId="0" applyNumberFormat="1" applyFont="1" applyFill="1" applyBorder="1"/>
    <xf numFmtId="9" fontId="22" fillId="2" borderId="29" xfId="0" applyNumberFormat="1" applyFont="1" applyFill="1" applyBorder="1"/>
    <xf numFmtId="9" fontId="22" fillId="2" borderId="12" xfId="0" applyNumberFormat="1" applyFont="1" applyFill="1" applyBorder="1"/>
    <xf numFmtId="9" fontId="19" fillId="0" borderId="36" xfId="0" applyNumberFormat="1" applyFont="1" applyBorder="1"/>
    <xf numFmtId="9" fontId="19" fillId="0" borderId="37" xfId="0" applyNumberFormat="1" applyFont="1" applyBorder="1"/>
    <xf numFmtId="9" fontId="19" fillId="0" borderId="38" xfId="0" applyNumberFormat="1" applyFont="1" applyBorder="1"/>
    <xf numFmtId="9" fontId="19" fillId="0" borderId="0" xfId="0" applyNumberFormat="1" applyFont="1"/>
    <xf numFmtId="0" fontId="37" fillId="0" borderId="0" xfId="0" applyFont="1" applyAlignment="1"/>
    <xf numFmtId="9" fontId="19" fillId="0" borderId="22" xfId="0" applyNumberFormat="1" applyFont="1" applyBorder="1"/>
    <xf numFmtId="9" fontId="19" fillId="0" borderId="40" xfId="0" applyNumberFormat="1" applyFont="1" applyBorder="1"/>
    <xf numFmtId="9" fontId="19" fillId="0" borderId="41" xfId="0" applyNumberFormat="1" applyFont="1" applyBorder="1"/>
    <xf numFmtId="9" fontId="19" fillId="0" borderId="42" xfId="0" applyNumberFormat="1" applyFont="1" applyBorder="1"/>
    <xf numFmtId="9" fontId="19" fillId="0" borderId="23" xfId="0" applyNumberFormat="1" applyFont="1" applyBorder="1"/>
    <xf numFmtId="9" fontId="19" fillId="0" borderId="24" xfId="0" applyNumberFormat="1" applyFont="1" applyBorder="1"/>
    <xf numFmtId="9" fontId="19" fillId="0" borderId="25" xfId="0" applyNumberFormat="1" applyFont="1" applyBorder="1"/>
    <xf numFmtId="9" fontId="19" fillId="0" borderId="43" xfId="0" applyNumberFormat="1" applyFont="1" applyBorder="1"/>
    <xf numFmtId="3" fontId="25" fillId="3" borderId="26" xfId="0" applyNumberFormat="1" applyFont="1" applyFill="1" applyBorder="1"/>
    <xf numFmtId="3" fontId="25" fillId="3" borderId="27" xfId="0" applyNumberFormat="1" applyFont="1" applyFill="1" applyBorder="1"/>
    <xf numFmtId="3" fontId="25" fillId="3" borderId="28" xfId="0" applyNumberFormat="1" applyFont="1" applyFill="1" applyBorder="1"/>
    <xf numFmtId="9" fontId="4" fillId="0" borderId="26" xfId="0" applyNumberFormat="1" applyFont="1" applyBorder="1"/>
    <xf numFmtId="9" fontId="4" fillId="0" borderId="28" xfId="0" applyNumberFormat="1" applyFont="1" applyBorder="1"/>
    <xf numFmtId="9" fontId="4" fillId="0" borderId="0" xfId="0" applyNumberFormat="1" applyFont="1"/>
    <xf numFmtId="9" fontId="31" fillId="0" borderId="0" xfId="0" applyNumberFormat="1" applyFont="1"/>
    <xf numFmtId="9" fontId="38" fillId="2" borderId="26" xfId="0" applyNumberFormat="1" applyFont="1" applyFill="1" applyBorder="1"/>
    <xf numFmtId="9" fontId="4" fillId="0" borderId="27" xfId="0" applyNumberFormat="1" applyFont="1" applyBorder="1"/>
    <xf numFmtId="9" fontId="11" fillId="0" borderId="0" xfId="0" applyNumberFormat="1" applyFont="1"/>
    <xf numFmtId="9" fontId="39" fillId="0" borderId="0" xfId="0" applyNumberFormat="1" applyFont="1"/>
    <xf numFmtId="0" fontId="3" fillId="0" borderId="44" xfId="0" applyFont="1" applyBorder="1"/>
    <xf numFmtId="0" fontId="2" fillId="0" borderId="1" xfId="0" applyFont="1" applyBorder="1"/>
    <xf numFmtId="0" fontId="17" fillId="0" borderId="1" xfId="0" applyFont="1" applyBorder="1"/>
    <xf numFmtId="0" fontId="3" fillId="0" borderId="1" xfId="0" applyFont="1" applyBorder="1"/>
    <xf numFmtId="0" fontId="3" fillId="0" borderId="45" xfId="0" applyFont="1" applyBorder="1"/>
    <xf numFmtId="0" fontId="3" fillId="0" borderId="46" xfId="0" applyFont="1" applyBorder="1"/>
    <xf numFmtId="0" fontId="2" fillId="0" borderId="47" xfId="0" applyFont="1" applyBorder="1"/>
    <xf numFmtId="0" fontId="17" fillId="0" borderId="47" xfId="0" applyFont="1" applyBorder="1"/>
    <xf numFmtId="0" fontId="23" fillId="0" borderId="47" xfId="0" applyFont="1" applyBorder="1"/>
    <xf numFmtId="0" fontId="3" fillId="0" borderId="47" xfId="0" applyFont="1" applyBorder="1"/>
    <xf numFmtId="0" fontId="3" fillId="0" borderId="48" xfId="0" applyFont="1" applyBorder="1"/>
    <xf numFmtId="0" fontId="2" fillId="0" borderId="3" xfId="0" applyFont="1" applyBorder="1"/>
    <xf numFmtId="0" fontId="17" fillId="0" borderId="3" xfId="0" applyFont="1" applyBorder="1"/>
    <xf numFmtId="0" fontId="2" fillId="0" borderId="6" xfId="0" applyFont="1" applyBorder="1"/>
    <xf numFmtId="0" fontId="17" fillId="0" borderId="6" xfId="0" applyFont="1" applyBorder="1"/>
    <xf numFmtId="0" fontId="10" fillId="0" borderId="0" xfId="0" applyFont="1"/>
    <xf numFmtId="0" fontId="13" fillId="0" borderId="0" xfId="0" applyFont="1"/>
    <xf numFmtId="165" fontId="3" fillId="0" borderId="0" xfId="0" applyNumberFormat="1" applyFont="1"/>
    <xf numFmtId="9" fontId="3" fillId="0" borderId="29" xfId="0" applyNumberFormat="1" applyFont="1" applyBorder="1"/>
    <xf numFmtId="9" fontId="3" fillId="0" borderId="30" xfId="0" applyNumberFormat="1" applyFont="1" applyBorder="1"/>
    <xf numFmtId="9" fontId="3" fillId="0" borderId="32" xfId="0" applyNumberFormat="1" applyFont="1" applyBorder="1"/>
    <xf numFmtId="9" fontId="3" fillId="4" borderId="29" xfId="0" applyNumberFormat="1" applyFont="1" applyFill="1" applyBorder="1"/>
    <xf numFmtId="9" fontId="41" fillId="0" borderId="30" xfId="0" applyNumberFormat="1" applyFont="1" applyBorder="1"/>
    <xf numFmtId="9" fontId="3" fillId="0" borderId="36" xfId="0" applyNumberFormat="1" applyFont="1" applyBorder="1"/>
    <xf numFmtId="9" fontId="3" fillId="0" borderId="13" xfId="0" applyNumberFormat="1" applyFont="1" applyBorder="1"/>
    <xf numFmtId="9" fontId="3" fillId="0" borderId="38" xfId="0" applyNumberFormat="1" applyFont="1" applyBorder="1"/>
    <xf numFmtId="9" fontId="3" fillId="5" borderId="36" xfId="0" applyNumberFormat="1" applyFont="1" applyFill="1" applyBorder="1"/>
    <xf numFmtId="9" fontId="3" fillId="5" borderId="13" xfId="0" applyNumberFormat="1" applyFont="1" applyFill="1" applyBorder="1"/>
    <xf numFmtId="9" fontId="36" fillId="0" borderId="13" xfId="0" applyNumberFormat="1" applyFont="1" applyBorder="1"/>
    <xf numFmtId="0" fontId="3" fillId="0" borderId="36" xfId="0" applyFont="1" applyBorder="1"/>
    <xf numFmtId="9" fontId="3" fillId="6" borderId="13" xfId="0" applyNumberFormat="1" applyFont="1" applyFill="1" applyBorder="1"/>
    <xf numFmtId="9" fontId="3" fillId="7" borderId="13" xfId="0" applyNumberFormat="1" applyFont="1" applyFill="1" applyBorder="1"/>
    <xf numFmtId="9" fontId="3" fillId="4" borderId="38" xfId="0" applyNumberFormat="1" applyFont="1" applyFill="1" applyBorder="1"/>
    <xf numFmtId="9" fontId="19" fillId="0" borderId="13" xfId="0" applyNumberFormat="1" applyFont="1" applyBorder="1" applyAlignment="1"/>
    <xf numFmtId="9" fontId="3" fillId="4" borderId="13" xfId="0" applyNumberFormat="1" applyFont="1" applyFill="1" applyBorder="1"/>
    <xf numFmtId="0" fontId="3" fillId="0" borderId="40" xfId="0" applyFont="1" applyBorder="1"/>
    <xf numFmtId="9" fontId="3" fillId="0" borderId="41" xfId="0" applyNumberFormat="1" applyFont="1" applyBorder="1"/>
    <xf numFmtId="9" fontId="3" fillId="0" borderId="42" xfId="0" applyNumberFormat="1" applyFont="1" applyBorder="1"/>
    <xf numFmtId="9" fontId="3" fillId="4" borderId="42" xfId="0" applyNumberFormat="1" applyFont="1" applyFill="1" applyBorder="1"/>
    <xf numFmtId="3" fontId="4" fillId="0" borderId="0" xfId="0" applyNumberFormat="1" applyFont="1"/>
    <xf numFmtId="0" fontId="42" fillId="0" borderId="0" xfId="0" applyFont="1"/>
    <xf numFmtId="0" fontId="43" fillId="0" borderId="0" xfId="0" applyFont="1"/>
    <xf numFmtId="0" fontId="11" fillId="0" borderId="0" xfId="0" applyFont="1" applyAlignment="1">
      <alignment vertical="top" wrapText="1"/>
    </xf>
    <xf numFmtId="3" fontId="36" fillId="0" borderId="0" xfId="0" applyNumberFormat="1" applyFont="1" applyAlignment="1">
      <alignment wrapText="1"/>
    </xf>
    <xf numFmtId="0" fontId="36" fillId="0" borderId="0" xfId="0" applyFont="1"/>
    <xf numFmtId="3" fontId="13" fillId="0" borderId="0" xfId="0" applyNumberFormat="1" applyFont="1"/>
    <xf numFmtId="0" fontId="3" fillId="0" borderId="0" xfId="0" applyFont="1" applyAlignment="1"/>
    <xf numFmtId="0" fontId="12" fillId="8" borderId="0" xfId="0" applyFont="1" applyFill="1"/>
    <xf numFmtId="0" fontId="14" fillId="0" borderId="0" xfId="0" applyFont="1" applyAlignment="1"/>
    <xf numFmtId="0" fontId="12" fillId="9" borderId="0" xfId="0" applyFont="1" applyFill="1"/>
    <xf numFmtId="9" fontId="45" fillId="0" borderId="13" xfId="0" applyNumberFormat="1" applyFont="1" applyBorder="1"/>
    <xf numFmtId="9" fontId="23" fillId="0" borderId="30" xfId="0" applyNumberFormat="1" applyFont="1" applyBorder="1"/>
    <xf numFmtId="9" fontId="22" fillId="2" borderId="32" xfId="0" applyNumberFormat="1" applyFont="1" applyFill="1" applyBorder="1"/>
    <xf numFmtId="9" fontId="19" fillId="0" borderId="50" xfId="0" applyNumberFormat="1" applyFont="1" applyBorder="1"/>
    <xf numFmtId="9" fontId="19" fillId="0" borderId="51" xfId="0" applyNumberFormat="1" applyFont="1" applyBorder="1"/>
    <xf numFmtId="9" fontId="38" fillId="2" borderId="28" xfId="0" applyNumberFormat="1" applyFont="1" applyFill="1" applyBorder="1"/>
    <xf numFmtId="0" fontId="46" fillId="0" borderId="0" xfId="0" applyFont="1"/>
    <xf numFmtId="0" fontId="47" fillId="0" borderId="0" xfId="0" applyFont="1" applyAlignment="1"/>
    <xf numFmtId="0" fontId="48" fillId="2" borderId="12" xfId="0" applyFont="1" applyFill="1" applyBorder="1"/>
    <xf numFmtId="0" fontId="35" fillId="0" borderId="0" xfId="0" applyFont="1" applyAlignment="1"/>
    <xf numFmtId="3" fontId="36" fillId="0" borderId="0" xfId="0" applyNumberFormat="1" applyFont="1" applyAlignment="1">
      <alignment vertical="top" wrapText="1"/>
    </xf>
    <xf numFmtId="3" fontId="36" fillId="0" borderId="11" xfId="0" applyNumberFormat="1" applyFont="1" applyBorder="1" applyAlignment="1">
      <alignment vertical="top" wrapText="1"/>
    </xf>
    <xf numFmtId="0" fontId="11" fillId="0" borderId="47" xfId="0" applyFont="1" applyBorder="1"/>
    <xf numFmtId="0" fontId="12" fillId="0" borderId="6" xfId="0" applyFont="1" applyBorder="1"/>
    <xf numFmtId="0" fontId="13" fillId="0" borderId="6" xfId="0" applyFont="1" applyBorder="1"/>
    <xf numFmtId="0" fontId="49" fillId="0" borderId="0" xfId="0" applyFont="1"/>
    <xf numFmtId="0" fontId="14" fillId="0" borderId="9" xfId="0" applyFont="1" applyBorder="1" applyAlignment="1">
      <alignment horizontal="center"/>
    </xf>
    <xf numFmtId="0" fontId="14" fillId="0" borderId="11" xfId="0" applyFont="1" applyBorder="1" applyAlignment="1">
      <alignment horizontal="center"/>
    </xf>
    <xf numFmtId="0" fontId="50" fillId="0" borderId="0" xfId="0" applyFont="1"/>
    <xf numFmtId="0" fontId="36" fillId="0" borderId="11" xfId="0" applyFont="1" applyBorder="1"/>
    <xf numFmtId="3" fontId="3" fillId="0" borderId="13" xfId="0" applyNumberFormat="1" applyFont="1" applyBorder="1"/>
    <xf numFmtId="3" fontId="16" fillId="2" borderId="13" xfId="0" applyNumberFormat="1" applyFont="1" applyFill="1" applyBorder="1"/>
    <xf numFmtId="0" fontId="51" fillId="0" borderId="0" xfId="0" applyFont="1" applyAlignment="1"/>
    <xf numFmtId="0" fontId="52" fillId="0" borderId="0" xfId="0" applyFont="1" applyAlignment="1">
      <alignment horizontal="left"/>
    </xf>
    <xf numFmtId="3" fontId="52" fillId="0" borderId="13" xfId="0" applyNumberFormat="1" applyFont="1" applyBorder="1"/>
    <xf numFmtId="0" fontId="52" fillId="0" borderId="0" xfId="0" applyFont="1"/>
    <xf numFmtId="0" fontId="52" fillId="0" borderId="9" xfId="0" applyFont="1" applyBorder="1"/>
    <xf numFmtId="0" fontId="52" fillId="0" borderId="11" xfId="0" applyFont="1" applyBorder="1"/>
    <xf numFmtId="3" fontId="52" fillId="0" borderId="0" xfId="0" applyNumberFormat="1" applyFont="1"/>
    <xf numFmtId="165" fontId="52" fillId="0" borderId="13" xfId="0" applyNumberFormat="1" applyFont="1" applyBorder="1"/>
    <xf numFmtId="9" fontId="30" fillId="2" borderId="13" xfId="0" applyNumberFormat="1" applyFont="1" applyFill="1" applyBorder="1"/>
    <xf numFmtId="166" fontId="52" fillId="0" borderId="13" xfId="0" applyNumberFormat="1" applyFont="1" applyBorder="1" applyAlignment="1">
      <alignment horizontal="right"/>
    </xf>
    <xf numFmtId="166" fontId="52" fillId="0" borderId="0" xfId="0" applyNumberFormat="1" applyFont="1" applyAlignment="1">
      <alignment horizontal="right"/>
    </xf>
    <xf numFmtId="9" fontId="52" fillId="0" borderId="0" xfId="0" applyNumberFormat="1" applyFont="1" applyAlignment="1">
      <alignment horizontal="right"/>
    </xf>
    <xf numFmtId="0" fontId="13" fillId="0" borderId="47" xfId="0" applyFont="1" applyBorder="1"/>
    <xf numFmtId="0" fontId="0" fillId="0" borderId="2" xfId="0" applyFont="1" applyBorder="1"/>
    <xf numFmtId="0" fontId="54" fillId="0" borderId="3" xfId="0" applyFont="1" applyBorder="1"/>
    <xf numFmtId="0" fontId="0" fillId="0" borderId="3" xfId="0" applyFont="1" applyBorder="1"/>
    <xf numFmtId="167" fontId="0" fillId="0" borderId="3" xfId="0" applyNumberFormat="1" applyFont="1" applyBorder="1" applyAlignment="1"/>
    <xf numFmtId="0" fontId="0" fillId="0" borderId="4" xfId="0" applyFont="1" applyBorder="1"/>
    <xf numFmtId="0" fontId="55" fillId="0" borderId="0" xfId="0" applyFont="1"/>
    <xf numFmtId="0" fontId="16" fillId="0" borderId="0" xfId="0" applyFont="1"/>
    <xf numFmtId="0" fontId="0" fillId="0" borderId="8" xfId="0" applyFont="1" applyBorder="1"/>
    <xf numFmtId="0" fontId="56" fillId="2" borderId="12" xfId="0" applyFont="1" applyFill="1" applyBorder="1" applyAlignment="1"/>
    <xf numFmtId="9" fontId="56" fillId="2" borderId="12" xfId="0" applyNumberFormat="1" applyFont="1" applyFill="1" applyBorder="1" applyAlignment="1"/>
    <xf numFmtId="10" fontId="0" fillId="0" borderId="0" xfId="0" applyNumberFormat="1" applyFont="1" applyAlignment="1"/>
    <xf numFmtId="168" fontId="0" fillId="0" borderId="9" xfId="0" applyNumberFormat="1" applyFont="1" applyBorder="1" applyAlignment="1">
      <alignment horizontal="left"/>
    </xf>
    <xf numFmtId="168" fontId="16" fillId="0" borderId="0" xfId="0" applyNumberFormat="1" applyFont="1" applyAlignment="1">
      <alignment horizontal="left"/>
    </xf>
    <xf numFmtId="9" fontId="0" fillId="0" borderId="0" xfId="0" applyNumberFormat="1" applyFont="1"/>
    <xf numFmtId="9" fontId="0" fillId="0" borderId="0" xfId="0" applyNumberFormat="1" applyFont="1" applyAlignment="1">
      <alignment horizontal="left"/>
    </xf>
    <xf numFmtId="9" fontId="16" fillId="0" borderId="0" xfId="0" applyNumberFormat="1" applyFont="1"/>
    <xf numFmtId="9" fontId="16" fillId="0" borderId="0" xfId="0" applyNumberFormat="1" applyFont="1" applyAlignment="1">
      <alignment horizontal="left"/>
    </xf>
    <xf numFmtId="0" fontId="4" fillId="0" borderId="0" xfId="0" applyFont="1"/>
    <xf numFmtId="0" fontId="4" fillId="0" borderId="9" xfId="0" applyFont="1" applyBorder="1" applyAlignment="1">
      <alignment horizontal="center"/>
    </xf>
    <xf numFmtId="0" fontId="38" fillId="0" borderId="0" xfId="0" applyFont="1"/>
    <xf numFmtId="0" fontId="38" fillId="0" borderId="0" xfId="0" applyFont="1" applyAlignment="1">
      <alignment horizontal="center"/>
    </xf>
    <xf numFmtId="0" fontId="4" fillId="0" borderId="9" xfId="0" applyFont="1" applyBorder="1"/>
    <xf numFmtId="0" fontId="56" fillId="0" borderId="0" xfId="0" applyFont="1" applyAlignment="1"/>
    <xf numFmtId="169" fontId="0" fillId="0" borderId="0" xfId="0" applyNumberFormat="1" applyFont="1"/>
    <xf numFmtId="169" fontId="57" fillId="0" borderId="0" xfId="0" applyNumberFormat="1" applyFont="1"/>
    <xf numFmtId="169" fontId="0" fillId="0" borderId="9" xfId="0" applyNumberFormat="1" applyFont="1" applyBorder="1"/>
    <xf numFmtId="170" fontId="16" fillId="0" borderId="0" xfId="0" applyNumberFormat="1" applyFont="1"/>
    <xf numFmtId="169" fontId="0" fillId="0" borderId="0" xfId="0" applyNumberFormat="1" applyFont="1" applyAlignment="1"/>
    <xf numFmtId="169" fontId="0" fillId="0" borderId="52" xfId="0" applyNumberFormat="1" applyFont="1" applyBorder="1"/>
    <xf numFmtId="10" fontId="0" fillId="0" borderId="52" xfId="0" applyNumberFormat="1" applyFont="1" applyBorder="1"/>
    <xf numFmtId="169" fontId="37" fillId="0" borderId="0" xfId="0" applyNumberFormat="1" applyFont="1"/>
    <xf numFmtId="168" fontId="16" fillId="0" borderId="0" xfId="0" applyNumberFormat="1" applyFont="1"/>
    <xf numFmtId="170" fontId="0" fillId="0" borderId="0" xfId="0" applyNumberFormat="1" applyFont="1"/>
    <xf numFmtId="0" fontId="0" fillId="0" borderId="9" xfId="0" applyFont="1" applyBorder="1"/>
    <xf numFmtId="170" fontId="0" fillId="0" borderId="0" xfId="0" applyNumberFormat="1" applyFont="1" applyAlignment="1"/>
    <xf numFmtId="170" fontId="0" fillId="0" borderId="9" xfId="0" applyNumberFormat="1" applyFont="1" applyBorder="1"/>
    <xf numFmtId="9" fontId="16" fillId="2" borderId="12" xfId="0" applyNumberFormat="1" applyFont="1" applyFill="1" applyBorder="1"/>
    <xf numFmtId="170" fontId="58" fillId="0" borderId="0" xfId="0" applyNumberFormat="1" applyFont="1"/>
    <xf numFmtId="0" fontId="0" fillId="0" borderId="44" xfId="0" applyFont="1" applyBorder="1"/>
    <xf numFmtId="0" fontId="0" fillId="0" borderId="1" xfId="0" applyFont="1" applyBorder="1"/>
    <xf numFmtId="170" fontId="0" fillId="0" borderId="1" xfId="0" applyNumberFormat="1" applyFont="1" applyBorder="1"/>
    <xf numFmtId="170" fontId="58" fillId="0" borderId="1" xfId="0" applyNumberFormat="1" applyFont="1" applyBorder="1"/>
    <xf numFmtId="170" fontId="0" fillId="0" borderId="45" xfId="0" applyNumberFormat="1" applyFont="1" applyBorder="1"/>
    <xf numFmtId="0" fontId="59" fillId="0" borderId="0" xfId="0" applyFont="1"/>
    <xf numFmtId="0" fontId="3" fillId="0" borderId="55" xfId="0" applyFont="1" applyBorder="1"/>
    <xf numFmtId="0" fontId="46" fillId="0" borderId="49" xfId="0" applyFont="1" applyBorder="1" applyAlignment="1">
      <alignment horizontal="left"/>
    </xf>
    <xf numFmtId="0" fontId="3" fillId="0" borderId="56" xfId="0" applyFont="1" applyBorder="1"/>
    <xf numFmtId="0" fontId="3" fillId="0" borderId="49" xfId="0" applyFont="1" applyBorder="1"/>
    <xf numFmtId="0" fontId="2" fillId="0" borderId="49" xfId="0" applyFont="1" applyBorder="1"/>
    <xf numFmtId="0" fontId="3" fillId="0" borderId="49" xfId="0" applyFont="1" applyBorder="1" applyAlignment="1">
      <alignment horizontal="left"/>
    </xf>
    <xf numFmtId="0" fontId="4" fillId="0" borderId="49" xfId="0" applyFont="1" applyBorder="1" applyAlignment="1">
      <alignment horizontal="left"/>
    </xf>
    <xf numFmtId="0" fontId="2" fillId="0" borderId="57" xfId="0" applyFont="1" applyBorder="1"/>
    <xf numFmtId="0" fontId="3" fillId="0" borderId="58" xfId="0" applyFont="1" applyBorder="1"/>
    <xf numFmtId="0" fontId="3" fillId="0" borderId="59" xfId="0" applyFont="1" applyBorder="1"/>
    <xf numFmtId="0" fontId="3" fillId="0" borderId="57" xfId="0" applyFont="1" applyBorder="1"/>
    <xf numFmtId="0" fontId="49" fillId="0" borderId="0" xfId="0" applyFont="1" applyAlignment="1">
      <alignment horizontal="center"/>
    </xf>
    <xf numFmtId="0" fontId="7" fillId="0" borderId="19" xfId="0" applyFont="1" applyBorder="1"/>
    <xf numFmtId="0" fontId="3" fillId="0" borderId="19" xfId="0" applyFont="1" applyBorder="1"/>
    <xf numFmtId="0" fontId="49" fillId="0" borderId="19" xfId="0" applyFont="1" applyBorder="1" applyAlignment="1">
      <alignment horizontal="center"/>
    </xf>
    <xf numFmtId="0" fontId="60" fillId="0" borderId="0" xfId="0" applyFont="1"/>
    <xf numFmtId="0" fontId="3" fillId="0" borderId="0" xfId="0" applyFont="1" applyAlignment="1">
      <alignment vertical="top" wrapText="1"/>
    </xf>
    <xf numFmtId="0" fontId="49" fillId="0" borderId="0" xfId="0" applyFont="1" applyAlignment="1">
      <alignment vertical="top" wrapText="1"/>
    </xf>
    <xf numFmtId="0" fontId="3" fillId="0" borderId="0" xfId="0" applyFont="1" applyAlignment="1">
      <alignment wrapText="1"/>
    </xf>
    <xf numFmtId="0" fontId="52" fillId="0" borderId="0" xfId="0" applyFont="1" applyAlignment="1">
      <alignment horizontal="center" vertical="top" wrapText="1"/>
    </xf>
    <xf numFmtId="0" fontId="3" fillId="0" borderId="0" xfId="0" applyFont="1" applyAlignment="1">
      <alignment horizontal="center" vertical="top" wrapText="1"/>
    </xf>
    <xf numFmtId="0" fontId="61" fillId="0" borderId="0" xfId="0" applyFont="1" applyAlignment="1">
      <alignment horizontal="center" vertical="top" wrapText="1"/>
    </xf>
    <xf numFmtId="0" fontId="62" fillId="0" borderId="0" xfId="0" applyFont="1" applyAlignment="1">
      <alignment horizontal="center" vertical="top" wrapText="1"/>
    </xf>
    <xf numFmtId="3" fontId="36" fillId="0" borderId="0" xfId="0" applyNumberFormat="1" applyFont="1" applyAlignment="1">
      <alignment wrapText="1"/>
    </xf>
    <xf numFmtId="0" fontId="0" fillId="0" borderId="0" xfId="0" applyFont="1" applyAlignment="1"/>
    <xf numFmtId="0" fontId="13" fillId="0" borderId="0" xfId="0" applyFont="1" applyAlignment="1">
      <alignment vertical="top" wrapText="1"/>
    </xf>
    <xf numFmtId="3" fontId="23" fillId="0" borderId="14" xfId="0" applyNumberFormat="1" applyFont="1" applyBorder="1" applyAlignment="1">
      <alignment horizontal="left" wrapText="1"/>
    </xf>
    <xf numFmtId="0" fontId="9" fillId="0" borderId="15" xfId="0" applyFont="1" applyBorder="1"/>
    <xf numFmtId="0" fontId="9" fillId="0" borderId="18" xfId="0" applyFont="1" applyBorder="1"/>
    <xf numFmtId="0" fontId="9" fillId="0" borderId="19" xfId="0" applyFont="1" applyBorder="1"/>
    <xf numFmtId="0" fontId="11" fillId="0" borderId="0" xfId="0" applyFont="1" applyAlignment="1">
      <alignment vertical="top" wrapText="1"/>
    </xf>
    <xf numFmtId="0" fontId="11" fillId="0" borderId="0" xfId="0" applyFont="1" applyAlignment="1">
      <alignment wrapText="1"/>
    </xf>
    <xf numFmtId="0" fontId="53" fillId="0" borderId="0" xfId="0" applyFont="1" applyAlignment="1">
      <alignment vertical="top" wrapText="1"/>
    </xf>
    <xf numFmtId="0" fontId="9" fillId="0" borderId="9" xfId="0" applyFont="1" applyBorder="1"/>
    <xf numFmtId="0" fontId="9" fillId="0" borderId="1" xfId="0" applyFont="1" applyBorder="1"/>
    <xf numFmtId="0" fontId="9" fillId="0" borderId="45" xfId="0" applyFont="1" applyBorder="1"/>
    <xf numFmtId="0" fontId="49" fillId="0" borderId="53" xfId="0" applyFont="1" applyBorder="1" applyAlignment="1">
      <alignment horizontal="left" wrapText="1"/>
    </xf>
    <xf numFmtId="0" fontId="9" fillId="0" borderId="54" xfId="0" applyFont="1" applyBorder="1"/>
    <xf numFmtId="0" fontId="49" fillId="0" borderId="53" xfId="0" applyFont="1" applyBorder="1" applyAlignment="1">
      <alignment horizontal="center" wrapText="1"/>
    </xf>
    <xf numFmtId="0" fontId="9" fillId="0" borderId="55" xfId="0" applyFont="1" applyBorder="1"/>
    <xf numFmtId="0" fontId="11" fillId="0" borderId="6" xfId="0" applyFont="1" applyBorder="1" applyAlignment="1">
      <alignment wrapText="1"/>
    </xf>
    <xf numFmtId="0" fontId="9" fillId="0" borderId="6" xfId="0" applyFont="1" applyBorder="1"/>
    <xf numFmtId="0" fontId="9" fillId="0" borderId="7" xfId="0" applyFont="1" applyBorder="1"/>
    <xf numFmtId="0" fontId="9" fillId="0" borderId="11" xfId="0" applyFont="1" applyBorder="1"/>
    <xf numFmtId="9" fontId="40" fillId="0" borderId="25" xfId="0" applyNumberFormat="1" applyFont="1" applyBorder="1" applyAlignment="1">
      <alignment wrapText="1"/>
    </xf>
    <xf numFmtId="3" fontId="11" fillId="0" borderId="49" xfId="0" applyNumberFormat="1" applyFont="1" applyBorder="1" applyAlignment="1">
      <alignment wrapText="1"/>
    </xf>
    <xf numFmtId="0" fontId="9" fillId="0" borderId="49" xfId="0" applyFont="1" applyBorder="1"/>
    <xf numFmtId="3" fontId="36" fillId="0" borderId="49" xfId="0" applyNumberFormat="1" applyFont="1" applyBorder="1" applyAlignment="1">
      <alignment vertical="top" wrapText="1"/>
    </xf>
    <xf numFmtId="0" fontId="41" fillId="0" borderId="0" xfId="0" applyFont="1" applyAlignment="1">
      <alignment wrapText="1"/>
    </xf>
    <xf numFmtId="0" fontId="36" fillId="0" borderId="0" xfId="0" applyFont="1" applyAlignment="1">
      <alignment vertical="top" wrapText="1"/>
    </xf>
    <xf numFmtId="9" fontId="44" fillId="0" borderId="0" xfId="0" applyNumberFormat="1" applyFont="1" applyAlignment="1">
      <alignment horizontal="left" vertical="top" wrapText="1"/>
    </xf>
    <xf numFmtId="3" fontId="41" fillId="0" borderId="0" xfId="0" applyNumberFormat="1" applyFont="1" applyAlignment="1">
      <alignment wrapText="1"/>
    </xf>
    <xf numFmtId="3" fontId="11" fillId="0" borderId="0" xfId="0" applyNumberFormat="1" applyFont="1" applyAlignment="1">
      <alignment vertical="top" wrapText="1"/>
    </xf>
    <xf numFmtId="9" fontId="23" fillId="0" borderId="14" xfId="0" applyNumberFormat="1" applyFont="1" applyBorder="1" applyAlignment="1">
      <alignment vertical="top" wrapText="1"/>
    </xf>
    <xf numFmtId="0" fontId="9" fillId="0" borderId="16" xfId="0" applyFont="1" applyBorder="1"/>
    <xf numFmtId="0" fontId="9" fillId="0" borderId="20" xfId="0" applyFont="1" applyBorder="1"/>
    <xf numFmtId="9" fontId="23" fillId="0" borderId="33" xfId="0" applyNumberFormat="1" applyFont="1" applyBorder="1" applyAlignment="1">
      <alignment wrapText="1"/>
    </xf>
    <xf numFmtId="0" fontId="9" fillId="0" borderId="34" xfId="0" applyFont="1" applyBorder="1"/>
    <xf numFmtId="0" fontId="9" fillId="0" borderId="35" xfId="0" applyFont="1" applyBorder="1"/>
    <xf numFmtId="0" fontId="9" fillId="0" borderId="39" xfId="0" applyFont="1" applyBorder="1"/>
    <xf numFmtId="9" fontId="36" fillId="0" borderId="25" xfId="0" applyNumberFormat="1" applyFont="1" applyBorder="1" applyAlignment="1">
      <alignment vertical="top" wrapText="1"/>
    </xf>
    <xf numFmtId="0" fontId="9" fillId="0" borderId="25" xfId="0" applyFont="1" applyBorder="1"/>
    <xf numFmtId="0" fontId="4" fillId="0" borderId="0" xfId="0" applyFont="1" applyAlignment="1">
      <alignment horizontal="center" vertical="center" wrapText="1"/>
    </xf>
    <xf numFmtId="0" fontId="10" fillId="0" borderId="6" xfId="0" applyFont="1" applyBorder="1" applyAlignment="1">
      <alignment wrapText="1"/>
    </xf>
    <xf numFmtId="0" fontId="11" fillId="0" borderId="6" xfId="0" applyFont="1" applyBorder="1" applyAlignment="1">
      <alignment vertical="top" wrapText="1"/>
    </xf>
    <xf numFmtId="0" fontId="13" fillId="0" borderId="0" xfId="0" applyFont="1" applyAlignment="1">
      <alignment wrapText="1"/>
    </xf>
    <xf numFmtId="3" fontId="11" fillId="0" borderId="0" xfId="0" applyNumberFormat="1" applyFont="1" applyAlignment="1">
      <alignment wrapText="1"/>
    </xf>
    <xf numFmtId="0" fontId="19" fillId="0" borderId="0" xfId="0" applyFont="1" applyAlignment="1">
      <alignment horizontal="left" wrapText="1"/>
    </xf>
    <xf numFmtId="0" fontId="19" fillId="0" borderId="0" xfId="0" applyFont="1" applyAlignment="1">
      <alignment wrapText="1"/>
    </xf>
    <xf numFmtId="0" fontId="49" fillId="0" borderId="0" xfId="0" applyFont="1" applyAlignment="1">
      <alignment horizontal="center" vertical="top" wrapText="1"/>
    </xf>
    <xf numFmtId="0" fontId="4" fillId="0" borderId="15" xfId="0" applyFont="1" applyBorder="1" applyAlignment="1">
      <alignment horizontal="center" vertical="top" wrapText="1"/>
    </xf>
    <xf numFmtId="0" fontId="19"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41</xdr:col>
      <xdr:colOff>800100</xdr:colOff>
      <xdr:row>5</xdr:row>
      <xdr:rowOff>266700</xdr:rowOff>
    </xdr:from>
    <xdr:ext cx="809625" cy="723900"/>
    <xdr:grpSp>
      <xdr:nvGrpSpPr>
        <xdr:cNvPr id="6" name="Shape 2">
          <a:extLst>
            <a:ext uri="{FF2B5EF4-FFF2-40B4-BE49-F238E27FC236}">
              <a16:creationId xmlns:a16="http://schemas.microsoft.com/office/drawing/2014/main" id="{00000000-0008-0000-0000-000006000000}"/>
            </a:ext>
          </a:extLst>
        </xdr:cNvPr>
        <xdr:cNvGrpSpPr/>
      </xdr:nvGrpSpPr>
      <xdr:grpSpPr>
        <a:xfrm>
          <a:off x="46088300" y="1435100"/>
          <a:ext cx="809625" cy="723900"/>
          <a:chOff x="4892610" y="3418050"/>
          <a:chExt cx="906780" cy="723900"/>
        </a:xfrm>
      </xdr:grpSpPr>
      <xdr:grpSp>
        <xdr:nvGrpSpPr>
          <xdr:cNvPr id="7" name="Shape 6">
            <a:extLst>
              <a:ext uri="{FF2B5EF4-FFF2-40B4-BE49-F238E27FC236}">
                <a16:creationId xmlns:a16="http://schemas.microsoft.com/office/drawing/2014/main" id="{00000000-0008-0000-0000-000007000000}"/>
              </a:ext>
            </a:extLst>
          </xdr:cNvPr>
          <xdr:cNvGrpSpPr/>
        </xdr:nvGrpSpPr>
        <xdr:grpSpPr>
          <a:xfrm>
            <a:off x="4892610" y="3418050"/>
            <a:ext cx="906780" cy="723900"/>
            <a:chOff x="4945950" y="3379950"/>
            <a:chExt cx="800100" cy="800100"/>
          </a:xfrm>
        </xdr:grpSpPr>
        <xdr:sp macro="" textlink="">
          <xdr:nvSpPr>
            <xdr:cNvPr id="8" name="Shape 4">
              <a:extLst>
                <a:ext uri="{FF2B5EF4-FFF2-40B4-BE49-F238E27FC236}">
                  <a16:creationId xmlns:a16="http://schemas.microsoft.com/office/drawing/2014/main" id="{00000000-0008-0000-0000-000008000000}"/>
                </a:ext>
              </a:extLst>
            </xdr:cNvPr>
            <xdr:cNvSpPr/>
          </xdr:nvSpPr>
          <xdr:spPr>
            <a:xfrm>
              <a:off x="4988813" y="3379950"/>
              <a:ext cx="714375" cy="800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9" name="Shape 7">
              <a:extLst>
                <a:ext uri="{FF2B5EF4-FFF2-40B4-BE49-F238E27FC236}">
                  <a16:creationId xmlns:a16="http://schemas.microsoft.com/office/drawing/2014/main" id="{00000000-0008-0000-0000-000009000000}"/>
                </a:ext>
              </a:extLst>
            </xdr:cNvPr>
            <xdr:cNvCxnSpPr/>
          </xdr:nvCxnSpPr>
          <xdr:spPr>
            <a:xfrm rot="5400000" flipH="1">
              <a:off x="4988813" y="3379950"/>
              <a:ext cx="714375" cy="800100"/>
            </a:xfrm>
            <a:prstGeom prst="bentConnector3">
              <a:avLst>
                <a:gd name="adj1" fmla="val -256797"/>
              </a:avLst>
            </a:prstGeom>
            <a:noFill/>
            <a:ln w="9525" cap="flat" cmpd="sng">
              <a:solidFill>
                <a:srgbClr val="7030A0"/>
              </a:solidFill>
              <a:prstDash val="solid"/>
              <a:miter lim="800000"/>
              <a:headEnd type="none" w="sm" len="sm"/>
              <a:tailEnd type="triangle" w="med" len="med"/>
            </a:ln>
          </xdr:spPr>
        </xdr:cxnSp>
      </xdr:grpSp>
    </xdr:grpSp>
    <xdr:clientData fLocksWithSheet="0"/>
  </xdr:oneCellAnchor>
  <xdr:oneCellAnchor>
    <xdr:from>
      <xdr:col>35</xdr:col>
      <xdr:colOff>2009775</xdr:colOff>
      <xdr:row>17</xdr:row>
      <xdr:rowOff>123825</xdr:rowOff>
    </xdr:from>
    <xdr:ext cx="857250" cy="219075"/>
    <xdr:grpSp>
      <xdr:nvGrpSpPr>
        <xdr:cNvPr id="14" name="Shape 2">
          <a:extLst>
            <a:ext uri="{FF2B5EF4-FFF2-40B4-BE49-F238E27FC236}">
              <a16:creationId xmlns:a16="http://schemas.microsoft.com/office/drawing/2014/main" id="{00000000-0008-0000-0000-00000E000000}"/>
            </a:ext>
          </a:extLst>
        </xdr:cNvPr>
        <xdr:cNvGrpSpPr/>
      </xdr:nvGrpSpPr>
      <xdr:grpSpPr>
        <a:xfrm>
          <a:off x="38928675" y="3806825"/>
          <a:ext cx="857250" cy="219075"/>
          <a:chOff x="4917375" y="3670463"/>
          <a:chExt cx="857250" cy="219075"/>
        </a:xfrm>
      </xdr:grpSpPr>
      <xdr:grpSp>
        <xdr:nvGrpSpPr>
          <xdr:cNvPr id="15" name="Shape 10">
            <a:extLst>
              <a:ext uri="{FF2B5EF4-FFF2-40B4-BE49-F238E27FC236}">
                <a16:creationId xmlns:a16="http://schemas.microsoft.com/office/drawing/2014/main" id="{00000000-0008-0000-0000-00000F000000}"/>
              </a:ext>
            </a:extLst>
          </xdr:cNvPr>
          <xdr:cNvGrpSpPr/>
        </xdr:nvGrpSpPr>
        <xdr:grpSpPr>
          <a:xfrm>
            <a:off x="4917375" y="3670463"/>
            <a:ext cx="857250" cy="219075"/>
            <a:chOff x="4922138" y="3675225"/>
            <a:chExt cx="847725" cy="209550"/>
          </a:xfrm>
        </xdr:grpSpPr>
        <xdr:sp macro="" textlink="">
          <xdr:nvSpPr>
            <xdr:cNvPr id="16" name="Shape 4">
              <a:extLst>
                <a:ext uri="{FF2B5EF4-FFF2-40B4-BE49-F238E27FC236}">
                  <a16:creationId xmlns:a16="http://schemas.microsoft.com/office/drawing/2014/main" id="{00000000-0008-0000-0000-000010000000}"/>
                </a:ext>
              </a:extLst>
            </xdr:cNvPr>
            <xdr:cNvSpPr/>
          </xdr:nvSpPr>
          <xdr:spPr>
            <a:xfrm>
              <a:off x="4922138" y="3675225"/>
              <a:ext cx="847725" cy="2095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7" name="Shape 11">
              <a:extLst>
                <a:ext uri="{FF2B5EF4-FFF2-40B4-BE49-F238E27FC236}">
                  <a16:creationId xmlns:a16="http://schemas.microsoft.com/office/drawing/2014/main" id="{00000000-0008-0000-0000-000011000000}"/>
                </a:ext>
              </a:extLst>
            </xdr:cNvPr>
            <xdr:cNvCxnSpPr/>
          </xdr:nvCxnSpPr>
          <xdr:spPr>
            <a:xfrm rot="10800000" flipH="1">
              <a:off x="4922138" y="3675225"/>
              <a:ext cx="847725" cy="209550"/>
            </a:xfrm>
            <a:prstGeom prst="straightConnector1">
              <a:avLst/>
            </a:prstGeom>
            <a:noFill/>
            <a:ln w="9525" cap="flat" cmpd="sng">
              <a:solidFill>
                <a:srgbClr val="7030A0"/>
              </a:solidFill>
              <a:prstDash val="solid"/>
              <a:miter lim="800000"/>
              <a:headEnd type="none" w="sm" len="sm"/>
              <a:tailEnd type="triangle" w="med" len="med"/>
            </a:ln>
          </xdr:spPr>
        </xdr:cxnSp>
      </xdr:grpSp>
    </xdr:grpSp>
    <xdr:clientData fLocksWithSheet="0"/>
  </xdr:oneCellAnchor>
  <xdr:oneCellAnchor>
    <xdr:from>
      <xdr:col>39</xdr:col>
      <xdr:colOff>800100</xdr:colOff>
      <xdr:row>7</xdr:row>
      <xdr:rowOff>9525</xdr:rowOff>
    </xdr:from>
    <xdr:ext cx="1228725" cy="381000"/>
    <xdr:grpSp>
      <xdr:nvGrpSpPr>
        <xdr:cNvPr id="18" name="Shape 2">
          <a:extLst>
            <a:ext uri="{FF2B5EF4-FFF2-40B4-BE49-F238E27FC236}">
              <a16:creationId xmlns:a16="http://schemas.microsoft.com/office/drawing/2014/main" id="{00000000-0008-0000-0000-000012000000}"/>
            </a:ext>
          </a:extLst>
        </xdr:cNvPr>
        <xdr:cNvGrpSpPr/>
      </xdr:nvGrpSpPr>
      <xdr:grpSpPr>
        <a:xfrm>
          <a:off x="44107100" y="1749425"/>
          <a:ext cx="1228725" cy="381000"/>
          <a:chOff x="4731638" y="3589500"/>
          <a:chExt cx="1228725" cy="381000"/>
        </a:xfrm>
      </xdr:grpSpPr>
      <xdr:grpSp>
        <xdr:nvGrpSpPr>
          <xdr:cNvPr id="19" name="Shape 12">
            <a:extLst>
              <a:ext uri="{FF2B5EF4-FFF2-40B4-BE49-F238E27FC236}">
                <a16:creationId xmlns:a16="http://schemas.microsoft.com/office/drawing/2014/main" id="{00000000-0008-0000-0000-000013000000}"/>
              </a:ext>
            </a:extLst>
          </xdr:cNvPr>
          <xdr:cNvGrpSpPr/>
        </xdr:nvGrpSpPr>
        <xdr:grpSpPr>
          <a:xfrm>
            <a:off x="4731638" y="3589500"/>
            <a:ext cx="1228725" cy="381000"/>
            <a:chOff x="4736400" y="3594263"/>
            <a:chExt cx="1219200" cy="371475"/>
          </a:xfrm>
        </xdr:grpSpPr>
        <xdr:sp macro="" textlink="">
          <xdr:nvSpPr>
            <xdr:cNvPr id="20" name="Shape 4">
              <a:extLst>
                <a:ext uri="{FF2B5EF4-FFF2-40B4-BE49-F238E27FC236}">
                  <a16:creationId xmlns:a16="http://schemas.microsoft.com/office/drawing/2014/main" id="{00000000-0008-0000-0000-000014000000}"/>
                </a:ext>
              </a:extLst>
            </xdr:cNvPr>
            <xdr:cNvSpPr/>
          </xdr:nvSpPr>
          <xdr:spPr>
            <a:xfrm>
              <a:off x="4736400" y="3594263"/>
              <a:ext cx="1219200" cy="3714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21" name="Shape 13">
              <a:extLst>
                <a:ext uri="{FF2B5EF4-FFF2-40B4-BE49-F238E27FC236}">
                  <a16:creationId xmlns:a16="http://schemas.microsoft.com/office/drawing/2014/main" id="{00000000-0008-0000-0000-000015000000}"/>
                </a:ext>
              </a:extLst>
            </xdr:cNvPr>
            <xdr:cNvCxnSpPr/>
          </xdr:nvCxnSpPr>
          <xdr:spPr>
            <a:xfrm rot="10800000">
              <a:off x="4736400" y="3594263"/>
              <a:ext cx="1219200" cy="371475"/>
            </a:xfrm>
            <a:prstGeom prst="straightConnector1">
              <a:avLst/>
            </a:prstGeom>
            <a:noFill/>
            <a:ln w="9525" cap="flat" cmpd="sng">
              <a:solidFill>
                <a:srgbClr val="7030A0"/>
              </a:solidFill>
              <a:prstDash val="solid"/>
              <a:miter lim="800000"/>
              <a:headEnd type="none" w="sm" len="sm"/>
              <a:tailEnd type="triangle" w="med" len="med"/>
            </a:ln>
          </xdr:spPr>
        </xdr:cxnSp>
      </xdr:grpSp>
    </xdr:grpSp>
    <xdr:clientData fLocksWithSheet="0"/>
  </xdr:oneCellAnchor>
  <xdr:oneCellAnchor>
    <xdr:from>
      <xdr:col>37</xdr:col>
      <xdr:colOff>9525</xdr:colOff>
      <xdr:row>9</xdr:row>
      <xdr:rowOff>76200</xdr:rowOff>
    </xdr:from>
    <xdr:ext cx="266700" cy="38100"/>
    <xdr:grpSp>
      <xdr:nvGrpSpPr>
        <xdr:cNvPr id="22" name="Shape 2">
          <a:extLst>
            <a:ext uri="{FF2B5EF4-FFF2-40B4-BE49-F238E27FC236}">
              <a16:creationId xmlns:a16="http://schemas.microsoft.com/office/drawing/2014/main" id="{00000000-0008-0000-0000-000016000000}"/>
            </a:ext>
          </a:extLst>
        </xdr:cNvPr>
        <xdr:cNvGrpSpPr/>
      </xdr:nvGrpSpPr>
      <xdr:grpSpPr>
        <a:xfrm>
          <a:off x="41335325" y="2235200"/>
          <a:ext cx="266700" cy="38100"/>
          <a:chOff x="5212650" y="3760950"/>
          <a:chExt cx="266700" cy="38100"/>
        </a:xfrm>
      </xdr:grpSpPr>
      <xdr:grpSp>
        <xdr:nvGrpSpPr>
          <xdr:cNvPr id="23" name="Shape 14">
            <a:extLst>
              <a:ext uri="{FF2B5EF4-FFF2-40B4-BE49-F238E27FC236}">
                <a16:creationId xmlns:a16="http://schemas.microsoft.com/office/drawing/2014/main" id="{00000000-0008-0000-0000-000017000000}"/>
              </a:ext>
            </a:extLst>
          </xdr:cNvPr>
          <xdr:cNvGrpSpPr/>
        </xdr:nvGrpSpPr>
        <xdr:grpSpPr>
          <a:xfrm>
            <a:off x="5212650" y="3760950"/>
            <a:ext cx="266700" cy="38100"/>
            <a:chOff x="5212650" y="3765713"/>
            <a:chExt cx="266700" cy="28575"/>
          </a:xfrm>
        </xdr:grpSpPr>
        <xdr:sp macro="" textlink="">
          <xdr:nvSpPr>
            <xdr:cNvPr id="24" name="Shape 4">
              <a:extLst>
                <a:ext uri="{FF2B5EF4-FFF2-40B4-BE49-F238E27FC236}">
                  <a16:creationId xmlns:a16="http://schemas.microsoft.com/office/drawing/2014/main" id="{00000000-0008-0000-0000-000018000000}"/>
                </a:ext>
              </a:extLst>
            </xdr:cNvPr>
            <xdr:cNvSpPr/>
          </xdr:nvSpPr>
          <xdr:spPr>
            <a:xfrm>
              <a:off x="5212650" y="3765713"/>
              <a:ext cx="266700" cy="285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25" name="Shape 15">
              <a:extLst>
                <a:ext uri="{FF2B5EF4-FFF2-40B4-BE49-F238E27FC236}">
                  <a16:creationId xmlns:a16="http://schemas.microsoft.com/office/drawing/2014/main" id="{00000000-0008-0000-0000-000019000000}"/>
                </a:ext>
              </a:extLst>
            </xdr:cNvPr>
            <xdr:cNvCxnSpPr/>
          </xdr:nvCxnSpPr>
          <xdr:spPr>
            <a:xfrm rot="10800000">
              <a:off x="5212650" y="3765713"/>
              <a:ext cx="266700" cy="28575"/>
            </a:xfrm>
            <a:prstGeom prst="straightConnector1">
              <a:avLst/>
            </a:prstGeom>
            <a:noFill/>
            <a:ln w="9525" cap="flat" cmpd="sng">
              <a:solidFill>
                <a:srgbClr val="7030A0"/>
              </a:solidFill>
              <a:prstDash val="solid"/>
              <a:miter lim="800000"/>
              <a:headEnd type="none" w="sm" len="sm"/>
              <a:tailEnd type="triangle" w="med" len="med"/>
            </a:ln>
          </xdr:spPr>
        </xdr:cxnSp>
      </xdr:grpSp>
    </xdr:grpSp>
    <xdr:clientData fLocksWithSheet="0"/>
  </xdr:oneCellAnchor>
  <xdr:oneCellAnchor>
    <xdr:from>
      <xdr:col>35</xdr:col>
      <xdr:colOff>2009775</xdr:colOff>
      <xdr:row>77</xdr:row>
      <xdr:rowOff>123825</xdr:rowOff>
    </xdr:from>
    <xdr:ext cx="857250" cy="219075"/>
    <xdr:grpSp>
      <xdr:nvGrpSpPr>
        <xdr:cNvPr id="26" name="Shape 2">
          <a:extLst>
            <a:ext uri="{FF2B5EF4-FFF2-40B4-BE49-F238E27FC236}">
              <a16:creationId xmlns:a16="http://schemas.microsoft.com/office/drawing/2014/main" id="{00000000-0008-0000-0000-00001A000000}"/>
            </a:ext>
          </a:extLst>
        </xdr:cNvPr>
        <xdr:cNvGrpSpPr/>
      </xdr:nvGrpSpPr>
      <xdr:grpSpPr>
        <a:xfrm>
          <a:off x="38928675" y="15490825"/>
          <a:ext cx="857250" cy="219075"/>
          <a:chOff x="4917375" y="3670463"/>
          <a:chExt cx="857250" cy="219075"/>
        </a:xfrm>
      </xdr:grpSpPr>
      <xdr:grpSp>
        <xdr:nvGrpSpPr>
          <xdr:cNvPr id="27" name="Shape 16">
            <a:extLst>
              <a:ext uri="{FF2B5EF4-FFF2-40B4-BE49-F238E27FC236}">
                <a16:creationId xmlns:a16="http://schemas.microsoft.com/office/drawing/2014/main" id="{00000000-0008-0000-0000-00001B000000}"/>
              </a:ext>
            </a:extLst>
          </xdr:cNvPr>
          <xdr:cNvGrpSpPr/>
        </xdr:nvGrpSpPr>
        <xdr:grpSpPr>
          <a:xfrm>
            <a:off x="4917375" y="3670463"/>
            <a:ext cx="857250" cy="219075"/>
            <a:chOff x="4922138" y="3675225"/>
            <a:chExt cx="847725" cy="209550"/>
          </a:xfrm>
        </xdr:grpSpPr>
        <xdr:sp macro="" textlink="">
          <xdr:nvSpPr>
            <xdr:cNvPr id="28" name="Shape 4">
              <a:extLst>
                <a:ext uri="{FF2B5EF4-FFF2-40B4-BE49-F238E27FC236}">
                  <a16:creationId xmlns:a16="http://schemas.microsoft.com/office/drawing/2014/main" id="{00000000-0008-0000-0000-00001C000000}"/>
                </a:ext>
              </a:extLst>
            </xdr:cNvPr>
            <xdr:cNvSpPr/>
          </xdr:nvSpPr>
          <xdr:spPr>
            <a:xfrm>
              <a:off x="4922138" y="3675225"/>
              <a:ext cx="847725" cy="2095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29" name="Shape 17">
              <a:extLst>
                <a:ext uri="{FF2B5EF4-FFF2-40B4-BE49-F238E27FC236}">
                  <a16:creationId xmlns:a16="http://schemas.microsoft.com/office/drawing/2014/main" id="{00000000-0008-0000-0000-00001D000000}"/>
                </a:ext>
              </a:extLst>
            </xdr:cNvPr>
            <xdr:cNvCxnSpPr/>
          </xdr:nvCxnSpPr>
          <xdr:spPr>
            <a:xfrm rot="10800000" flipH="1">
              <a:off x="4922138" y="3675225"/>
              <a:ext cx="847725" cy="209550"/>
            </a:xfrm>
            <a:prstGeom prst="straightConnector1">
              <a:avLst/>
            </a:prstGeom>
            <a:noFill/>
            <a:ln w="9525" cap="flat" cmpd="sng">
              <a:solidFill>
                <a:srgbClr val="7030A0"/>
              </a:solidFill>
              <a:prstDash val="solid"/>
              <a:miter lim="800000"/>
              <a:headEnd type="none" w="sm" len="sm"/>
              <a:tailEnd type="triangle" w="med" len="med"/>
            </a:ln>
          </xdr:spPr>
        </xdr:cxnSp>
      </xdr:grpSp>
    </xdr:grpSp>
    <xdr:clientData fLocksWithSheet="0"/>
  </xdr:oneCellAnchor>
  <xdr:oneCellAnchor>
    <xdr:from>
      <xdr:col>37</xdr:col>
      <xdr:colOff>9525</xdr:colOff>
      <xdr:row>69</xdr:row>
      <xdr:rowOff>76200</xdr:rowOff>
    </xdr:from>
    <xdr:ext cx="266700" cy="38100"/>
    <xdr:grpSp>
      <xdr:nvGrpSpPr>
        <xdr:cNvPr id="30" name="Shape 2">
          <a:extLst>
            <a:ext uri="{FF2B5EF4-FFF2-40B4-BE49-F238E27FC236}">
              <a16:creationId xmlns:a16="http://schemas.microsoft.com/office/drawing/2014/main" id="{00000000-0008-0000-0000-00001E000000}"/>
            </a:ext>
          </a:extLst>
        </xdr:cNvPr>
        <xdr:cNvGrpSpPr/>
      </xdr:nvGrpSpPr>
      <xdr:grpSpPr>
        <a:xfrm>
          <a:off x="41335325" y="13919200"/>
          <a:ext cx="266700" cy="38100"/>
          <a:chOff x="5212650" y="3760950"/>
          <a:chExt cx="266700" cy="38100"/>
        </a:xfrm>
      </xdr:grpSpPr>
      <xdr:grpSp>
        <xdr:nvGrpSpPr>
          <xdr:cNvPr id="31" name="Shape 18">
            <a:extLst>
              <a:ext uri="{FF2B5EF4-FFF2-40B4-BE49-F238E27FC236}">
                <a16:creationId xmlns:a16="http://schemas.microsoft.com/office/drawing/2014/main" id="{00000000-0008-0000-0000-00001F000000}"/>
              </a:ext>
            </a:extLst>
          </xdr:cNvPr>
          <xdr:cNvGrpSpPr/>
        </xdr:nvGrpSpPr>
        <xdr:grpSpPr>
          <a:xfrm>
            <a:off x="5212650" y="3760950"/>
            <a:ext cx="266700" cy="38100"/>
            <a:chOff x="5212650" y="3765713"/>
            <a:chExt cx="266700" cy="28575"/>
          </a:xfrm>
        </xdr:grpSpPr>
        <xdr:sp macro="" textlink="">
          <xdr:nvSpPr>
            <xdr:cNvPr id="32" name="Shape 4">
              <a:extLst>
                <a:ext uri="{FF2B5EF4-FFF2-40B4-BE49-F238E27FC236}">
                  <a16:creationId xmlns:a16="http://schemas.microsoft.com/office/drawing/2014/main" id="{00000000-0008-0000-0000-000020000000}"/>
                </a:ext>
              </a:extLst>
            </xdr:cNvPr>
            <xdr:cNvSpPr/>
          </xdr:nvSpPr>
          <xdr:spPr>
            <a:xfrm>
              <a:off x="5212650" y="3765713"/>
              <a:ext cx="266700" cy="285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33" name="Shape 19">
              <a:extLst>
                <a:ext uri="{FF2B5EF4-FFF2-40B4-BE49-F238E27FC236}">
                  <a16:creationId xmlns:a16="http://schemas.microsoft.com/office/drawing/2014/main" id="{00000000-0008-0000-0000-000021000000}"/>
                </a:ext>
              </a:extLst>
            </xdr:cNvPr>
            <xdr:cNvCxnSpPr/>
          </xdr:nvCxnSpPr>
          <xdr:spPr>
            <a:xfrm rot="10800000">
              <a:off x="5212650" y="3765713"/>
              <a:ext cx="266700" cy="28575"/>
            </a:xfrm>
            <a:prstGeom prst="straightConnector1">
              <a:avLst/>
            </a:prstGeom>
            <a:noFill/>
            <a:ln w="9525" cap="flat" cmpd="sng">
              <a:solidFill>
                <a:srgbClr val="7030A0"/>
              </a:solidFill>
              <a:prstDash val="solid"/>
              <a:miter lim="800000"/>
              <a:headEnd type="none" w="sm" len="sm"/>
              <a:tailEnd type="triangle" w="med" len="med"/>
            </a:ln>
          </xdr:spPr>
        </xdr:cxnSp>
      </xdr:grp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006"/>
  <sheetViews>
    <sheetView showGridLines="0" tabSelected="1" topLeftCell="A4" zoomScaleNormal="70" workbookViewId="0">
      <selection activeCell="K141" sqref="K141"/>
    </sheetView>
  </sheetViews>
  <sheetFormatPr baseColWidth="10" defaultColWidth="11.28515625" defaultRowHeight="15" customHeight="1" outlineLevelRow="1"/>
  <cols>
    <col min="1" max="1" width="4.140625" customWidth="1"/>
    <col min="2" max="2" width="2.42578125" customWidth="1"/>
    <col min="3" max="3" width="4.7109375" customWidth="1"/>
    <col min="4" max="4" width="38.42578125" customWidth="1"/>
    <col min="5" max="5" width="11.7109375" customWidth="1"/>
    <col min="6" max="6" width="12.5703125" customWidth="1"/>
    <col min="7" max="7" width="14.140625" customWidth="1"/>
    <col min="8" max="8" width="11.140625" customWidth="1"/>
    <col min="9" max="9" width="11.7109375" customWidth="1"/>
    <col min="10" max="10" width="13.140625" customWidth="1"/>
    <col min="11" max="11" width="13.5703125" customWidth="1"/>
    <col min="12" max="12" width="4.7109375" customWidth="1"/>
    <col min="13" max="13" width="33.140625" customWidth="1"/>
    <col min="14" max="18" width="10.140625" customWidth="1"/>
    <col min="19" max="19" width="17.7109375" customWidth="1"/>
    <col min="20" max="20" width="10.5703125" customWidth="1"/>
    <col min="21" max="21" width="4.42578125" customWidth="1"/>
    <col min="22" max="22" width="39.28515625" customWidth="1"/>
    <col min="23" max="32" width="10.5703125" customWidth="1"/>
    <col min="33" max="33" width="4.140625" customWidth="1"/>
    <col min="34" max="34" width="2.42578125" customWidth="1"/>
    <col min="35" max="35" width="4.7109375" customWidth="1"/>
    <col min="36" max="36" width="38.42578125" customWidth="1"/>
    <col min="37" max="42" width="11.140625" customWidth="1"/>
    <col min="43" max="43" width="12.140625" customWidth="1"/>
    <col min="44" max="44" width="54.42578125" customWidth="1"/>
    <col min="45" max="45" width="33.140625" customWidth="1"/>
    <col min="46" max="51" width="10.140625" customWidth="1"/>
    <col min="52" max="52" width="10.5703125" customWidth="1"/>
    <col min="53" max="53" width="17.7109375" customWidth="1"/>
    <col min="54" max="54" width="28.7109375" customWidth="1"/>
    <col min="55" max="62" width="10.5703125" customWidth="1"/>
  </cols>
  <sheetData>
    <row r="1" spans="1:62" ht="24.75" customHeight="1">
      <c r="A1" s="1"/>
      <c r="B1" s="2" t="s">
        <v>260</v>
      </c>
      <c r="C1" s="3"/>
      <c r="D1" s="4"/>
      <c r="E1" s="4"/>
      <c r="F1" s="4"/>
      <c r="G1" s="4"/>
      <c r="H1" s="4"/>
      <c r="I1" s="4"/>
      <c r="J1" s="4"/>
      <c r="K1" s="4"/>
      <c r="L1" s="4"/>
      <c r="M1" s="296" t="s">
        <v>261</v>
      </c>
      <c r="N1" s="4"/>
      <c r="O1" s="4"/>
      <c r="P1" s="4"/>
      <c r="Q1" s="4"/>
      <c r="R1" s="4"/>
      <c r="S1" s="4"/>
      <c r="T1" s="4"/>
      <c r="U1" s="4"/>
      <c r="V1" s="4"/>
      <c r="W1" s="4"/>
      <c r="X1" s="4"/>
      <c r="Y1" s="4"/>
      <c r="Z1" s="4"/>
      <c r="AA1" s="4"/>
      <c r="AB1" s="4"/>
      <c r="AC1" s="4"/>
      <c r="AD1" s="4"/>
      <c r="AE1" s="4"/>
      <c r="AF1" s="4"/>
      <c r="AG1" s="4"/>
      <c r="AH1" s="4"/>
      <c r="AI1" s="3"/>
      <c r="AJ1" s="5" t="s">
        <v>0</v>
      </c>
      <c r="AK1" s="4"/>
      <c r="AL1" s="4"/>
      <c r="AM1" s="4"/>
      <c r="AN1" s="4"/>
      <c r="AO1" s="4"/>
      <c r="AP1" s="4"/>
      <c r="AQ1" s="4"/>
      <c r="AR1" s="4"/>
      <c r="AS1" s="4"/>
      <c r="AT1" s="4"/>
      <c r="AU1" s="4"/>
      <c r="AV1" s="4"/>
      <c r="AW1" s="4"/>
      <c r="AX1" s="4"/>
      <c r="AY1" s="4"/>
      <c r="AZ1" s="4"/>
      <c r="BA1" s="4"/>
      <c r="BB1" s="4"/>
      <c r="BC1" s="4"/>
      <c r="BD1" s="4"/>
    </row>
    <row r="2" spans="1:62" ht="15.75" customHeight="1">
      <c r="A2" s="4"/>
      <c r="B2" s="4"/>
      <c r="C2" s="3"/>
      <c r="D2" s="4"/>
      <c r="E2" s="4"/>
      <c r="F2" s="4"/>
      <c r="G2" s="4"/>
      <c r="H2" s="4"/>
      <c r="I2" s="4"/>
      <c r="J2" s="4"/>
      <c r="K2" s="4"/>
      <c r="L2" s="4"/>
      <c r="M2" s="258"/>
      <c r="N2" s="4"/>
      <c r="O2" s="4"/>
      <c r="P2" s="4"/>
      <c r="Q2" s="4"/>
      <c r="R2" s="4"/>
      <c r="S2" s="4"/>
      <c r="T2" s="4"/>
      <c r="U2" s="4"/>
      <c r="V2" s="4"/>
      <c r="W2" s="4"/>
      <c r="X2" s="4"/>
      <c r="Y2" s="4"/>
      <c r="Z2" s="4"/>
      <c r="AA2" s="4"/>
      <c r="AB2" s="4"/>
      <c r="AC2" s="4"/>
      <c r="AD2" s="4"/>
      <c r="AE2" s="4"/>
      <c r="AF2" s="4"/>
      <c r="AG2" s="4"/>
      <c r="AH2" s="4"/>
      <c r="AI2" s="3"/>
      <c r="AJ2" s="4"/>
      <c r="AK2" s="4"/>
      <c r="AL2" s="4"/>
      <c r="AM2" s="4"/>
      <c r="AN2" s="4"/>
      <c r="AO2" s="4"/>
      <c r="AP2" s="4"/>
      <c r="AQ2" s="4"/>
      <c r="AR2" s="4"/>
      <c r="AS2" s="4"/>
      <c r="AT2" s="4"/>
      <c r="AU2" s="4"/>
      <c r="AV2" s="4"/>
      <c r="AW2" s="4"/>
      <c r="AX2" s="4"/>
      <c r="AY2" s="4"/>
      <c r="AZ2" s="4"/>
      <c r="BA2" s="4"/>
      <c r="BB2" s="4"/>
      <c r="BC2" s="4"/>
      <c r="BD2" s="4"/>
    </row>
    <row r="3" spans="1:62" ht="15.75" customHeight="1">
      <c r="A3" s="6"/>
      <c r="B3" s="7"/>
      <c r="C3" s="6"/>
      <c r="D3" s="6"/>
      <c r="E3" s="6"/>
      <c r="F3" s="7"/>
      <c r="G3" s="6"/>
      <c r="H3" s="6"/>
      <c r="I3" s="8"/>
      <c r="J3" s="6"/>
      <c r="K3" s="6"/>
      <c r="L3" s="6"/>
      <c r="M3" s="258"/>
      <c r="N3" s="6"/>
      <c r="O3" s="6"/>
      <c r="P3" s="6"/>
      <c r="Q3" s="6"/>
      <c r="R3" s="6"/>
      <c r="S3" s="6"/>
      <c r="T3" s="6"/>
      <c r="U3" s="6"/>
      <c r="V3" s="6"/>
      <c r="W3" s="6"/>
      <c r="X3" s="6"/>
      <c r="Y3" s="6"/>
      <c r="Z3" s="6"/>
      <c r="AA3" s="6"/>
      <c r="AB3" s="6"/>
      <c r="AC3" s="6"/>
      <c r="AD3" s="6"/>
      <c r="AE3" s="6"/>
      <c r="AF3" s="6"/>
      <c r="AG3" s="6"/>
      <c r="AH3" s="6"/>
      <c r="AI3" s="9"/>
      <c r="AJ3" s="10"/>
    </row>
    <row r="4" spans="1:62" ht="23.25" customHeight="1">
      <c r="A4" s="6"/>
      <c r="B4" s="7" t="s">
        <v>1</v>
      </c>
      <c r="C4" s="6"/>
      <c r="D4" s="6"/>
      <c r="E4" s="6"/>
      <c r="F4" s="7" t="s">
        <v>2</v>
      </c>
      <c r="G4" s="6"/>
      <c r="H4" s="6"/>
      <c r="I4" s="8" t="s">
        <v>3</v>
      </c>
      <c r="J4" s="6"/>
      <c r="K4" s="6"/>
      <c r="L4" s="6"/>
      <c r="M4" s="258"/>
      <c r="N4" s="6"/>
      <c r="O4" s="6"/>
      <c r="P4" s="6"/>
      <c r="Q4" s="6"/>
      <c r="R4" s="6"/>
      <c r="S4" s="6"/>
      <c r="T4" s="6"/>
      <c r="U4" s="6"/>
      <c r="V4" s="6"/>
      <c r="W4" s="6"/>
      <c r="X4" s="6"/>
      <c r="Y4" s="6"/>
      <c r="Z4" s="6"/>
      <c r="AA4" s="6"/>
      <c r="AB4" s="6"/>
      <c r="AC4" s="6"/>
      <c r="AD4" s="6"/>
      <c r="AE4" s="6"/>
      <c r="AF4" s="6"/>
      <c r="AG4" s="6"/>
      <c r="AH4" s="6"/>
      <c r="AI4" s="9"/>
      <c r="AJ4" s="10" t="s">
        <v>4</v>
      </c>
    </row>
    <row r="5" spans="1:62" ht="15.75" customHeight="1">
      <c r="A5" s="6"/>
      <c r="B5" s="7"/>
      <c r="C5" s="6"/>
      <c r="D5" s="6"/>
      <c r="E5" s="6"/>
      <c r="F5" s="7"/>
      <c r="G5" s="6"/>
      <c r="H5" s="6"/>
      <c r="I5" s="8"/>
      <c r="J5" s="6"/>
      <c r="K5" s="6"/>
      <c r="L5" s="6"/>
      <c r="M5" s="268"/>
      <c r="N5" s="6"/>
      <c r="O5" s="6"/>
      <c r="P5" s="6"/>
      <c r="Q5" s="6"/>
      <c r="R5" s="6"/>
      <c r="S5" s="6"/>
      <c r="T5" s="6"/>
      <c r="U5" s="6"/>
      <c r="V5" s="6"/>
      <c r="W5" s="6"/>
      <c r="X5" s="6"/>
      <c r="Y5" s="6"/>
      <c r="Z5" s="6"/>
      <c r="AA5" s="6"/>
      <c r="AB5" s="6"/>
      <c r="AC5" s="6"/>
      <c r="AD5" s="6"/>
      <c r="AE5" s="6"/>
      <c r="AF5" s="6"/>
      <c r="AG5" s="6"/>
      <c r="AH5" s="6"/>
      <c r="AI5" s="9"/>
      <c r="AJ5" s="10"/>
    </row>
    <row r="6" spans="1:62" ht="30.75" customHeight="1">
      <c r="B6" s="11"/>
      <c r="C6" s="12" t="s">
        <v>5</v>
      </c>
      <c r="D6" s="13"/>
      <c r="E6" s="13"/>
      <c r="F6" s="13"/>
      <c r="G6" s="13"/>
      <c r="H6" s="13"/>
      <c r="I6" s="13"/>
      <c r="J6" s="13"/>
      <c r="K6" s="13"/>
      <c r="L6" s="13"/>
      <c r="M6" s="13"/>
      <c r="N6" s="13"/>
      <c r="O6" s="13"/>
      <c r="P6" s="13"/>
      <c r="Q6" s="13"/>
      <c r="R6" s="13"/>
      <c r="S6" s="13"/>
      <c r="T6" s="13"/>
      <c r="U6" s="13"/>
      <c r="V6" s="13"/>
      <c r="W6" s="13"/>
      <c r="X6" s="13"/>
      <c r="Y6" s="13"/>
      <c r="Z6" s="13"/>
      <c r="AA6" s="13"/>
      <c r="AB6" s="13"/>
      <c r="AC6" s="13"/>
      <c r="AD6" s="14"/>
      <c r="AH6" s="15"/>
      <c r="AI6" s="297" t="s">
        <v>6</v>
      </c>
      <c r="AJ6" s="275"/>
      <c r="AK6" s="275"/>
      <c r="AL6" s="275"/>
      <c r="AM6" s="16"/>
      <c r="AN6" s="16"/>
      <c r="AO6" s="16"/>
      <c r="AP6" s="16"/>
      <c r="AQ6" s="298" t="s">
        <v>7</v>
      </c>
      <c r="AR6" s="275"/>
      <c r="AS6" s="275"/>
      <c r="AT6" s="16"/>
      <c r="AU6" s="16"/>
      <c r="AV6" s="16"/>
      <c r="AW6" s="16"/>
      <c r="AX6" s="16"/>
      <c r="AY6" s="16"/>
      <c r="AZ6" s="16"/>
      <c r="BA6" s="16"/>
      <c r="BB6" s="16"/>
      <c r="BC6" s="16"/>
      <c r="BD6" s="16"/>
      <c r="BE6" s="16"/>
      <c r="BF6" s="16"/>
      <c r="BG6" s="16"/>
      <c r="BH6" s="16"/>
      <c r="BI6" s="16"/>
      <c r="BJ6" s="17"/>
    </row>
    <row r="7" spans="1:62" ht="15.75" customHeight="1">
      <c r="B7" s="18"/>
      <c r="C7" s="9"/>
      <c r="D7" s="6"/>
      <c r="E7" s="6"/>
      <c r="F7" s="6"/>
      <c r="G7" s="6"/>
      <c r="H7" s="6"/>
      <c r="I7" s="6"/>
      <c r="J7" s="6"/>
      <c r="K7" s="6"/>
      <c r="L7" s="6"/>
      <c r="M7" s="6"/>
      <c r="N7" s="6"/>
      <c r="O7" s="6"/>
      <c r="P7" s="6"/>
      <c r="Q7" s="6"/>
      <c r="R7" s="6"/>
      <c r="S7" s="6"/>
      <c r="T7" s="6"/>
      <c r="U7" s="6"/>
      <c r="V7" s="6"/>
      <c r="W7" s="6"/>
      <c r="X7" s="6"/>
      <c r="Y7" s="6"/>
      <c r="Z7" s="6"/>
      <c r="AA7" s="6"/>
      <c r="AB7" s="6"/>
      <c r="AC7" s="6"/>
      <c r="AD7" s="19"/>
      <c r="AH7" s="20"/>
      <c r="AI7" s="258"/>
      <c r="AJ7" s="258"/>
      <c r="AK7" s="258"/>
      <c r="AL7" s="258"/>
      <c r="AM7" s="21" t="s">
        <v>8</v>
      </c>
      <c r="AN7" s="6"/>
      <c r="AO7" s="6"/>
      <c r="AP7" s="6"/>
      <c r="AQ7" s="258"/>
      <c r="AR7" s="258"/>
      <c r="AS7" s="258"/>
      <c r="AT7" s="22" t="s">
        <v>9</v>
      </c>
      <c r="AU7" s="6"/>
      <c r="AV7" s="6"/>
      <c r="AW7" s="299" t="s">
        <v>10</v>
      </c>
      <c r="AX7" s="258"/>
      <c r="AY7" s="258"/>
      <c r="AZ7" s="258"/>
      <c r="BA7" s="258"/>
      <c r="BB7" s="6"/>
      <c r="BC7" s="6"/>
      <c r="BD7" s="22" t="s">
        <v>11</v>
      </c>
      <c r="BE7" s="6"/>
      <c r="BF7" s="6"/>
      <c r="BG7" s="6"/>
      <c r="BH7" s="6"/>
      <c r="BI7" s="6"/>
      <c r="BJ7" s="24"/>
    </row>
    <row r="8" spans="1:62" ht="18">
      <c r="B8" s="18"/>
      <c r="C8" s="22" t="s">
        <v>12</v>
      </c>
      <c r="D8" s="25" t="s">
        <v>13</v>
      </c>
      <c r="E8" s="6"/>
      <c r="F8" s="6"/>
      <c r="G8" s="6"/>
      <c r="H8" s="6"/>
      <c r="I8" s="6"/>
      <c r="J8" s="6"/>
      <c r="K8" s="6"/>
      <c r="L8" s="22" t="s">
        <v>14</v>
      </c>
      <c r="M8" s="25" t="s">
        <v>15</v>
      </c>
      <c r="N8" s="6"/>
      <c r="O8" s="6"/>
      <c r="P8" s="6"/>
      <c r="Q8" s="6"/>
      <c r="R8" s="6"/>
      <c r="S8" s="6"/>
      <c r="T8" s="6"/>
      <c r="U8" s="22" t="s">
        <v>16</v>
      </c>
      <c r="V8" s="25" t="s">
        <v>17</v>
      </c>
      <c r="W8" s="6"/>
      <c r="X8" s="6"/>
      <c r="Y8" s="6"/>
      <c r="Z8" s="6"/>
      <c r="AA8" s="6"/>
      <c r="AB8" s="6"/>
      <c r="AC8" s="6"/>
      <c r="AD8" s="19"/>
      <c r="AH8" s="26" t="s">
        <v>18</v>
      </c>
      <c r="AI8" s="9"/>
      <c r="AJ8" s="27" t="s">
        <v>13</v>
      </c>
      <c r="AK8" s="28"/>
      <c r="AL8" s="28"/>
      <c r="AM8" s="6"/>
      <c r="AN8" s="6"/>
      <c r="AO8" s="6"/>
      <c r="AP8" s="6"/>
      <c r="AQ8" s="6"/>
      <c r="AR8" s="300" t="s">
        <v>19</v>
      </c>
      <c r="AS8" s="27" t="s">
        <v>20</v>
      </c>
      <c r="AT8" s="28"/>
      <c r="AU8" s="28"/>
      <c r="AV8" s="28"/>
      <c r="AW8" s="258"/>
      <c r="AX8" s="258"/>
      <c r="AY8" s="258"/>
      <c r="AZ8" s="258"/>
      <c r="BA8" s="258"/>
      <c r="BB8" s="25" t="s">
        <v>21</v>
      </c>
      <c r="BC8" s="6"/>
      <c r="BD8" s="6"/>
      <c r="BE8" s="6"/>
      <c r="BF8" s="6"/>
      <c r="BG8" s="6"/>
      <c r="BH8" s="6"/>
      <c r="BI8" s="6"/>
      <c r="BJ8" s="24"/>
    </row>
    <row r="9" spans="1:62" ht="15.75" customHeight="1">
      <c r="B9" s="18"/>
      <c r="C9" s="9"/>
      <c r="D9" s="29"/>
      <c r="E9" s="30" t="s">
        <v>22</v>
      </c>
      <c r="F9" s="30" t="s">
        <v>23</v>
      </c>
      <c r="G9" s="30" t="s">
        <v>24</v>
      </c>
      <c r="H9" s="30" t="s">
        <v>25</v>
      </c>
      <c r="I9" s="30" t="s">
        <v>26</v>
      </c>
      <c r="J9" s="30" t="s">
        <v>27</v>
      </c>
      <c r="K9" s="25"/>
      <c r="L9" s="6"/>
      <c r="M9" s="29"/>
      <c r="N9" s="30" t="s">
        <v>22</v>
      </c>
      <c r="O9" s="30" t="s">
        <v>23</v>
      </c>
      <c r="P9" s="30" t="s">
        <v>24</v>
      </c>
      <c r="Q9" s="30" t="s">
        <v>25</v>
      </c>
      <c r="R9" s="30" t="s">
        <v>26</v>
      </c>
      <c r="S9" s="25" t="s">
        <v>27</v>
      </c>
      <c r="T9" s="25"/>
      <c r="U9" s="6"/>
      <c r="V9" s="29"/>
      <c r="W9" s="30" t="s">
        <v>22</v>
      </c>
      <c r="X9" s="30" t="s">
        <v>23</v>
      </c>
      <c r="Y9" s="30" t="s">
        <v>24</v>
      </c>
      <c r="Z9" s="30" t="s">
        <v>25</v>
      </c>
      <c r="AA9" s="30" t="s">
        <v>26</v>
      </c>
      <c r="AB9" s="25" t="s">
        <v>27</v>
      </c>
      <c r="AC9" s="25"/>
      <c r="AD9" s="19"/>
      <c r="AH9" s="20"/>
      <c r="AI9" s="9"/>
      <c r="AJ9" s="29"/>
      <c r="AK9" s="30" t="s">
        <v>22</v>
      </c>
      <c r="AL9" s="30" t="s">
        <v>23</v>
      </c>
      <c r="AM9" s="30" t="s">
        <v>24</v>
      </c>
      <c r="AN9" s="30" t="s">
        <v>25</v>
      </c>
      <c r="AO9" s="30" t="s">
        <v>26</v>
      </c>
      <c r="AP9" s="30" t="s">
        <v>27</v>
      </c>
      <c r="AQ9" s="25"/>
      <c r="AR9" s="258"/>
      <c r="AS9" s="29"/>
      <c r="AT9" s="30" t="s">
        <v>22</v>
      </c>
      <c r="AU9" s="30" t="s">
        <v>23</v>
      </c>
      <c r="AV9" s="30" t="s">
        <v>24</v>
      </c>
      <c r="AW9" s="30" t="s">
        <v>25</v>
      </c>
      <c r="AX9" s="30" t="s">
        <v>26</v>
      </c>
      <c r="AY9" s="25" t="s">
        <v>27</v>
      </c>
      <c r="AZ9" s="25"/>
      <c r="BA9" s="6"/>
      <c r="BB9" s="29"/>
      <c r="BC9" s="30" t="s">
        <v>22</v>
      </c>
      <c r="BD9" s="30" t="s">
        <v>23</v>
      </c>
      <c r="BE9" s="30" t="s">
        <v>24</v>
      </c>
      <c r="BF9" s="30" t="s">
        <v>25</v>
      </c>
      <c r="BG9" s="30" t="s">
        <v>26</v>
      </c>
      <c r="BH9" s="25" t="s">
        <v>27</v>
      </c>
      <c r="BI9" s="25"/>
      <c r="BJ9" s="24"/>
    </row>
    <row r="10" spans="1:62" ht="15.75" customHeight="1" outlineLevel="1">
      <c r="B10" s="18"/>
      <c r="C10" s="9">
        <v>1</v>
      </c>
      <c r="D10" s="31" t="s">
        <v>28</v>
      </c>
      <c r="E10" s="32">
        <f>(N10*$N$24)+($N$23*W10)</f>
        <v>3468</v>
      </c>
      <c r="F10" s="32">
        <f t="shared" ref="F10:I10" si="0">(O10*$N$24)+($N$23*X10)</f>
        <v>0</v>
      </c>
      <c r="G10" s="32">
        <f t="shared" si="0"/>
        <v>0</v>
      </c>
      <c r="H10" s="32">
        <f t="shared" si="0"/>
        <v>0</v>
      </c>
      <c r="I10" s="32">
        <f t="shared" si="0"/>
        <v>0</v>
      </c>
      <c r="J10" s="32">
        <f t="shared" ref="J10:J17" si="1">SUM(E10:I10)</f>
        <v>3468</v>
      </c>
      <c r="K10" s="33">
        <f t="shared" ref="K10:K17" si="2">J10/$J$18</f>
        <v>0.11498292496933125</v>
      </c>
      <c r="L10" s="34">
        <v>1</v>
      </c>
      <c r="M10" s="31" t="s">
        <v>28</v>
      </c>
      <c r="N10" s="32">
        <v>4</v>
      </c>
      <c r="O10" s="32">
        <v>0</v>
      </c>
      <c r="P10" s="32">
        <v>0</v>
      </c>
      <c r="Q10" s="32">
        <v>0</v>
      </c>
      <c r="R10" s="32">
        <v>0</v>
      </c>
      <c r="S10" s="32">
        <f t="shared" ref="S10:S17" si="3">SUM(N10:R10)</f>
        <v>4</v>
      </c>
      <c r="T10" s="33">
        <f t="shared" ref="T10:T17" si="4">S10/$S$18</f>
        <v>0.12121212121212122</v>
      </c>
      <c r="U10" s="34">
        <v>1</v>
      </c>
      <c r="V10" s="31" t="s">
        <v>28</v>
      </c>
      <c r="W10" s="32">
        <v>9</v>
      </c>
      <c r="X10" s="32">
        <v>0</v>
      </c>
      <c r="Y10" s="32">
        <v>0</v>
      </c>
      <c r="Z10" s="32">
        <v>0</v>
      </c>
      <c r="AA10" s="32">
        <v>0</v>
      </c>
      <c r="AB10" s="32">
        <f t="shared" ref="AB10:AB17" si="5">SUM(W10:AA10)</f>
        <v>9</v>
      </c>
      <c r="AC10" s="33">
        <f t="shared" ref="AC10:AC17" si="6">+AB10/$AB$18</f>
        <v>0.10975609756097561</v>
      </c>
      <c r="AD10" s="19"/>
      <c r="AH10" s="20"/>
      <c r="AI10" s="9">
        <v>1</v>
      </c>
      <c r="AJ10" s="35" t="s">
        <v>29</v>
      </c>
      <c r="AK10" s="36">
        <f t="shared" ref="AK10:AK11" si="7">(+AT10*$BC$24)+(BC10*$BC$23)</f>
        <v>16666.666666666668</v>
      </c>
      <c r="AL10" s="260" t="s">
        <v>30</v>
      </c>
      <c r="AM10" s="261"/>
      <c r="AN10" s="261"/>
      <c r="AO10" s="288"/>
      <c r="AP10" s="37">
        <f t="shared" ref="AP10:AP14" si="8">SUM(AK10:AO10)</f>
        <v>16666.666666666668</v>
      </c>
      <c r="AQ10" s="38">
        <f t="shared" ref="AQ10:AQ14" si="9">+AP10/$AP$18</f>
        <v>8.7834870443566082E-2</v>
      </c>
      <c r="AR10" s="258"/>
      <c r="AS10" s="39">
        <f t="shared" ref="AS10:AS14" si="10">+AI10</f>
        <v>1</v>
      </c>
      <c r="AT10" s="32">
        <f>8*5</f>
        <v>40</v>
      </c>
      <c r="AU10" s="32"/>
      <c r="AV10" s="32"/>
      <c r="AW10" s="32"/>
      <c r="AX10" s="32"/>
      <c r="AY10" s="32">
        <f t="shared" ref="AY10:AY14" si="11">SUM(AT10:AX10)</f>
        <v>40</v>
      </c>
      <c r="AZ10" s="33">
        <f t="shared" ref="AZ10:AZ14" si="12">+AY10/$S$18</f>
        <v>1.2121212121212122</v>
      </c>
      <c r="BA10" s="6"/>
      <c r="BB10" s="39">
        <f t="shared" ref="BB10:BB14" si="13">+AS10</f>
        <v>1</v>
      </c>
      <c r="BC10" s="32"/>
      <c r="BD10" s="32"/>
      <c r="BE10" s="32"/>
      <c r="BF10" s="32"/>
      <c r="BG10" s="32"/>
      <c r="BH10" s="32">
        <f t="shared" ref="BH10:BH14" si="14">SUM(BC10:BG10)</f>
        <v>0</v>
      </c>
      <c r="BI10" s="33">
        <f t="shared" ref="BI10:BI14" si="15">+BH10/$AB$18</f>
        <v>0</v>
      </c>
      <c r="BJ10" s="24"/>
    </row>
    <row r="11" spans="1:62" ht="15.75" customHeight="1" outlineLevel="1">
      <c r="B11" s="18"/>
      <c r="C11" s="9">
        <f t="shared" ref="C11:C14" si="16">+C10+1</f>
        <v>2</v>
      </c>
      <c r="D11" s="31" t="s">
        <v>31</v>
      </c>
      <c r="E11" s="32">
        <f t="shared" ref="E11:I11" si="17">(N11*$N$24)+($N$23*W11)</f>
        <v>2834</v>
      </c>
      <c r="F11" s="32">
        <f t="shared" si="17"/>
        <v>0</v>
      </c>
      <c r="G11" s="32">
        <f t="shared" si="17"/>
        <v>0</v>
      </c>
      <c r="H11" s="32">
        <f t="shared" si="17"/>
        <v>0</v>
      </c>
      <c r="I11" s="32">
        <f t="shared" si="17"/>
        <v>0</v>
      </c>
      <c r="J11" s="32">
        <f t="shared" si="1"/>
        <v>2834</v>
      </c>
      <c r="K11" s="33">
        <f t="shared" si="2"/>
        <v>9.3962401777129403E-2</v>
      </c>
      <c r="L11" s="9">
        <f t="shared" ref="L11:L14" si="18">+L10+1</f>
        <v>2</v>
      </c>
      <c r="M11" s="31" t="s">
        <v>31</v>
      </c>
      <c r="N11" s="32">
        <v>2</v>
      </c>
      <c r="O11" s="32">
        <v>0</v>
      </c>
      <c r="P11" s="32">
        <v>0</v>
      </c>
      <c r="Q11" s="32">
        <v>0</v>
      </c>
      <c r="R11" s="32">
        <v>0</v>
      </c>
      <c r="S11" s="32">
        <f t="shared" si="3"/>
        <v>2</v>
      </c>
      <c r="T11" s="33">
        <f t="shared" si="4"/>
        <v>6.0606060606060608E-2</v>
      </c>
      <c r="U11" s="9">
        <f t="shared" ref="U11:U14" si="19">+U10+1</f>
        <v>2</v>
      </c>
      <c r="V11" s="31" t="s">
        <v>31</v>
      </c>
      <c r="W11" s="32">
        <v>10</v>
      </c>
      <c r="X11" s="32">
        <v>0</v>
      </c>
      <c r="Y11" s="32">
        <v>0</v>
      </c>
      <c r="Z11" s="32">
        <v>0</v>
      </c>
      <c r="AA11" s="32">
        <v>0</v>
      </c>
      <c r="AB11" s="32">
        <f t="shared" si="5"/>
        <v>10</v>
      </c>
      <c r="AC11" s="33">
        <f t="shared" si="6"/>
        <v>0.12195121951219512</v>
      </c>
      <c r="AD11" s="19"/>
      <c r="AH11" s="20"/>
      <c r="AI11" s="9">
        <f t="shared" ref="AI11:AI14" si="20">+AI10+1</f>
        <v>2</v>
      </c>
      <c r="AJ11" s="35" t="s">
        <v>32</v>
      </c>
      <c r="AK11" s="32">
        <f t="shared" si="7"/>
        <v>33333.333333333336</v>
      </c>
      <c r="AL11" s="262"/>
      <c r="AM11" s="263"/>
      <c r="AN11" s="263"/>
      <c r="AO11" s="289"/>
      <c r="AP11" s="40">
        <f t="shared" si="8"/>
        <v>33333.333333333336</v>
      </c>
      <c r="AQ11" s="33">
        <f t="shared" si="9"/>
        <v>0.17566974088713216</v>
      </c>
      <c r="AR11" s="258"/>
      <c r="AS11" s="39">
        <f t="shared" si="10"/>
        <v>2</v>
      </c>
      <c r="AT11" s="32">
        <f>8*5*2</f>
        <v>80</v>
      </c>
      <c r="AU11" s="32"/>
      <c r="AV11" s="32"/>
      <c r="AW11" s="32"/>
      <c r="AX11" s="32"/>
      <c r="AY11" s="32">
        <f t="shared" si="11"/>
        <v>80</v>
      </c>
      <c r="AZ11" s="33">
        <f t="shared" si="12"/>
        <v>2.4242424242424243</v>
      </c>
      <c r="BA11" s="6"/>
      <c r="BB11" s="39">
        <f t="shared" si="13"/>
        <v>2</v>
      </c>
      <c r="BC11" s="32"/>
      <c r="BD11" s="32"/>
      <c r="BE11" s="32"/>
      <c r="BF11" s="32"/>
      <c r="BG11" s="32"/>
      <c r="BH11" s="32">
        <f t="shared" si="14"/>
        <v>0</v>
      </c>
      <c r="BI11" s="33">
        <f t="shared" si="15"/>
        <v>0</v>
      </c>
      <c r="BJ11" s="24"/>
    </row>
    <row r="12" spans="1:62" ht="15.75" customHeight="1" outlineLevel="1">
      <c r="B12" s="18"/>
      <c r="C12" s="9">
        <f t="shared" si="16"/>
        <v>3</v>
      </c>
      <c r="D12" s="31" t="s">
        <v>33</v>
      </c>
      <c r="E12" s="32">
        <f t="shared" ref="E12:I12" si="21">(N12*$N$24)+($N$23*W12)</f>
        <v>0</v>
      </c>
      <c r="F12" s="32">
        <f t="shared" si="21"/>
        <v>5668</v>
      </c>
      <c r="G12" s="32">
        <f t="shared" si="21"/>
        <v>5034</v>
      </c>
      <c r="H12" s="32">
        <f t="shared" si="21"/>
        <v>0</v>
      </c>
      <c r="I12" s="32">
        <f t="shared" si="21"/>
        <v>0</v>
      </c>
      <c r="J12" s="32">
        <f t="shared" si="1"/>
        <v>10702</v>
      </c>
      <c r="K12" s="33">
        <f t="shared" si="2"/>
        <v>0.35482908391631579</v>
      </c>
      <c r="L12" s="9">
        <f t="shared" si="18"/>
        <v>3</v>
      </c>
      <c r="M12" s="31" t="s">
        <v>33</v>
      </c>
      <c r="N12" s="32">
        <v>0</v>
      </c>
      <c r="O12" s="32">
        <v>4</v>
      </c>
      <c r="P12" s="32">
        <v>2</v>
      </c>
      <c r="Q12" s="32">
        <v>0</v>
      </c>
      <c r="R12" s="32">
        <v>0</v>
      </c>
      <c r="S12" s="32">
        <f t="shared" si="3"/>
        <v>6</v>
      </c>
      <c r="T12" s="33">
        <f t="shared" si="4"/>
        <v>0.18181818181818182</v>
      </c>
      <c r="U12" s="9">
        <f t="shared" si="19"/>
        <v>3</v>
      </c>
      <c r="V12" s="31" t="s">
        <v>33</v>
      </c>
      <c r="W12" s="32">
        <v>0</v>
      </c>
      <c r="X12" s="32">
        <v>20</v>
      </c>
      <c r="Y12" s="32">
        <v>21</v>
      </c>
      <c r="Z12" s="32">
        <v>0</v>
      </c>
      <c r="AA12" s="32">
        <v>0</v>
      </c>
      <c r="AB12" s="32">
        <f t="shared" si="5"/>
        <v>41</v>
      </c>
      <c r="AC12" s="33">
        <f t="shared" si="6"/>
        <v>0.5</v>
      </c>
      <c r="AD12" s="19"/>
      <c r="AH12" s="20"/>
      <c r="AI12" s="9">
        <f t="shared" si="20"/>
        <v>3</v>
      </c>
      <c r="AJ12" s="35" t="s">
        <v>33</v>
      </c>
      <c r="AK12" s="32">
        <f t="shared" ref="AK12:AK14" si="22">(+AT12*$W$24)+(BC12*$W$23)</f>
        <v>0</v>
      </c>
      <c r="AL12" s="32">
        <f t="shared" ref="AL12:AN12" si="23">(+AU12*$BC$24)+(BD12*$BC$23)</f>
        <v>32333.333333333336</v>
      </c>
      <c r="AM12" s="32">
        <f t="shared" si="23"/>
        <v>32333.333333333336</v>
      </c>
      <c r="AN12" s="32">
        <f t="shared" si="23"/>
        <v>36500</v>
      </c>
      <c r="AO12" s="32">
        <f>(+AX12*$W$24)+(BG12*$W$23)</f>
        <v>0</v>
      </c>
      <c r="AP12" s="32">
        <f t="shared" si="8"/>
        <v>101166.66666666667</v>
      </c>
      <c r="AQ12" s="33">
        <f t="shared" si="9"/>
        <v>0.5331576635924461</v>
      </c>
      <c r="AR12" s="258"/>
      <c r="AS12" s="39">
        <f t="shared" si="10"/>
        <v>3</v>
      </c>
      <c r="AT12" s="32"/>
      <c r="AU12" s="32">
        <f t="shared" ref="AU12:AV12" si="24">4*5</f>
        <v>20</v>
      </c>
      <c r="AV12" s="32">
        <f t="shared" si="24"/>
        <v>20</v>
      </c>
      <c r="AW12" s="32">
        <f>5*6</f>
        <v>30</v>
      </c>
      <c r="AX12" s="32"/>
      <c r="AY12" s="32">
        <f t="shared" si="11"/>
        <v>70</v>
      </c>
      <c r="AZ12" s="33">
        <f t="shared" si="12"/>
        <v>2.1212121212121211</v>
      </c>
      <c r="BA12" s="6"/>
      <c r="BB12" s="39">
        <f t="shared" si="13"/>
        <v>3</v>
      </c>
      <c r="BC12" s="32"/>
      <c r="BD12" s="32">
        <f t="shared" ref="BD12:BF12" si="25">3*8*5</f>
        <v>120</v>
      </c>
      <c r="BE12" s="32">
        <f t="shared" si="25"/>
        <v>120</v>
      </c>
      <c r="BF12" s="32">
        <f t="shared" si="25"/>
        <v>120</v>
      </c>
      <c r="BG12" s="32"/>
      <c r="BH12" s="32">
        <f t="shared" si="14"/>
        <v>360</v>
      </c>
      <c r="BI12" s="33">
        <f t="shared" si="15"/>
        <v>4.3902439024390247</v>
      </c>
      <c r="BJ12" s="24"/>
    </row>
    <row r="13" spans="1:62" ht="15.75" customHeight="1" outlineLevel="1">
      <c r="B13" s="18"/>
      <c r="C13" s="9">
        <f t="shared" si="16"/>
        <v>4</v>
      </c>
      <c r="D13" s="6" t="s">
        <v>262</v>
      </c>
      <c r="E13" s="32">
        <f t="shared" ref="E13:I13" si="26">(N13*$N$24)+($N$23*W13)</f>
        <v>0</v>
      </c>
      <c r="F13" s="32">
        <f t="shared" si="26"/>
        <v>3485</v>
      </c>
      <c r="G13" s="32">
        <f t="shared" si="26"/>
        <v>2651</v>
      </c>
      <c r="H13" s="32">
        <f t="shared" si="26"/>
        <v>0</v>
      </c>
      <c r="I13" s="32">
        <f t="shared" si="26"/>
        <v>0</v>
      </c>
      <c r="J13" s="32">
        <f t="shared" si="1"/>
        <v>6136</v>
      </c>
      <c r="K13" s="33">
        <f t="shared" si="2"/>
        <v>0.20344153045323432</v>
      </c>
      <c r="L13" s="9">
        <f t="shared" si="18"/>
        <v>4</v>
      </c>
      <c r="M13" s="6" t="s">
        <v>262</v>
      </c>
      <c r="N13" s="32">
        <v>0</v>
      </c>
      <c r="O13" s="32">
        <v>5</v>
      </c>
      <c r="P13" s="32">
        <v>3</v>
      </c>
      <c r="Q13" s="32">
        <v>0</v>
      </c>
      <c r="R13" s="32">
        <v>0</v>
      </c>
      <c r="S13" s="32">
        <f t="shared" si="3"/>
        <v>8</v>
      </c>
      <c r="T13" s="33">
        <f t="shared" si="4"/>
        <v>0.24242424242424243</v>
      </c>
      <c r="U13" s="9">
        <f t="shared" si="19"/>
        <v>4</v>
      </c>
      <c r="V13" s="6" t="s">
        <v>262</v>
      </c>
      <c r="W13" s="32">
        <v>0</v>
      </c>
      <c r="X13" s="32">
        <v>7</v>
      </c>
      <c r="Y13" s="32">
        <v>7</v>
      </c>
      <c r="Z13" s="32">
        <v>0</v>
      </c>
      <c r="AA13" s="32">
        <v>0</v>
      </c>
      <c r="AB13" s="32">
        <f t="shared" si="5"/>
        <v>14</v>
      </c>
      <c r="AC13" s="33">
        <f t="shared" si="6"/>
        <v>0.17073170731707318</v>
      </c>
      <c r="AD13" s="19"/>
      <c r="AH13" s="20"/>
      <c r="AI13" s="9">
        <f t="shared" si="20"/>
        <v>4</v>
      </c>
      <c r="AJ13" s="35" t="s">
        <v>35</v>
      </c>
      <c r="AK13" s="32">
        <f t="shared" si="22"/>
        <v>0</v>
      </c>
      <c r="AL13" s="32">
        <f t="shared" ref="AL13:AN13" si="27">(+AU13*$W$24)+(BD13*$W$23)</f>
        <v>0</v>
      </c>
      <c r="AM13" s="32">
        <f t="shared" si="27"/>
        <v>0</v>
      </c>
      <c r="AN13" s="32">
        <f t="shared" si="27"/>
        <v>0</v>
      </c>
      <c r="AO13" s="32">
        <f t="shared" ref="AO13:AO14" si="28">(+AX13*$BC$24)+(BG13*$BC$23)</f>
        <v>24333.333333333336</v>
      </c>
      <c r="AP13" s="32">
        <f t="shared" si="8"/>
        <v>24333.333333333336</v>
      </c>
      <c r="AQ13" s="33">
        <f t="shared" si="9"/>
        <v>0.1282389108476065</v>
      </c>
      <c r="AR13" s="258"/>
      <c r="AS13" s="39">
        <f t="shared" si="10"/>
        <v>4</v>
      </c>
      <c r="AT13" s="32"/>
      <c r="AU13" s="32"/>
      <c r="AV13" s="32"/>
      <c r="AW13" s="32"/>
      <c r="AX13" s="32">
        <f>5*4</f>
        <v>20</v>
      </c>
      <c r="AY13" s="32">
        <f t="shared" si="11"/>
        <v>20</v>
      </c>
      <c r="AZ13" s="33">
        <f t="shared" si="12"/>
        <v>0.60606060606060608</v>
      </c>
      <c r="BA13" s="6"/>
      <c r="BB13" s="39">
        <f t="shared" si="13"/>
        <v>4</v>
      </c>
      <c r="BC13" s="32"/>
      <c r="BD13" s="32"/>
      <c r="BE13" s="32"/>
      <c r="BF13" s="32"/>
      <c r="BG13" s="32">
        <f>2*8*5</f>
        <v>80</v>
      </c>
      <c r="BH13" s="32">
        <f t="shared" si="14"/>
        <v>80</v>
      </c>
      <c r="BI13" s="33">
        <f t="shared" si="15"/>
        <v>0.97560975609756095</v>
      </c>
      <c r="BJ13" s="24"/>
    </row>
    <row r="14" spans="1:62" ht="15.75" customHeight="1" outlineLevel="1">
      <c r="B14" s="18"/>
      <c r="C14" s="9">
        <f t="shared" si="16"/>
        <v>5</v>
      </c>
      <c r="D14" s="31" t="s">
        <v>36</v>
      </c>
      <c r="E14" s="32">
        <f t="shared" ref="E14:I14" si="29">(N14*$N$24)+($N$23*W14)</f>
        <v>0</v>
      </c>
      <c r="F14" s="32">
        <f t="shared" si="29"/>
        <v>0</v>
      </c>
      <c r="G14" s="32">
        <f t="shared" si="29"/>
        <v>3102</v>
      </c>
      <c r="H14" s="32">
        <f t="shared" si="29"/>
        <v>0</v>
      </c>
      <c r="I14" s="32">
        <f t="shared" si="29"/>
        <v>0</v>
      </c>
      <c r="J14" s="32">
        <f t="shared" si="1"/>
        <v>3102</v>
      </c>
      <c r="K14" s="33">
        <f t="shared" si="2"/>
        <v>0.10284804880474785</v>
      </c>
      <c r="L14" s="9">
        <f t="shared" si="18"/>
        <v>5</v>
      </c>
      <c r="M14" s="31" t="s">
        <v>36</v>
      </c>
      <c r="N14" s="32">
        <v>0</v>
      </c>
      <c r="O14" s="32">
        <v>0</v>
      </c>
      <c r="P14" s="32">
        <v>6</v>
      </c>
      <c r="Q14" s="32">
        <v>0</v>
      </c>
      <c r="R14" s="32">
        <v>0</v>
      </c>
      <c r="S14" s="32">
        <f t="shared" si="3"/>
        <v>6</v>
      </c>
      <c r="T14" s="33">
        <f t="shared" si="4"/>
        <v>0.18181818181818182</v>
      </c>
      <c r="U14" s="9">
        <f t="shared" si="19"/>
        <v>5</v>
      </c>
      <c r="V14" s="31" t="s">
        <v>36</v>
      </c>
      <c r="W14" s="32">
        <v>0</v>
      </c>
      <c r="X14" s="32">
        <v>0</v>
      </c>
      <c r="Y14" s="32">
        <v>3</v>
      </c>
      <c r="Z14" s="32">
        <v>0</v>
      </c>
      <c r="AA14" s="32">
        <v>0</v>
      </c>
      <c r="AB14" s="32">
        <f t="shared" si="5"/>
        <v>3</v>
      </c>
      <c r="AC14" s="33">
        <f t="shared" si="6"/>
        <v>3.6585365853658534E-2</v>
      </c>
      <c r="AD14" s="19"/>
      <c r="AH14" s="20"/>
      <c r="AI14" s="9">
        <f t="shared" si="20"/>
        <v>5</v>
      </c>
      <c r="AJ14" s="35" t="s">
        <v>37</v>
      </c>
      <c r="AK14" s="42">
        <f t="shared" si="22"/>
        <v>0</v>
      </c>
      <c r="AL14" s="42">
        <f t="shared" ref="AL14:AN14" si="30">(+AU14*$W$24)+(BD14*$W$23)</f>
        <v>0</v>
      </c>
      <c r="AM14" s="42">
        <f t="shared" si="30"/>
        <v>0</v>
      </c>
      <c r="AN14" s="42">
        <f t="shared" si="30"/>
        <v>0</v>
      </c>
      <c r="AO14" s="42">
        <f t="shared" si="28"/>
        <v>14250</v>
      </c>
      <c r="AP14" s="42">
        <f t="shared" si="8"/>
        <v>14250</v>
      </c>
      <c r="AQ14" s="33">
        <f t="shared" si="9"/>
        <v>7.5098814229248995E-2</v>
      </c>
      <c r="AR14" s="258"/>
      <c r="AS14" s="39">
        <f t="shared" si="10"/>
        <v>5</v>
      </c>
      <c r="AT14" s="42"/>
      <c r="AU14" s="42"/>
      <c r="AV14" s="42"/>
      <c r="AW14" s="42"/>
      <c r="AX14" s="42">
        <f>3*5</f>
        <v>15</v>
      </c>
      <c r="AY14" s="42">
        <f t="shared" si="11"/>
        <v>15</v>
      </c>
      <c r="AZ14" s="33">
        <f t="shared" si="12"/>
        <v>0.45454545454545453</v>
      </c>
      <c r="BA14" s="6"/>
      <c r="BB14" s="39">
        <f t="shared" si="13"/>
        <v>5</v>
      </c>
      <c r="BC14" s="42"/>
      <c r="BD14" s="42"/>
      <c r="BE14" s="42"/>
      <c r="BF14" s="42"/>
      <c r="BG14" s="42">
        <f>1*8*5</f>
        <v>40</v>
      </c>
      <c r="BH14" s="42">
        <f t="shared" si="14"/>
        <v>40</v>
      </c>
      <c r="BI14" s="33">
        <f t="shared" si="15"/>
        <v>0.48780487804878048</v>
      </c>
      <c r="BJ14" s="24"/>
    </row>
    <row r="15" spans="1:62" ht="15.75" customHeight="1" outlineLevel="1">
      <c r="B15" s="18"/>
      <c r="C15" s="34">
        <v>6</v>
      </c>
      <c r="D15" s="31" t="s">
        <v>38</v>
      </c>
      <c r="E15" s="32">
        <f t="shared" ref="E15:I15" si="31">(N15*$N$24)+($N$23*W15)</f>
        <v>0</v>
      </c>
      <c r="F15" s="32">
        <f t="shared" si="31"/>
        <v>0</v>
      </c>
      <c r="G15" s="32">
        <f t="shared" si="31"/>
        <v>2068</v>
      </c>
      <c r="H15" s="32">
        <f t="shared" si="31"/>
        <v>0</v>
      </c>
      <c r="I15" s="32">
        <f t="shared" si="31"/>
        <v>0</v>
      </c>
      <c r="J15" s="32">
        <f t="shared" si="1"/>
        <v>2068</v>
      </c>
      <c r="K15" s="33">
        <f t="shared" si="2"/>
        <v>6.8565365869831904E-2</v>
      </c>
      <c r="L15" s="34">
        <v>6</v>
      </c>
      <c r="M15" s="31" t="s">
        <v>38</v>
      </c>
      <c r="N15" s="32">
        <v>0</v>
      </c>
      <c r="O15" s="32">
        <v>0</v>
      </c>
      <c r="P15" s="32">
        <v>4</v>
      </c>
      <c r="Q15" s="32">
        <v>0</v>
      </c>
      <c r="R15" s="32">
        <v>0</v>
      </c>
      <c r="S15" s="32">
        <f t="shared" si="3"/>
        <v>4</v>
      </c>
      <c r="T15" s="33">
        <f t="shared" si="4"/>
        <v>0.12121212121212122</v>
      </c>
      <c r="U15" s="34">
        <v>6</v>
      </c>
      <c r="V15" s="31" t="s">
        <v>38</v>
      </c>
      <c r="W15" s="32">
        <v>0</v>
      </c>
      <c r="X15" s="32">
        <v>0</v>
      </c>
      <c r="Y15" s="32">
        <v>2</v>
      </c>
      <c r="Z15" s="32">
        <v>0</v>
      </c>
      <c r="AA15" s="32">
        <v>0</v>
      </c>
      <c r="AB15" s="32">
        <f t="shared" si="5"/>
        <v>2</v>
      </c>
      <c r="AC15" s="33">
        <f t="shared" si="6"/>
        <v>2.4390243902439025E-2</v>
      </c>
      <c r="AD15" s="19"/>
      <c r="AH15" s="20"/>
      <c r="AI15" s="9"/>
      <c r="AJ15" s="35"/>
      <c r="AK15" s="43"/>
      <c r="AL15" s="44"/>
      <c r="AM15" s="44"/>
      <c r="AN15" s="44"/>
      <c r="AO15" s="44"/>
      <c r="AP15" s="45"/>
      <c r="AQ15" s="33"/>
      <c r="AR15" s="258"/>
      <c r="AS15" s="39"/>
      <c r="AT15" s="43"/>
      <c r="AU15" s="44"/>
      <c r="AV15" s="44"/>
      <c r="AW15" s="44"/>
      <c r="AX15" s="44"/>
      <c r="AY15" s="45"/>
      <c r="AZ15" s="33"/>
      <c r="BA15" s="6"/>
      <c r="BB15" s="39"/>
      <c r="BC15" s="43"/>
      <c r="BD15" s="44"/>
      <c r="BE15" s="44"/>
      <c r="BF15" s="44"/>
      <c r="BG15" s="44"/>
      <c r="BH15" s="45"/>
      <c r="BI15" s="33"/>
      <c r="BJ15" s="24"/>
    </row>
    <row r="16" spans="1:62" ht="15.75" customHeight="1" outlineLevel="1">
      <c r="B16" s="18"/>
      <c r="C16" s="34">
        <v>7</v>
      </c>
      <c r="D16" s="31" t="s">
        <v>37</v>
      </c>
      <c r="E16" s="32">
        <f t="shared" ref="E16:I16" si="32">(N16*$N$24)+($N$23*W16)</f>
        <v>0</v>
      </c>
      <c r="F16" s="32">
        <f t="shared" si="32"/>
        <v>0</v>
      </c>
      <c r="G16" s="32">
        <f t="shared" si="32"/>
        <v>0</v>
      </c>
      <c r="H16" s="32">
        <f t="shared" si="32"/>
        <v>617</v>
      </c>
      <c r="I16" s="32">
        <f t="shared" si="32"/>
        <v>0</v>
      </c>
      <c r="J16" s="32">
        <f t="shared" si="1"/>
        <v>617</v>
      </c>
      <c r="K16" s="33">
        <f t="shared" si="2"/>
        <v>2.04568814031365E-2</v>
      </c>
      <c r="L16" s="34">
        <v>7</v>
      </c>
      <c r="M16" s="31" t="s">
        <v>37</v>
      </c>
      <c r="N16" s="32">
        <v>0</v>
      </c>
      <c r="O16" s="32">
        <v>0</v>
      </c>
      <c r="P16" s="32">
        <v>0</v>
      </c>
      <c r="Q16" s="32">
        <v>1</v>
      </c>
      <c r="R16" s="32">
        <v>0</v>
      </c>
      <c r="S16" s="32">
        <f t="shared" si="3"/>
        <v>1</v>
      </c>
      <c r="T16" s="33">
        <f t="shared" si="4"/>
        <v>3.0303030303030304E-2</v>
      </c>
      <c r="U16" s="34">
        <v>7</v>
      </c>
      <c r="V16" s="31" t="s">
        <v>37</v>
      </c>
      <c r="W16" s="32">
        <v>0</v>
      </c>
      <c r="X16" s="32">
        <v>0</v>
      </c>
      <c r="Y16" s="32">
        <v>0</v>
      </c>
      <c r="Z16" s="32">
        <v>1</v>
      </c>
      <c r="AA16" s="32">
        <v>0</v>
      </c>
      <c r="AB16" s="32">
        <f t="shared" si="5"/>
        <v>1</v>
      </c>
      <c r="AC16" s="33">
        <f t="shared" si="6"/>
        <v>1.2195121951219513E-2</v>
      </c>
      <c r="AD16" s="19"/>
      <c r="AH16" s="20"/>
      <c r="AI16" s="9"/>
      <c r="AJ16" s="35"/>
      <c r="AK16" s="43"/>
      <c r="AL16" s="44"/>
      <c r="AM16" s="44"/>
      <c r="AN16" s="44"/>
      <c r="AO16" s="44"/>
      <c r="AP16" s="45"/>
      <c r="AQ16" s="33"/>
      <c r="AR16" s="258"/>
      <c r="AS16" s="39"/>
      <c r="AT16" s="43"/>
      <c r="AU16" s="44"/>
      <c r="AV16" s="44"/>
      <c r="AW16" s="44"/>
      <c r="AX16" s="44"/>
      <c r="AY16" s="45"/>
      <c r="AZ16" s="33"/>
      <c r="BA16" s="6"/>
      <c r="BB16" s="39"/>
      <c r="BC16" s="43"/>
      <c r="BD16" s="44"/>
      <c r="BE16" s="44"/>
      <c r="BF16" s="44"/>
      <c r="BG16" s="44"/>
      <c r="BH16" s="45"/>
      <c r="BI16" s="33"/>
      <c r="BJ16" s="24"/>
    </row>
    <row r="17" spans="2:62" ht="15.75" customHeight="1" outlineLevel="1">
      <c r="B17" s="18"/>
      <c r="C17" s="34">
        <v>8</v>
      </c>
      <c r="D17" s="6" t="s">
        <v>263</v>
      </c>
      <c r="E17" s="32">
        <f t="shared" ref="E17:I17" si="33">(N17*$N$24)+($N$23*W17)</f>
        <v>0</v>
      </c>
      <c r="F17" s="32">
        <f t="shared" si="33"/>
        <v>0</v>
      </c>
      <c r="G17" s="32">
        <f t="shared" si="33"/>
        <v>0</v>
      </c>
      <c r="H17" s="32">
        <f t="shared" si="33"/>
        <v>0</v>
      </c>
      <c r="I17" s="32">
        <f t="shared" si="33"/>
        <v>1234</v>
      </c>
      <c r="J17" s="32">
        <f t="shared" si="1"/>
        <v>1234</v>
      </c>
      <c r="K17" s="33">
        <f t="shared" si="2"/>
        <v>4.0913762806272999E-2</v>
      </c>
      <c r="L17" s="34">
        <v>8</v>
      </c>
      <c r="M17" s="6" t="s">
        <v>263</v>
      </c>
      <c r="N17" s="32">
        <v>0</v>
      </c>
      <c r="O17" s="32">
        <v>0</v>
      </c>
      <c r="P17" s="32">
        <v>0</v>
      </c>
      <c r="Q17" s="32">
        <v>0</v>
      </c>
      <c r="R17" s="32">
        <v>2</v>
      </c>
      <c r="S17" s="32">
        <f t="shared" si="3"/>
        <v>2</v>
      </c>
      <c r="T17" s="33">
        <f t="shared" si="4"/>
        <v>6.0606060606060608E-2</v>
      </c>
      <c r="U17" s="34">
        <v>8</v>
      </c>
      <c r="V17" s="6" t="s">
        <v>263</v>
      </c>
      <c r="W17" s="32">
        <v>0</v>
      </c>
      <c r="X17" s="32">
        <v>0</v>
      </c>
      <c r="Y17" s="32">
        <v>0</v>
      </c>
      <c r="Z17" s="32">
        <v>0</v>
      </c>
      <c r="AA17" s="32">
        <v>2</v>
      </c>
      <c r="AB17" s="32">
        <f t="shared" si="5"/>
        <v>2</v>
      </c>
      <c r="AC17" s="33">
        <f t="shared" si="6"/>
        <v>2.4390243902439025E-2</v>
      </c>
      <c r="AD17" s="19"/>
      <c r="AH17" s="20"/>
      <c r="AI17" s="9"/>
      <c r="AJ17" s="35"/>
      <c r="AK17" s="43"/>
      <c r="AL17" s="44"/>
      <c r="AM17" s="44"/>
      <c r="AN17" s="44"/>
      <c r="AO17" s="44"/>
      <c r="AP17" s="45"/>
      <c r="AQ17" s="33"/>
      <c r="AR17" s="258"/>
      <c r="AS17" s="39"/>
      <c r="AT17" s="43"/>
      <c r="AU17" s="44"/>
      <c r="AV17" s="44"/>
      <c r="AW17" s="44"/>
      <c r="AX17" s="44"/>
      <c r="AY17" s="45"/>
      <c r="AZ17" s="33"/>
      <c r="BA17" s="6"/>
      <c r="BB17" s="39"/>
      <c r="BC17" s="43"/>
      <c r="BD17" s="44"/>
      <c r="BE17" s="44"/>
      <c r="BF17" s="44"/>
      <c r="BG17" s="44"/>
      <c r="BH17" s="45"/>
      <c r="BI17" s="33"/>
      <c r="BJ17" s="24"/>
    </row>
    <row r="18" spans="2:62" ht="18">
      <c r="B18" s="18"/>
      <c r="C18" s="9"/>
      <c r="D18" s="25" t="s">
        <v>40</v>
      </c>
      <c r="E18" s="46">
        <f t="shared" ref="E18:K18" si="34">SUM(E10:E17)</f>
        <v>6302</v>
      </c>
      <c r="F18" s="47">
        <f t="shared" si="34"/>
        <v>9153</v>
      </c>
      <c r="G18" s="47">
        <f t="shared" si="34"/>
        <v>12855</v>
      </c>
      <c r="H18" s="47">
        <f t="shared" si="34"/>
        <v>617</v>
      </c>
      <c r="I18" s="47">
        <f t="shared" si="34"/>
        <v>1234</v>
      </c>
      <c r="J18" s="48">
        <f t="shared" si="34"/>
        <v>30161</v>
      </c>
      <c r="K18" s="33">
        <f t="shared" si="34"/>
        <v>1</v>
      </c>
      <c r="L18" s="49"/>
      <c r="M18" s="50" t="s">
        <v>41</v>
      </c>
      <c r="N18" s="47">
        <f t="shared" ref="N18:T18" si="35">SUM(N10:N17)</f>
        <v>6</v>
      </c>
      <c r="O18" s="47">
        <f t="shared" si="35"/>
        <v>9</v>
      </c>
      <c r="P18" s="47">
        <f t="shared" si="35"/>
        <v>15</v>
      </c>
      <c r="Q18" s="47">
        <f t="shared" si="35"/>
        <v>1</v>
      </c>
      <c r="R18" s="47">
        <f t="shared" si="35"/>
        <v>2</v>
      </c>
      <c r="S18" s="48">
        <f t="shared" si="35"/>
        <v>33</v>
      </c>
      <c r="T18" s="51">
        <f t="shared" si="35"/>
        <v>1</v>
      </c>
      <c r="U18" s="6"/>
      <c r="V18" s="50" t="s">
        <v>42</v>
      </c>
      <c r="W18" s="46">
        <f t="shared" ref="W18:AC18" si="36">SUM(W10:W17)</f>
        <v>19</v>
      </c>
      <c r="X18" s="46">
        <f t="shared" si="36"/>
        <v>27</v>
      </c>
      <c r="Y18" s="46">
        <f t="shared" si="36"/>
        <v>33</v>
      </c>
      <c r="Z18" s="46">
        <f t="shared" si="36"/>
        <v>1</v>
      </c>
      <c r="AA18" s="46">
        <f t="shared" si="36"/>
        <v>2</v>
      </c>
      <c r="AB18" s="46">
        <f t="shared" si="36"/>
        <v>82</v>
      </c>
      <c r="AC18" s="51">
        <f t="shared" si="36"/>
        <v>1</v>
      </c>
      <c r="AD18" s="19"/>
      <c r="AH18" s="20"/>
      <c r="AI18" s="9"/>
      <c r="AJ18" s="25" t="s">
        <v>40</v>
      </c>
      <c r="AK18" s="52">
        <f t="shared" ref="AK18:AQ18" si="37">SUM(AK10:AK14)</f>
        <v>50000</v>
      </c>
      <c r="AL18" s="47">
        <f t="shared" si="37"/>
        <v>32333.333333333336</v>
      </c>
      <c r="AM18" s="47">
        <f t="shared" si="37"/>
        <v>32333.333333333336</v>
      </c>
      <c r="AN18" s="47">
        <f t="shared" si="37"/>
        <v>36500</v>
      </c>
      <c r="AO18" s="47">
        <f t="shared" si="37"/>
        <v>38583.333333333336</v>
      </c>
      <c r="AP18" s="48">
        <f t="shared" si="37"/>
        <v>189750.00000000003</v>
      </c>
      <c r="AQ18" s="53">
        <f t="shared" si="37"/>
        <v>0.99999999999999989</v>
      </c>
      <c r="AR18" s="258"/>
      <c r="AS18" s="50" t="s">
        <v>41</v>
      </c>
      <c r="AT18" s="46">
        <f t="shared" ref="AT18:AZ18" si="38">SUM(AT10:AT14)</f>
        <v>120</v>
      </c>
      <c r="AU18" s="47">
        <f t="shared" si="38"/>
        <v>20</v>
      </c>
      <c r="AV18" s="47">
        <f t="shared" si="38"/>
        <v>20</v>
      </c>
      <c r="AW18" s="47">
        <f t="shared" si="38"/>
        <v>30</v>
      </c>
      <c r="AX18" s="47">
        <f t="shared" si="38"/>
        <v>35</v>
      </c>
      <c r="AY18" s="48">
        <f t="shared" si="38"/>
        <v>225</v>
      </c>
      <c r="AZ18" s="51">
        <f t="shared" si="38"/>
        <v>6.8181818181818183</v>
      </c>
      <c r="BA18" s="6"/>
      <c r="BB18" s="50" t="s">
        <v>42</v>
      </c>
      <c r="BC18" s="46">
        <f t="shared" ref="BC18:BI18" si="39">SUM(BC10:BC14)</f>
        <v>0</v>
      </c>
      <c r="BD18" s="47">
        <f t="shared" si="39"/>
        <v>120</v>
      </c>
      <c r="BE18" s="47">
        <f t="shared" si="39"/>
        <v>120</v>
      </c>
      <c r="BF18" s="47">
        <f t="shared" si="39"/>
        <v>120</v>
      </c>
      <c r="BG18" s="47">
        <f t="shared" si="39"/>
        <v>120</v>
      </c>
      <c r="BH18" s="48">
        <f t="shared" si="39"/>
        <v>480</v>
      </c>
      <c r="BI18" s="51">
        <f t="shared" si="39"/>
        <v>5.8536585365853657</v>
      </c>
      <c r="BJ18" s="24"/>
    </row>
    <row r="19" spans="2:62" ht="15.75" customHeight="1">
      <c r="B19" s="18"/>
      <c r="C19" s="9"/>
      <c r="E19" s="51">
        <f t="shared" ref="E19:I19" si="40">E18/$J$18</f>
        <v>0.20894532674646066</v>
      </c>
      <c r="F19" s="51">
        <f t="shared" si="40"/>
        <v>0.30347137031265542</v>
      </c>
      <c r="G19" s="51">
        <f t="shared" si="40"/>
        <v>0.4262126587314744</v>
      </c>
      <c r="H19" s="51">
        <f t="shared" si="40"/>
        <v>2.04568814031365E-2</v>
      </c>
      <c r="I19" s="51">
        <f t="shared" si="40"/>
        <v>4.0913762806272999E-2</v>
      </c>
      <c r="J19" s="51">
        <f>SUM(E19:I19)</f>
        <v>1</v>
      </c>
      <c r="K19" s="33"/>
      <c r="L19" s="49"/>
      <c r="M19" s="49"/>
      <c r="N19" s="51">
        <f t="shared" ref="N19:R19" si="41">N18/$S$18</f>
        <v>0.18181818181818182</v>
      </c>
      <c r="O19" s="51">
        <f t="shared" si="41"/>
        <v>0.27272727272727271</v>
      </c>
      <c r="P19" s="51">
        <f t="shared" si="41"/>
        <v>0.45454545454545453</v>
      </c>
      <c r="Q19" s="51">
        <f t="shared" si="41"/>
        <v>3.0303030303030304E-2</v>
      </c>
      <c r="R19" s="51">
        <f t="shared" si="41"/>
        <v>6.0606060606060608E-2</v>
      </c>
      <c r="S19" s="51">
        <f>SUM(N19:R19)</f>
        <v>1</v>
      </c>
      <c r="T19" s="6"/>
      <c r="U19" s="6"/>
      <c r="V19" s="49"/>
      <c r="W19" s="51">
        <f t="shared" ref="W19:AA19" si="42">W18/$AB$18</f>
        <v>0.23170731707317074</v>
      </c>
      <c r="X19" s="51">
        <f t="shared" si="42"/>
        <v>0.32926829268292684</v>
      </c>
      <c r="Y19" s="51">
        <f t="shared" si="42"/>
        <v>0.40243902439024393</v>
      </c>
      <c r="Z19" s="51">
        <f t="shared" si="42"/>
        <v>1.2195121951219513E-2</v>
      </c>
      <c r="AA19" s="51">
        <f t="shared" si="42"/>
        <v>2.4390243902439025E-2</v>
      </c>
      <c r="AB19" s="51">
        <f>SUM(W19:AA19)</f>
        <v>1</v>
      </c>
      <c r="AC19" s="6"/>
      <c r="AD19" s="19"/>
      <c r="AH19" s="20"/>
      <c r="AI19" s="9"/>
      <c r="AJ19" s="54" t="s">
        <v>43</v>
      </c>
      <c r="AK19" s="55">
        <f t="shared" ref="AK19:AO19" si="43">+AK18/$AP$18</f>
        <v>0.26350461133069825</v>
      </c>
      <c r="AL19" s="51">
        <f t="shared" si="43"/>
        <v>0.17039964866051821</v>
      </c>
      <c r="AM19" s="51">
        <f t="shared" si="43"/>
        <v>0.17039964866051821</v>
      </c>
      <c r="AN19" s="51">
        <f t="shared" si="43"/>
        <v>0.19235836627140973</v>
      </c>
      <c r="AO19" s="51">
        <f t="shared" si="43"/>
        <v>0.20333772507685549</v>
      </c>
      <c r="AP19" s="55">
        <f>+AP18/$J$18</f>
        <v>6.2912370279500029</v>
      </c>
      <c r="AQ19" s="56" t="s">
        <v>44</v>
      </c>
      <c r="AR19" s="23"/>
      <c r="AS19" s="49"/>
      <c r="AT19" s="51">
        <f t="shared" ref="AT19:AX19" si="44">+AT18/$S$18</f>
        <v>3.6363636363636362</v>
      </c>
      <c r="AU19" s="51">
        <f t="shared" si="44"/>
        <v>0.60606060606060608</v>
      </c>
      <c r="AV19" s="51">
        <f t="shared" si="44"/>
        <v>0.60606060606060608</v>
      </c>
      <c r="AW19" s="51">
        <f t="shared" si="44"/>
        <v>0.90909090909090906</v>
      </c>
      <c r="AX19" s="51">
        <f t="shared" si="44"/>
        <v>1.0606060606060606</v>
      </c>
      <c r="AY19" s="49"/>
      <c r="AZ19" s="6"/>
      <c r="BA19" s="6"/>
      <c r="BB19" s="49"/>
      <c r="BC19" s="51">
        <f t="shared" ref="BC19:BG19" si="45">+BC18/$AB$18</f>
        <v>0</v>
      </c>
      <c r="BD19" s="51">
        <f t="shared" si="45"/>
        <v>1.4634146341463414</v>
      </c>
      <c r="BE19" s="51">
        <f t="shared" si="45"/>
        <v>1.4634146341463414</v>
      </c>
      <c r="BF19" s="51">
        <f t="shared" si="45"/>
        <v>1.4634146341463414</v>
      </c>
      <c r="BG19" s="51">
        <f t="shared" si="45"/>
        <v>1.4634146341463414</v>
      </c>
      <c r="BH19" s="49"/>
      <c r="BI19" s="6"/>
      <c r="BJ19" s="24"/>
    </row>
    <row r="20" spans="2:62" ht="15.75" customHeight="1">
      <c r="B20" s="18"/>
      <c r="C20" s="9"/>
      <c r="D20" s="6"/>
      <c r="E20" s="6"/>
      <c r="F20" s="6"/>
      <c r="G20" s="6"/>
      <c r="H20" s="6"/>
      <c r="I20" s="6"/>
      <c r="J20" s="6"/>
      <c r="K20" s="6"/>
      <c r="L20" s="6"/>
      <c r="M20" s="6"/>
      <c r="N20" s="6"/>
      <c r="O20" s="6"/>
      <c r="P20" s="6"/>
      <c r="Q20" s="6"/>
      <c r="R20" s="6"/>
      <c r="S20" s="6"/>
      <c r="T20" s="6"/>
      <c r="U20" s="6"/>
      <c r="V20" s="6"/>
      <c r="W20" s="6"/>
      <c r="X20" s="6"/>
      <c r="Y20" s="6"/>
      <c r="Z20" s="6"/>
      <c r="AA20" s="6"/>
      <c r="AB20" s="6"/>
      <c r="AC20" s="6"/>
      <c r="AD20" s="19"/>
      <c r="AH20" s="20"/>
      <c r="AI20" s="9"/>
      <c r="AJ20" s="6"/>
      <c r="AK20" s="21" t="s">
        <v>45</v>
      </c>
      <c r="AL20" s="6"/>
      <c r="AM20" s="6"/>
      <c r="AN20" s="6"/>
      <c r="AO20" s="6"/>
      <c r="AP20" s="6"/>
      <c r="AQ20" s="6"/>
      <c r="AR20" s="23"/>
      <c r="AS20" s="6"/>
      <c r="AT20" s="6"/>
      <c r="AU20" s="6"/>
      <c r="AV20" s="6"/>
      <c r="AW20" s="6"/>
      <c r="AX20" s="6"/>
      <c r="AY20" s="6"/>
      <c r="AZ20" s="6"/>
      <c r="BA20" s="6"/>
      <c r="BB20" s="6"/>
      <c r="BC20" s="6"/>
      <c r="BD20" s="6"/>
      <c r="BE20" s="6"/>
      <c r="BF20" s="6"/>
      <c r="BG20" s="6"/>
      <c r="BH20" s="6"/>
      <c r="BI20" s="6"/>
      <c r="BJ20" s="24"/>
    </row>
    <row r="21" spans="2:62" ht="18">
      <c r="B21" s="18"/>
      <c r="C21" s="22" t="s">
        <v>46</v>
      </c>
      <c r="D21" s="25" t="s">
        <v>47</v>
      </c>
      <c r="E21" s="6"/>
      <c r="F21" s="6"/>
      <c r="G21" s="6"/>
      <c r="H21" s="6"/>
      <c r="I21" s="6"/>
      <c r="J21" s="6"/>
      <c r="K21" s="6"/>
      <c r="L21" s="6"/>
      <c r="M21" s="6"/>
      <c r="N21" s="6"/>
      <c r="O21" s="6"/>
      <c r="P21" s="6"/>
      <c r="Q21" s="6"/>
      <c r="R21" s="6"/>
      <c r="S21" s="6"/>
      <c r="T21" s="6"/>
      <c r="U21" s="6"/>
      <c r="V21" s="6"/>
      <c r="W21" s="6"/>
      <c r="X21" s="6"/>
      <c r="Y21" s="6"/>
      <c r="Z21" s="6"/>
      <c r="AA21" s="6"/>
      <c r="AB21" s="6"/>
      <c r="AC21" s="6"/>
      <c r="AD21" s="19"/>
      <c r="AH21" s="26" t="s">
        <v>48</v>
      </c>
      <c r="AI21" s="9"/>
      <c r="AJ21" s="27" t="s">
        <v>47</v>
      </c>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24"/>
    </row>
    <row r="22" spans="2:62" ht="15.75" customHeight="1">
      <c r="B22" s="18"/>
      <c r="C22" s="9"/>
      <c r="D22" s="29"/>
      <c r="E22" s="30" t="s">
        <v>22</v>
      </c>
      <c r="F22" s="30" t="s">
        <v>23</v>
      </c>
      <c r="G22" s="30" t="s">
        <v>24</v>
      </c>
      <c r="H22" s="30" t="s">
        <v>25</v>
      </c>
      <c r="I22" s="30" t="s">
        <v>26</v>
      </c>
      <c r="J22" s="30" t="s">
        <v>27</v>
      </c>
      <c r="K22" s="25"/>
      <c r="L22" s="6"/>
      <c r="M22" s="6"/>
      <c r="N22" s="6"/>
      <c r="O22" s="6"/>
      <c r="P22" s="6"/>
      <c r="Q22" s="6"/>
      <c r="R22" s="6"/>
      <c r="S22" s="6"/>
      <c r="T22" s="6"/>
      <c r="U22" s="6"/>
      <c r="V22" s="6"/>
      <c r="W22" s="57"/>
      <c r="X22" s="57"/>
      <c r="Y22" s="6"/>
      <c r="Z22" s="6"/>
      <c r="AA22" s="41"/>
      <c r="AB22" s="6"/>
      <c r="AC22" s="6"/>
      <c r="AD22" s="19"/>
      <c r="AH22" s="20"/>
      <c r="AI22" s="9"/>
      <c r="AJ22" s="29"/>
      <c r="AK22" s="30" t="s">
        <v>22</v>
      </c>
      <c r="AL22" s="30" t="s">
        <v>23</v>
      </c>
      <c r="AM22" s="30" t="s">
        <v>24</v>
      </c>
      <c r="AN22" s="30" t="s">
        <v>25</v>
      </c>
      <c r="AO22" s="30" t="s">
        <v>26</v>
      </c>
      <c r="AP22" s="30" t="s">
        <v>27</v>
      </c>
      <c r="AQ22" s="25"/>
      <c r="AR22" s="286" t="s">
        <v>49</v>
      </c>
      <c r="AS22" s="6"/>
      <c r="AT22" s="6"/>
      <c r="AU22" s="6"/>
      <c r="AV22" s="6"/>
      <c r="AW22" s="6"/>
      <c r="AX22" s="6"/>
      <c r="AY22" s="6"/>
      <c r="AZ22" s="6"/>
      <c r="BA22" s="6"/>
      <c r="BB22" s="6"/>
      <c r="BC22" s="58" t="s">
        <v>50</v>
      </c>
      <c r="BD22" s="58" t="s">
        <v>51</v>
      </c>
      <c r="BE22" s="265" t="s">
        <v>52</v>
      </c>
      <c r="BF22" s="258"/>
      <c r="BG22" s="258"/>
      <c r="BH22" s="258"/>
      <c r="BI22" s="258"/>
      <c r="BJ22" s="277"/>
    </row>
    <row r="23" spans="2:62" ht="15.75" customHeight="1" outlineLevel="1">
      <c r="B23" s="18"/>
      <c r="C23" s="9">
        <f>+C17+1</f>
        <v>9</v>
      </c>
      <c r="D23" s="59" t="s">
        <v>53</v>
      </c>
      <c r="E23" s="32">
        <v>5000</v>
      </c>
      <c r="F23" s="32">
        <v>0</v>
      </c>
      <c r="G23" s="32">
        <v>0</v>
      </c>
      <c r="H23" s="32">
        <v>0</v>
      </c>
      <c r="I23" s="32">
        <v>0</v>
      </c>
      <c r="J23" s="32">
        <f>SUM(E23:I23)</f>
        <v>5000</v>
      </c>
      <c r="K23" s="33">
        <f t="shared" ref="K23:K25" si="46">J23/$J$26</f>
        <v>0.24390243902439024</v>
      </c>
      <c r="L23" s="49"/>
      <c r="M23" s="6" t="s">
        <v>54</v>
      </c>
      <c r="N23" s="41">
        <v>200</v>
      </c>
      <c r="O23" s="6"/>
      <c r="P23" s="60"/>
      <c r="Q23" s="49"/>
      <c r="R23" s="49"/>
      <c r="S23" s="49"/>
      <c r="T23" s="49"/>
      <c r="U23" s="6"/>
      <c r="V23" s="61"/>
      <c r="W23" s="62"/>
      <c r="X23" s="63"/>
      <c r="Y23" s="6"/>
      <c r="Z23" s="6"/>
      <c r="AA23" s="6"/>
      <c r="AB23" s="6"/>
      <c r="AC23" s="6"/>
      <c r="AD23" s="19"/>
      <c r="AH23" s="20"/>
      <c r="AI23" s="9">
        <f>+AI14+1</f>
        <v>6</v>
      </c>
      <c r="AJ23" s="35" t="s">
        <v>53</v>
      </c>
      <c r="AK23" s="32"/>
      <c r="AL23" s="32">
        <v>8000</v>
      </c>
      <c r="AM23" s="32"/>
      <c r="AN23" s="32"/>
      <c r="AO23" s="32"/>
      <c r="AP23" s="32">
        <f t="shared" ref="AP23:AP25" si="47">SUM(AK23:AO23)</f>
        <v>8000</v>
      </c>
      <c r="AQ23" s="33">
        <f t="shared" ref="AQ23:AQ25" si="48">+AP23/$AP$26</f>
        <v>0.21164021164021163</v>
      </c>
      <c r="AR23" s="258"/>
      <c r="AS23" s="6"/>
      <c r="AT23" s="6"/>
      <c r="AU23" s="6"/>
      <c r="AV23" s="49"/>
      <c r="AW23" s="49"/>
      <c r="AX23" s="49"/>
      <c r="AY23" s="49"/>
      <c r="AZ23" s="49"/>
      <c r="BA23" s="6"/>
      <c r="BB23" s="64" t="s">
        <v>55</v>
      </c>
      <c r="BC23" s="65">
        <f>48000/30/8</f>
        <v>200</v>
      </c>
      <c r="BD23" s="66">
        <f>+BC23/$BC$25</f>
        <v>9.5238095238095237</v>
      </c>
      <c r="BE23" s="258"/>
      <c r="BF23" s="258"/>
      <c r="BG23" s="258"/>
      <c r="BH23" s="258"/>
      <c r="BI23" s="258"/>
      <c r="BJ23" s="277"/>
    </row>
    <row r="24" spans="2:62" ht="15.75" customHeight="1" outlineLevel="1">
      <c r="B24" s="18"/>
      <c r="C24" s="9">
        <f t="shared" ref="C24:C25" si="49">+C23+1</f>
        <v>10</v>
      </c>
      <c r="D24" s="59" t="s">
        <v>56</v>
      </c>
      <c r="E24" s="32">
        <v>3500</v>
      </c>
      <c r="F24" s="32">
        <v>3500</v>
      </c>
      <c r="G24" s="32">
        <v>3500</v>
      </c>
      <c r="H24" s="32">
        <v>3500</v>
      </c>
      <c r="I24" s="32">
        <v>0</v>
      </c>
      <c r="J24" s="32">
        <f t="shared" ref="J24:J25" si="50">SUM(E24:I24)</f>
        <v>14000</v>
      </c>
      <c r="K24" s="33">
        <f t="shared" si="46"/>
        <v>0.68292682926829273</v>
      </c>
      <c r="L24" s="49"/>
      <c r="M24" s="6" t="s">
        <v>57</v>
      </c>
      <c r="N24" s="41">
        <v>417</v>
      </c>
      <c r="O24" s="6"/>
      <c r="P24" s="60"/>
      <c r="Q24" s="49"/>
      <c r="R24" s="49"/>
      <c r="S24" s="49"/>
      <c r="T24" s="49"/>
      <c r="U24" s="6"/>
      <c r="V24" s="61"/>
      <c r="W24" s="62"/>
      <c r="X24" s="63"/>
      <c r="Y24" s="6"/>
      <c r="Z24" s="6"/>
      <c r="AA24" s="6"/>
      <c r="AB24" s="6"/>
      <c r="AC24" s="6"/>
      <c r="AD24" s="19"/>
      <c r="AH24" s="20"/>
      <c r="AI24" s="9">
        <f t="shared" ref="AI24:AI25" si="51">+AI23+1</f>
        <v>7</v>
      </c>
      <c r="AJ24" s="35" t="s">
        <v>58</v>
      </c>
      <c r="AK24" s="32"/>
      <c r="AL24" s="32">
        <v>1200</v>
      </c>
      <c r="AM24" s="32">
        <f t="shared" ref="AM24:AO24" si="52">+AL24</f>
        <v>1200</v>
      </c>
      <c r="AN24" s="32">
        <f t="shared" si="52"/>
        <v>1200</v>
      </c>
      <c r="AO24" s="32">
        <f t="shared" si="52"/>
        <v>1200</v>
      </c>
      <c r="AP24" s="32">
        <f t="shared" si="47"/>
        <v>4800</v>
      </c>
      <c r="AQ24" s="33">
        <f t="shared" si="48"/>
        <v>0.12698412698412698</v>
      </c>
      <c r="AR24" s="258"/>
      <c r="AS24" s="6"/>
      <c r="AT24" s="6"/>
      <c r="AU24" s="6"/>
      <c r="AV24" s="49"/>
      <c r="AW24" s="49"/>
      <c r="AX24" s="49"/>
      <c r="AY24" s="49"/>
      <c r="AZ24" s="49"/>
      <c r="BA24" s="6"/>
      <c r="BB24" s="64" t="s">
        <v>59</v>
      </c>
      <c r="BC24" s="65">
        <f>100000/30/8</f>
        <v>416.66666666666669</v>
      </c>
      <c r="BD24" s="66">
        <f>+BC24/$BC$25</f>
        <v>19.841269841269842</v>
      </c>
      <c r="BE24" s="258"/>
      <c r="BF24" s="258"/>
      <c r="BG24" s="258"/>
      <c r="BH24" s="258"/>
      <c r="BI24" s="258"/>
      <c r="BJ24" s="277"/>
    </row>
    <row r="25" spans="2:62" ht="15.75" customHeight="1" outlineLevel="1">
      <c r="B25" s="18"/>
      <c r="C25" s="9">
        <f t="shared" si="49"/>
        <v>11</v>
      </c>
      <c r="D25" s="59" t="s">
        <v>264</v>
      </c>
      <c r="E25" s="42">
        <v>0</v>
      </c>
      <c r="F25" s="32">
        <f t="shared" ref="F25:G25" si="53">(O25*$N$24)+($N$23*X25)</f>
        <v>0</v>
      </c>
      <c r="G25" s="32">
        <v>500</v>
      </c>
      <c r="H25" s="42">
        <v>500</v>
      </c>
      <c r="I25" s="42">
        <v>500</v>
      </c>
      <c r="J25" s="42">
        <f t="shared" si="50"/>
        <v>1500</v>
      </c>
      <c r="K25" s="33">
        <f t="shared" si="46"/>
        <v>7.3170731707317069E-2</v>
      </c>
      <c r="L25" s="49"/>
      <c r="M25" s="6"/>
      <c r="N25" s="6"/>
      <c r="O25" s="6"/>
      <c r="P25" s="49"/>
      <c r="Q25" s="49"/>
      <c r="R25" s="49"/>
      <c r="S25" s="49"/>
      <c r="T25" s="49"/>
      <c r="U25" s="6"/>
      <c r="V25" s="41"/>
      <c r="W25" s="41"/>
      <c r="X25" s="6"/>
      <c r="Y25" s="6"/>
      <c r="Z25" s="6"/>
      <c r="AA25" s="6"/>
      <c r="AB25" s="6"/>
      <c r="AC25" s="6"/>
      <c r="AD25" s="19"/>
      <c r="AH25" s="20"/>
      <c r="AI25" s="9">
        <f t="shared" si="51"/>
        <v>8</v>
      </c>
      <c r="AJ25" s="35" t="s">
        <v>60</v>
      </c>
      <c r="AK25" s="42"/>
      <c r="AL25" s="42"/>
      <c r="AM25" s="42"/>
      <c r="AN25" s="42">
        <v>5000</v>
      </c>
      <c r="AO25" s="42">
        <v>20000</v>
      </c>
      <c r="AP25" s="42">
        <f t="shared" si="47"/>
        <v>25000</v>
      </c>
      <c r="AQ25" s="38">
        <f t="shared" si="48"/>
        <v>0.66137566137566139</v>
      </c>
      <c r="AR25" s="56" t="s">
        <v>61</v>
      </c>
      <c r="AS25" s="6"/>
      <c r="AT25" s="6"/>
      <c r="AU25" s="6"/>
      <c r="AV25" s="49"/>
      <c r="AW25" s="49"/>
      <c r="AX25" s="49"/>
      <c r="AY25" s="49"/>
      <c r="AZ25" s="49"/>
      <c r="BA25" s="6"/>
      <c r="BB25" s="6" t="s">
        <v>62</v>
      </c>
      <c r="BC25" s="6">
        <v>21</v>
      </c>
      <c r="BD25" s="6"/>
      <c r="BE25" s="258"/>
      <c r="BF25" s="258"/>
      <c r="BG25" s="258"/>
      <c r="BH25" s="258"/>
      <c r="BI25" s="258"/>
      <c r="BJ25" s="277"/>
    </row>
    <row r="26" spans="2:62" ht="15.75" customHeight="1">
      <c r="B26" s="18"/>
      <c r="C26" s="9"/>
      <c r="D26" s="25" t="s">
        <v>63</v>
      </c>
      <c r="E26" s="46">
        <f t="shared" ref="E26:K26" si="54">SUM(E23:E25)</f>
        <v>8500</v>
      </c>
      <c r="F26" s="47">
        <f t="shared" si="54"/>
        <v>3500</v>
      </c>
      <c r="G26" s="47">
        <f t="shared" si="54"/>
        <v>4000</v>
      </c>
      <c r="H26" s="47">
        <f t="shared" si="54"/>
        <v>4000</v>
      </c>
      <c r="I26" s="47">
        <f t="shared" si="54"/>
        <v>500</v>
      </c>
      <c r="J26" s="48">
        <f t="shared" si="54"/>
        <v>20500</v>
      </c>
      <c r="K26" s="67">
        <f t="shared" si="54"/>
        <v>1</v>
      </c>
      <c r="L26" s="49"/>
      <c r="M26" s="49"/>
      <c r="N26" s="49"/>
      <c r="O26" s="49"/>
      <c r="P26" s="49"/>
      <c r="Q26" s="49"/>
      <c r="R26" s="49"/>
      <c r="S26" s="49"/>
      <c r="T26" s="49"/>
      <c r="U26" s="6"/>
      <c r="V26" s="6"/>
      <c r="W26" s="6"/>
      <c r="X26" s="6"/>
      <c r="Y26" s="6"/>
      <c r="Z26" s="6"/>
      <c r="AA26" s="6"/>
      <c r="AB26" s="6"/>
      <c r="AC26" s="6"/>
      <c r="AD26" s="19"/>
      <c r="AH26" s="20"/>
      <c r="AI26" s="9"/>
      <c r="AJ26" s="25" t="s">
        <v>63</v>
      </c>
      <c r="AK26" s="46">
        <f t="shared" ref="AK26:AQ26" si="55">SUM(AK23:AK25)</f>
        <v>0</v>
      </c>
      <c r="AL26" s="47">
        <f t="shared" si="55"/>
        <v>9200</v>
      </c>
      <c r="AM26" s="47">
        <f t="shared" si="55"/>
        <v>1200</v>
      </c>
      <c r="AN26" s="47">
        <f t="shared" si="55"/>
        <v>6200</v>
      </c>
      <c r="AO26" s="47">
        <f t="shared" si="55"/>
        <v>21200</v>
      </c>
      <c r="AP26" s="48">
        <f t="shared" si="55"/>
        <v>37800</v>
      </c>
      <c r="AQ26" s="68">
        <f t="shared" si="55"/>
        <v>1</v>
      </c>
      <c r="AR26" s="56"/>
      <c r="AS26" s="49"/>
      <c r="AT26" s="49"/>
      <c r="AU26" s="49"/>
      <c r="AV26" s="49"/>
      <c r="AW26" s="49"/>
      <c r="AX26" s="49"/>
      <c r="AY26" s="49"/>
      <c r="AZ26" s="49"/>
      <c r="BA26" s="6"/>
      <c r="BB26" s="6"/>
      <c r="BC26" s="6"/>
      <c r="BD26" s="6"/>
      <c r="BE26" s="6"/>
      <c r="BF26" s="6"/>
      <c r="BG26" s="6"/>
      <c r="BH26" s="6"/>
      <c r="BI26" s="6"/>
      <c r="BJ26" s="24"/>
    </row>
    <row r="27" spans="2:62" ht="15.75" customHeight="1">
      <c r="B27" s="18"/>
      <c r="C27" s="9"/>
      <c r="D27" s="6"/>
      <c r="E27" s="51">
        <f t="shared" ref="E27:I27" si="56">E26/$J$26</f>
        <v>0.41463414634146339</v>
      </c>
      <c r="F27" s="51">
        <f t="shared" si="56"/>
        <v>0.17073170731707318</v>
      </c>
      <c r="G27" s="51">
        <f t="shared" si="56"/>
        <v>0.1951219512195122</v>
      </c>
      <c r="H27" s="51">
        <f t="shared" si="56"/>
        <v>0.1951219512195122</v>
      </c>
      <c r="I27" s="51">
        <f t="shared" si="56"/>
        <v>2.4390243902439025E-2</v>
      </c>
      <c r="J27" s="51">
        <f>SUM(E27:I27)</f>
        <v>1</v>
      </c>
      <c r="K27" s="49"/>
      <c r="L27" s="49"/>
      <c r="M27" s="49"/>
      <c r="N27" s="49"/>
      <c r="O27" s="49"/>
      <c r="P27" s="49"/>
      <c r="Q27" s="49"/>
      <c r="R27" s="49"/>
      <c r="S27" s="49"/>
      <c r="T27" s="49"/>
      <c r="U27" s="6"/>
      <c r="V27" s="6"/>
      <c r="W27" s="6"/>
      <c r="X27" s="6"/>
      <c r="Y27" s="6"/>
      <c r="Z27" s="6"/>
      <c r="AA27" s="6"/>
      <c r="AB27" s="6"/>
      <c r="AC27" s="6"/>
      <c r="AD27" s="19"/>
      <c r="AH27" s="20"/>
      <c r="AI27" s="9"/>
      <c r="AJ27" s="6"/>
      <c r="AK27" s="51">
        <f t="shared" ref="AK27:AO27" si="57">+AK26/$AP$26</f>
        <v>0</v>
      </c>
      <c r="AL27" s="55">
        <f t="shared" si="57"/>
        <v>0.24338624338624337</v>
      </c>
      <c r="AM27" s="51">
        <f t="shared" si="57"/>
        <v>3.1746031746031744E-2</v>
      </c>
      <c r="AN27" s="51">
        <f t="shared" si="57"/>
        <v>0.16402116402116401</v>
      </c>
      <c r="AO27" s="51">
        <f t="shared" si="57"/>
        <v>0.56084656084656082</v>
      </c>
      <c r="AP27" s="53">
        <f>+AP26/$J$26</f>
        <v>1.8439024390243903</v>
      </c>
      <c r="AQ27" s="56" t="s">
        <v>44</v>
      </c>
      <c r="AR27" s="49"/>
      <c r="AS27" s="49"/>
      <c r="AT27" s="49"/>
      <c r="AU27" s="49"/>
      <c r="AV27" s="49"/>
      <c r="AW27" s="49"/>
      <c r="AX27" s="49"/>
      <c r="AY27" s="49"/>
      <c r="AZ27" s="49"/>
      <c r="BA27" s="6"/>
      <c r="BB27" s="6"/>
      <c r="BC27" s="6"/>
      <c r="BD27" s="6"/>
      <c r="BE27" s="6"/>
      <c r="BF27" s="6"/>
      <c r="BG27" s="6"/>
      <c r="BH27" s="6"/>
      <c r="BI27" s="6"/>
      <c r="BJ27" s="24"/>
    </row>
    <row r="28" spans="2:62" ht="15.75" customHeight="1">
      <c r="B28" s="18"/>
      <c r="C28" s="9"/>
      <c r="D28" s="6"/>
      <c r="E28" s="6"/>
      <c r="F28" s="6"/>
      <c r="G28" s="6"/>
      <c r="H28" s="6"/>
      <c r="I28" s="6"/>
      <c r="J28" s="6"/>
      <c r="K28" s="6"/>
      <c r="L28" s="6"/>
      <c r="M28" s="6"/>
      <c r="N28" s="6"/>
      <c r="O28" s="6"/>
      <c r="P28" s="6"/>
      <c r="Q28" s="6"/>
      <c r="R28" s="6"/>
      <c r="S28" s="6"/>
      <c r="T28" s="6"/>
      <c r="U28" s="6"/>
      <c r="V28" s="6"/>
      <c r="W28" s="6"/>
      <c r="X28" s="6"/>
      <c r="Y28" s="6"/>
      <c r="Z28" s="6"/>
      <c r="AA28" s="6"/>
      <c r="AB28" s="6"/>
      <c r="AC28" s="6"/>
      <c r="AD28" s="19"/>
      <c r="AH28" s="20"/>
      <c r="AI28" s="9"/>
      <c r="AJ28" s="6"/>
      <c r="AK28" s="6"/>
      <c r="AL28" s="21" t="s">
        <v>64</v>
      </c>
      <c r="AM28" s="6"/>
      <c r="AN28" s="6"/>
      <c r="AO28" s="6"/>
      <c r="AP28" s="6"/>
      <c r="AQ28" s="6"/>
      <c r="AR28" s="6"/>
      <c r="AS28" s="22" t="s">
        <v>65</v>
      </c>
      <c r="AT28" s="6"/>
      <c r="AU28" s="6"/>
      <c r="AV28" s="6"/>
      <c r="AW28" s="6"/>
      <c r="AX28" s="6"/>
      <c r="AY28" s="6"/>
      <c r="AZ28" s="6"/>
      <c r="BA28" s="6"/>
      <c r="BB28" s="22" t="s">
        <v>66</v>
      </c>
      <c r="BC28" s="265" t="s">
        <v>67</v>
      </c>
      <c r="BD28" s="258"/>
      <c r="BE28" s="258"/>
      <c r="BF28" s="258"/>
      <c r="BG28" s="258"/>
      <c r="BH28" s="258"/>
      <c r="BI28" s="258"/>
      <c r="BJ28" s="277"/>
    </row>
    <row r="29" spans="2:62" ht="20">
      <c r="B29" s="18"/>
      <c r="C29" s="22" t="s">
        <v>68</v>
      </c>
      <c r="D29" s="25" t="s">
        <v>69</v>
      </c>
      <c r="E29" s="6"/>
      <c r="F29" s="6"/>
      <c r="G29" s="6"/>
      <c r="H29" s="6"/>
      <c r="I29" s="6"/>
      <c r="J29" s="6"/>
      <c r="K29" s="6"/>
      <c r="L29" s="22" t="s">
        <v>70</v>
      </c>
      <c r="M29" s="25" t="s">
        <v>71</v>
      </c>
      <c r="N29" s="6"/>
      <c r="O29" s="6"/>
      <c r="P29" s="6"/>
      <c r="Q29" s="6"/>
      <c r="R29" s="6"/>
      <c r="S29" s="6"/>
      <c r="T29" s="6"/>
      <c r="U29" s="22" t="s">
        <v>72</v>
      </c>
      <c r="V29" s="25" t="s">
        <v>73</v>
      </c>
      <c r="W29" s="6"/>
      <c r="X29" s="6"/>
      <c r="Y29" s="6"/>
      <c r="Z29" s="6"/>
      <c r="AA29" s="6"/>
      <c r="AB29" s="6"/>
      <c r="AC29" s="6"/>
      <c r="AD29" s="19"/>
      <c r="AH29" s="26" t="s">
        <v>74</v>
      </c>
      <c r="AI29" s="9"/>
      <c r="AJ29" s="69" t="s">
        <v>69</v>
      </c>
      <c r="AK29" s="21" t="s">
        <v>75</v>
      </c>
      <c r="AL29" s="6"/>
      <c r="AM29" s="6"/>
      <c r="AN29" s="6"/>
      <c r="AO29" s="6"/>
      <c r="AP29" s="6"/>
      <c r="AQ29" s="6"/>
      <c r="AR29" s="6"/>
      <c r="AS29" s="27" t="s">
        <v>76</v>
      </c>
      <c r="AT29" s="21" t="s">
        <v>77</v>
      </c>
      <c r="AU29" s="6"/>
      <c r="AV29" s="6"/>
      <c r="AW29" s="6"/>
      <c r="AX29" s="6"/>
      <c r="AY29" s="6"/>
      <c r="AZ29" s="6"/>
      <c r="BA29" s="6"/>
      <c r="BB29" s="27" t="s">
        <v>78</v>
      </c>
      <c r="BC29" s="258"/>
      <c r="BD29" s="258"/>
      <c r="BE29" s="258"/>
      <c r="BF29" s="258"/>
      <c r="BG29" s="258"/>
      <c r="BH29" s="258"/>
      <c r="BI29" s="258"/>
      <c r="BJ29" s="277"/>
    </row>
    <row r="30" spans="2:62" ht="15.75" customHeight="1">
      <c r="B30" s="18"/>
      <c r="C30" s="9"/>
      <c r="D30" s="29"/>
      <c r="E30" s="30" t="s">
        <v>22</v>
      </c>
      <c r="F30" s="30" t="s">
        <v>23</v>
      </c>
      <c r="G30" s="30" t="s">
        <v>24</v>
      </c>
      <c r="H30" s="30" t="s">
        <v>25</v>
      </c>
      <c r="I30" s="30" t="s">
        <v>26</v>
      </c>
      <c r="J30" s="30" t="s">
        <v>27</v>
      </c>
      <c r="K30" s="25"/>
      <c r="L30" s="25"/>
      <c r="M30" s="29"/>
      <c r="N30" s="30" t="s">
        <v>22</v>
      </c>
      <c r="O30" s="30" t="s">
        <v>23</v>
      </c>
      <c r="P30" s="30" t="s">
        <v>24</v>
      </c>
      <c r="Q30" s="30" t="s">
        <v>25</v>
      </c>
      <c r="R30" s="30" t="s">
        <v>26</v>
      </c>
      <c r="S30" s="30" t="s">
        <v>27</v>
      </c>
      <c r="T30" s="30"/>
      <c r="U30" s="6"/>
      <c r="V30" s="29"/>
      <c r="W30" s="30" t="s">
        <v>22</v>
      </c>
      <c r="X30" s="30" t="s">
        <v>23</v>
      </c>
      <c r="Y30" s="30" t="s">
        <v>24</v>
      </c>
      <c r="Z30" s="30" t="s">
        <v>25</v>
      </c>
      <c r="AA30" s="30" t="s">
        <v>26</v>
      </c>
      <c r="AB30" s="30" t="s">
        <v>27</v>
      </c>
      <c r="AC30" s="6"/>
      <c r="AD30" s="19"/>
      <c r="AH30" s="20"/>
      <c r="AI30" s="9"/>
      <c r="AJ30" s="29"/>
      <c r="AK30" s="30" t="s">
        <v>22</v>
      </c>
      <c r="AL30" s="30" t="s">
        <v>23</v>
      </c>
      <c r="AM30" s="30" t="s">
        <v>24</v>
      </c>
      <c r="AN30" s="30" t="s">
        <v>25</v>
      </c>
      <c r="AO30" s="30" t="s">
        <v>26</v>
      </c>
      <c r="AP30" s="30" t="s">
        <v>27</v>
      </c>
      <c r="AQ30" s="25"/>
      <c r="AR30" s="25"/>
      <c r="AS30" s="29"/>
      <c r="AT30" s="30" t="s">
        <v>22</v>
      </c>
      <c r="AU30" s="30" t="s">
        <v>23</v>
      </c>
      <c r="AV30" s="30" t="s">
        <v>24</v>
      </c>
      <c r="AW30" s="30" t="s">
        <v>25</v>
      </c>
      <c r="AX30" s="30" t="s">
        <v>26</v>
      </c>
      <c r="AY30" s="30" t="s">
        <v>27</v>
      </c>
      <c r="AZ30" s="30"/>
      <c r="BA30" s="6"/>
      <c r="BB30" s="29"/>
      <c r="BC30" s="30" t="s">
        <v>22</v>
      </c>
      <c r="BD30" s="30" t="s">
        <v>23</v>
      </c>
      <c r="BE30" s="30" t="s">
        <v>24</v>
      </c>
      <c r="BF30" s="30" t="s">
        <v>25</v>
      </c>
      <c r="BG30" s="30" t="s">
        <v>26</v>
      </c>
      <c r="BH30" s="30" t="s">
        <v>27</v>
      </c>
      <c r="BI30" s="6"/>
      <c r="BJ30" s="24"/>
    </row>
    <row r="31" spans="2:62" ht="15.75" customHeight="1" outlineLevel="1">
      <c r="B31" s="18"/>
      <c r="C31" s="70">
        <f t="shared" ref="C31:C35" si="58">+C10</f>
        <v>1</v>
      </c>
      <c r="D31" s="31" t="s">
        <v>28</v>
      </c>
      <c r="E31" s="32">
        <f t="shared" ref="E31:I31" si="59">+E10</f>
        <v>3468</v>
      </c>
      <c r="F31" s="32">
        <f t="shared" si="59"/>
        <v>0</v>
      </c>
      <c r="G31" s="32">
        <f t="shared" si="59"/>
        <v>0</v>
      </c>
      <c r="H31" s="32">
        <f t="shared" si="59"/>
        <v>0</v>
      </c>
      <c r="I31" s="32">
        <f t="shared" si="59"/>
        <v>0</v>
      </c>
      <c r="J31" s="32">
        <f t="shared" ref="J31:J41" si="60">SUM(E31:I31)</f>
        <v>3468</v>
      </c>
      <c r="K31" s="33">
        <f t="shared" ref="K31:K41" si="61">J31/$J$42</f>
        <v>6.9137377643986364E-2</v>
      </c>
      <c r="L31" s="70">
        <f t="shared" ref="L31:M31" si="62">+C31</f>
        <v>1</v>
      </c>
      <c r="M31" s="71" t="str">
        <f t="shared" si="62"/>
        <v>Análisis Factibilidad, Planes y Requisitos</v>
      </c>
      <c r="N31" s="72">
        <f t="shared" ref="N31:R31" si="63">E31/$J$42</f>
        <v>6.9137377643986364E-2</v>
      </c>
      <c r="O31" s="72">
        <f t="shared" si="63"/>
        <v>0</v>
      </c>
      <c r="P31" s="72">
        <f t="shared" si="63"/>
        <v>0</v>
      </c>
      <c r="Q31" s="72">
        <f t="shared" si="63"/>
        <v>0</v>
      </c>
      <c r="R31" s="72">
        <f t="shared" si="63"/>
        <v>0</v>
      </c>
      <c r="S31" s="72">
        <f t="shared" ref="S31:S41" si="64">+J31/$J$42</f>
        <v>6.9137377643986364E-2</v>
      </c>
      <c r="T31" s="73"/>
      <c r="U31" s="70">
        <f t="shared" ref="U31:V31" si="65">+L31</f>
        <v>1</v>
      </c>
      <c r="V31" s="71" t="str">
        <f t="shared" si="65"/>
        <v>Análisis Factibilidad, Planes y Requisitos</v>
      </c>
      <c r="W31" s="74">
        <f t="shared" ref="W31:W41" si="66">E31/J31</f>
        <v>1</v>
      </c>
      <c r="X31" s="75">
        <f t="shared" ref="X31:X41" si="67">F31/J31</f>
        <v>0</v>
      </c>
      <c r="Y31" s="75">
        <f t="shared" ref="Y31:Y41" si="68">G31/J31</f>
        <v>0</v>
      </c>
      <c r="Z31" s="75">
        <f t="shared" ref="Z31:Z41" si="69">H31/J31</f>
        <v>0</v>
      </c>
      <c r="AA31" s="76">
        <f t="shared" ref="AA31:AA41" si="70">I31/J31</f>
        <v>0</v>
      </c>
      <c r="AB31" s="77">
        <f t="shared" ref="AB31:AB41" si="71">SUM(W31:AA31)</f>
        <v>1</v>
      </c>
      <c r="AC31" s="49"/>
      <c r="AD31" s="19"/>
      <c r="AH31" s="20"/>
      <c r="AI31" s="70">
        <f t="shared" ref="AI31:AO31" si="72">+AI10</f>
        <v>1</v>
      </c>
      <c r="AJ31" s="29" t="str">
        <f t="shared" si="72"/>
        <v>Análisis Factibilidad, Planes y Req</v>
      </c>
      <c r="AK31" s="32">
        <f t="shared" si="72"/>
        <v>16666.666666666668</v>
      </c>
      <c r="AL31" s="32" t="str">
        <f t="shared" si="72"/>
        <v>Se multiplica el Número Horas X costo x hora. Sumandose ambos cálculos (programadores senior &amp; junior)</v>
      </c>
      <c r="AM31" s="32">
        <f t="shared" si="72"/>
        <v>0</v>
      </c>
      <c r="AN31" s="32">
        <f t="shared" si="72"/>
        <v>0</v>
      </c>
      <c r="AO31" s="32">
        <f t="shared" si="72"/>
        <v>0</v>
      </c>
      <c r="AP31" s="32">
        <f t="shared" ref="AP31:AP38" si="73">SUM(AK31:AO31)</f>
        <v>16666.666666666668</v>
      </c>
      <c r="AQ31" s="38">
        <f t="shared" ref="AQ31:AQ38" si="74">+AP31/$AP$42</f>
        <v>7.4889537931550954E-2</v>
      </c>
      <c r="AR31" s="286" t="s">
        <v>79</v>
      </c>
      <c r="AS31" s="71" t="str">
        <f t="shared" ref="AS31:AS38" si="75">+AJ31</f>
        <v>Análisis Factibilidad, Planes y Req</v>
      </c>
      <c r="AT31" s="78">
        <f t="shared" ref="AT31:AT33" si="76">+AK31/$AP$42</f>
        <v>7.4889537931550954E-2</v>
      </c>
      <c r="AU31" s="287" t="s">
        <v>80</v>
      </c>
      <c r="AV31" s="261"/>
      <c r="AW31" s="261"/>
      <c r="AX31" s="288"/>
      <c r="AY31" s="72">
        <f t="shared" ref="AY31:AY38" si="77">+AP31/$J$42</f>
        <v>0.33226344504030358</v>
      </c>
      <c r="AZ31" s="73"/>
      <c r="BA31" s="6"/>
      <c r="BB31" s="71" t="str">
        <f t="shared" ref="BB31:BB38" si="78">+AS31</f>
        <v>Análisis Factibilidad, Planes y Req</v>
      </c>
      <c r="BC31" s="79">
        <f t="shared" ref="BC31:BC32" si="79">+AK31/AP31</f>
        <v>1</v>
      </c>
      <c r="BD31" s="290" t="s">
        <v>81</v>
      </c>
      <c r="BE31" s="291"/>
      <c r="BF31" s="291"/>
      <c r="BG31" s="292"/>
      <c r="BH31" s="80">
        <f t="shared" ref="BH31:BH38" si="80">SUM(BC31:BG31)</f>
        <v>1</v>
      </c>
      <c r="BI31" s="286" t="s">
        <v>82</v>
      </c>
      <c r="BJ31" s="277"/>
    </row>
    <row r="32" spans="2:62" ht="15.75" customHeight="1" outlineLevel="1">
      <c r="B32" s="18"/>
      <c r="C32" s="70">
        <f t="shared" si="58"/>
        <v>2</v>
      </c>
      <c r="D32" s="31" t="s">
        <v>31</v>
      </c>
      <c r="E32" s="32">
        <f t="shared" ref="E32:I32" si="81">+E11</f>
        <v>2834</v>
      </c>
      <c r="F32" s="32">
        <f t="shared" si="81"/>
        <v>0</v>
      </c>
      <c r="G32" s="32">
        <f t="shared" si="81"/>
        <v>0</v>
      </c>
      <c r="H32" s="32">
        <f t="shared" si="81"/>
        <v>0</v>
      </c>
      <c r="I32" s="32">
        <f t="shared" si="81"/>
        <v>0</v>
      </c>
      <c r="J32" s="32">
        <f t="shared" si="60"/>
        <v>2834</v>
      </c>
      <c r="K32" s="33">
        <f t="shared" si="61"/>
        <v>5.6498076194653218E-2</v>
      </c>
      <c r="L32" s="70">
        <f t="shared" ref="L32:M32" si="82">+C32</f>
        <v>2</v>
      </c>
      <c r="M32" s="71" t="str">
        <f t="shared" si="82"/>
        <v xml:space="preserve">Diseño </v>
      </c>
      <c r="N32" s="72">
        <f t="shared" ref="N32:R32" si="83">E32/$J$42</f>
        <v>5.6498076194653218E-2</v>
      </c>
      <c r="O32" s="72">
        <f t="shared" si="83"/>
        <v>0</v>
      </c>
      <c r="P32" s="72">
        <f t="shared" si="83"/>
        <v>0</v>
      </c>
      <c r="Q32" s="72">
        <f t="shared" si="83"/>
        <v>0</v>
      </c>
      <c r="R32" s="72">
        <f t="shared" si="83"/>
        <v>0</v>
      </c>
      <c r="S32" s="72">
        <f t="shared" si="64"/>
        <v>5.6498076194653218E-2</v>
      </c>
      <c r="T32" s="73"/>
      <c r="U32" s="70">
        <f t="shared" ref="U32:V32" si="84">+L32</f>
        <v>2</v>
      </c>
      <c r="V32" s="71" t="str">
        <f t="shared" si="84"/>
        <v xml:space="preserve">Diseño </v>
      </c>
      <c r="W32" s="81">
        <f t="shared" si="66"/>
        <v>1</v>
      </c>
      <c r="X32" s="72">
        <f t="shared" si="67"/>
        <v>0</v>
      </c>
      <c r="Y32" s="72">
        <f t="shared" si="68"/>
        <v>0</v>
      </c>
      <c r="Z32" s="72">
        <f t="shared" si="69"/>
        <v>0</v>
      </c>
      <c r="AA32" s="82">
        <f t="shared" si="70"/>
        <v>0</v>
      </c>
      <c r="AB32" s="83">
        <f t="shared" si="71"/>
        <v>1</v>
      </c>
      <c r="AC32" s="49"/>
      <c r="AD32" s="19"/>
      <c r="AH32" s="20"/>
      <c r="AI32" s="70">
        <f t="shared" ref="AI32:AO32" si="85">+AI11</f>
        <v>2</v>
      </c>
      <c r="AJ32" s="29" t="str">
        <f t="shared" si="85"/>
        <v>Diseño del producto</v>
      </c>
      <c r="AK32" s="32">
        <f t="shared" si="85"/>
        <v>33333.333333333336</v>
      </c>
      <c r="AL32" s="32">
        <f t="shared" si="85"/>
        <v>0</v>
      </c>
      <c r="AM32" s="32">
        <f t="shared" si="85"/>
        <v>0</v>
      </c>
      <c r="AN32" s="32">
        <f t="shared" si="85"/>
        <v>0</v>
      </c>
      <c r="AO32" s="32">
        <f t="shared" si="85"/>
        <v>0</v>
      </c>
      <c r="AP32" s="32">
        <f t="shared" si="73"/>
        <v>33333.333333333336</v>
      </c>
      <c r="AQ32" s="33">
        <f t="shared" si="74"/>
        <v>0.14977907586310191</v>
      </c>
      <c r="AR32" s="258"/>
      <c r="AS32" s="71" t="str">
        <f t="shared" si="75"/>
        <v>Diseño del producto</v>
      </c>
      <c r="AT32" s="72">
        <f t="shared" si="76"/>
        <v>0.14977907586310191</v>
      </c>
      <c r="AU32" s="262"/>
      <c r="AV32" s="263"/>
      <c r="AW32" s="263"/>
      <c r="AX32" s="289"/>
      <c r="AY32" s="72">
        <f t="shared" si="77"/>
        <v>0.66452689008060717</v>
      </c>
      <c r="AZ32" s="73"/>
      <c r="BA32" s="6"/>
      <c r="BB32" s="71" t="str">
        <f t="shared" si="78"/>
        <v>Diseño del producto</v>
      </c>
      <c r="BC32" s="81">
        <f t="shared" si="79"/>
        <v>1</v>
      </c>
      <c r="BD32" s="262"/>
      <c r="BE32" s="263"/>
      <c r="BF32" s="263"/>
      <c r="BG32" s="293"/>
      <c r="BH32" s="84">
        <f t="shared" si="80"/>
        <v>1</v>
      </c>
      <c r="BI32" s="258"/>
      <c r="BJ32" s="277"/>
    </row>
    <row r="33" spans="2:62" ht="15.75" customHeight="1" outlineLevel="1">
      <c r="B33" s="18"/>
      <c r="C33" s="70">
        <f t="shared" si="58"/>
        <v>3</v>
      </c>
      <c r="D33" s="31" t="s">
        <v>33</v>
      </c>
      <c r="E33" s="32">
        <f t="shared" ref="E33:I33" si="86">+E12</f>
        <v>0</v>
      </c>
      <c r="F33" s="32">
        <f t="shared" si="86"/>
        <v>5668</v>
      </c>
      <c r="G33" s="32">
        <f t="shared" si="86"/>
        <v>5034</v>
      </c>
      <c r="H33" s="32">
        <f t="shared" si="86"/>
        <v>0</v>
      </c>
      <c r="I33" s="32">
        <f t="shared" si="86"/>
        <v>0</v>
      </c>
      <c r="J33" s="32">
        <f t="shared" si="60"/>
        <v>10702</v>
      </c>
      <c r="K33" s="33">
        <f t="shared" si="61"/>
        <v>0.21335300332927973</v>
      </c>
      <c r="L33" s="70">
        <f t="shared" ref="L33:M33" si="87">+C33</f>
        <v>3</v>
      </c>
      <c r="M33" s="71" t="str">
        <f t="shared" si="87"/>
        <v>Programación</v>
      </c>
      <c r="N33" s="72">
        <f t="shared" ref="N33:R33" si="88">E33/$J$42</f>
        <v>0</v>
      </c>
      <c r="O33" s="72">
        <f t="shared" si="88"/>
        <v>0.11299615238930644</v>
      </c>
      <c r="P33" s="72">
        <f t="shared" si="88"/>
        <v>0.10035685093997329</v>
      </c>
      <c r="Q33" s="72">
        <f t="shared" si="88"/>
        <v>0</v>
      </c>
      <c r="R33" s="72">
        <f t="shared" si="88"/>
        <v>0</v>
      </c>
      <c r="S33" s="72">
        <f t="shared" si="64"/>
        <v>0.21335300332927973</v>
      </c>
      <c r="T33" s="73"/>
      <c r="U33" s="70">
        <f t="shared" ref="U33:V33" si="89">+L33</f>
        <v>3</v>
      </c>
      <c r="V33" s="71" t="str">
        <f t="shared" si="89"/>
        <v>Programación</v>
      </c>
      <c r="W33" s="81">
        <f t="shared" si="66"/>
        <v>0</v>
      </c>
      <c r="X33" s="72">
        <f t="shared" si="67"/>
        <v>0.52962063165763407</v>
      </c>
      <c r="Y33" s="72">
        <f t="shared" si="68"/>
        <v>0.47037936834236593</v>
      </c>
      <c r="Z33" s="72">
        <f t="shared" si="69"/>
        <v>0</v>
      </c>
      <c r="AA33" s="82">
        <f t="shared" si="70"/>
        <v>0</v>
      </c>
      <c r="AB33" s="83">
        <f t="shared" si="71"/>
        <v>1</v>
      </c>
      <c r="AC33" s="49"/>
      <c r="AD33" s="19"/>
      <c r="AH33" s="20"/>
      <c r="AI33" s="70">
        <f t="shared" ref="AI33:AO33" si="90">+AI12</f>
        <v>3</v>
      </c>
      <c r="AJ33" s="29" t="str">
        <f t="shared" si="90"/>
        <v>Programación</v>
      </c>
      <c r="AK33" s="32">
        <f t="shared" si="90"/>
        <v>0</v>
      </c>
      <c r="AL33" s="32">
        <f t="shared" si="90"/>
        <v>32333.333333333336</v>
      </c>
      <c r="AM33" s="32">
        <f t="shared" si="90"/>
        <v>32333.333333333336</v>
      </c>
      <c r="AN33" s="32">
        <f t="shared" si="90"/>
        <v>36500</v>
      </c>
      <c r="AO33" s="32">
        <f t="shared" si="90"/>
        <v>0</v>
      </c>
      <c r="AP33" s="32">
        <f t="shared" si="73"/>
        <v>101166.66666666667</v>
      </c>
      <c r="AQ33" s="33">
        <f t="shared" si="74"/>
        <v>0.4545794952445143</v>
      </c>
      <c r="AR33" s="258"/>
      <c r="AS33" s="71" t="str">
        <f t="shared" si="75"/>
        <v>Programación</v>
      </c>
      <c r="AT33" s="72">
        <f t="shared" si="76"/>
        <v>0</v>
      </c>
      <c r="AU33" s="72">
        <f t="shared" ref="AU33:AW33" si="91">+AL33/$AP$42</f>
        <v>0.14528570358720885</v>
      </c>
      <c r="AV33" s="72">
        <f t="shared" si="91"/>
        <v>0.14528570358720885</v>
      </c>
      <c r="AW33" s="72">
        <f t="shared" si="91"/>
        <v>0.16400808807009659</v>
      </c>
      <c r="AX33" s="72"/>
      <c r="AY33" s="78">
        <f t="shared" si="77"/>
        <v>2.0168391113946429</v>
      </c>
      <c r="AZ33" s="294" t="s">
        <v>83</v>
      </c>
      <c r="BA33" s="258"/>
      <c r="BB33" s="71" t="str">
        <f t="shared" si="78"/>
        <v>Programación</v>
      </c>
      <c r="BC33" s="81"/>
      <c r="BD33" s="72">
        <f t="shared" ref="BD33:BF33" si="92">+AL33/$AP$33</f>
        <v>0.3196046128500824</v>
      </c>
      <c r="BE33" s="72">
        <f t="shared" si="92"/>
        <v>0.3196046128500824</v>
      </c>
      <c r="BF33" s="72">
        <f t="shared" si="92"/>
        <v>0.36079077429983525</v>
      </c>
      <c r="BG33" s="83"/>
      <c r="BH33" s="84">
        <f t="shared" si="80"/>
        <v>1</v>
      </c>
      <c r="BI33" s="49"/>
      <c r="BJ33" s="24"/>
    </row>
    <row r="34" spans="2:62" ht="15.75" customHeight="1" outlineLevel="1">
      <c r="B34" s="18"/>
      <c r="C34" s="70">
        <f t="shared" si="58"/>
        <v>4</v>
      </c>
      <c r="D34" s="6" t="s">
        <v>262</v>
      </c>
      <c r="E34" s="32">
        <f t="shared" ref="E34:I34" si="93">+E13</f>
        <v>0</v>
      </c>
      <c r="F34" s="32">
        <f t="shared" si="93"/>
        <v>3485</v>
      </c>
      <c r="G34" s="32">
        <f t="shared" si="93"/>
        <v>2651</v>
      </c>
      <c r="H34" s="32">
        <f t="shared" si="93"/>
        <v>0</v>
      </c>
      <c r="I34" s="32">
        <f t="shared" si="93"/>
        <v>0</v>
      </c>
      <c r="J34" s="32">
        <f t="shared" si="60"/>
        <v>6136</v>
      </c>
      <c r="K34" s="33">
        <f t="shared" si="61"/>
        <v>0.12232610992603815</v>
      </c>
      <c r="L34" s="70">
        <f t="shared" ref="L34:M34" si="94">+C34</f>
        <v>4</v>
      </c>
      <c r="M34" s="71" t="str">
        <f t="shared" si="94"/>
        <v>Documentación</v>
      </c>
      <c r="N34" s="72">
        <f t="shared" ref="N34:R34" si="95">E34/$J$42</f>
        <v>0</v>
      </c>
      <c r="O34" s="72">
        <f t="shared" si="95"/>
        <v>6.9476286357927478E-2</v>
      </c>
      <c r="P34" s="72">
        <f t="shared" si="95"/>
        <v>5.2849823568110681E-2</v>
      </c>
      <c r="Q34" s="72">
        <f t="shared" si="95"/>
        <v>0</v>
      </c>
      <c r="R34" s="72">
        <f t="shared" si="95"/>
        <v>0</v>
      </c>
      <c r="S34" s="72">
        <f t="shared" si="64"/>
        <v>0.12232610992603815</v>
      </c>
      <c r="T34" s="73"/>
      <c r="U34" s="70">
        <f t="shared" ref="U34:V34" si="96">+L34</f>
        <v>4</v>
      </c>
      <c r="V34" s="71" t="str">
        <f t="shared" si="96"/>
        <v>Documentación</v>
      </c>
      <c r="W34" s="81">
        <f t="shared" si="66"/>
        <v>0</v>
      </c>
      <c r="X34" s="72">
        <f t="shared" si="67"/>
        <v>0.56795958279009129</v>
      </c>
      <c r="Y34" s="72">
        <f t="shared" si="68"/>
        <v>0.43204041720990871</v>
      </c>
      <c r="Z34" s="72">
        <f t="shared" si="69"/>
        <v>0</v>
      </c>
      <c r="AA34" s="82">
        <f t="shared" si="70"/>
        <v>0</v>
      </c>
      <c r="AB34" s="83">
        <f t="shared" si="71"/>
        <v>1</v>
      </c>
      <c r="AC34" s="49"/>
      <c r="AD34" s="19"/>
      <c r="AH34" s="20"/>
      <c r="AI34" s="70">
        <f t="shared" ref="AI34:AO34" si="97">+AI13</f>
        <v>4</v>
      </c>
      <c r="AJ34" s="29" t="str">
        <f t="shared" si="97"/>
        <v>Integración y pruebas</v>
      </c>
      <c r="AK34" s="32">
        <f t="shared" si="97"/>
        <v>0</v>
      </c>
      <c r="AL34" s="32">
        <f t="shared" si="97"/>
        <v>0</v>
      </c>
      <c r="AM34" s="32">
        <f t="shared" si="97"/>
        <v>0</v>
      </c>
      <c r="AN34" s="32">
        <f t="shared" si="97"/>
        <v>0</v>
      </c>
      <c r="AO34" s="32">
        <f t="shared" si="97"/>
        <v>24333.333333333336</v>
      </c>
      <c r="AP34" s="32">
        <f t="shared" si="73"/>
        <v>24333.333333333336</v>
      </c>
      <c r="AQ34" s="33">
        <f t="shared" si="74"/>
        <v>0.10933872538006441</v>
      </c>
      <c r="AR34" s="71"/>
      <c r="AS34" s="71" t="str">
        <f t="shared" si="75"/>
        <v>Integración y pruebas</v>
      </c>
      <c r="AT34" s="72"/>
      <c r="AU34" s="72"/>
      <c r="AV34" s="72"/>
      <c r="AW34" s="72"/>
      <c r="AX34" s="72">
        <f t="shared" ref="AX34:AX35" si="98">+AO34/$AP$42</f>
        <v>0.10933872538006441</v>
      </c>
      <c r="AY34" s="72">
        <f t="shared" si="77"/>
        <v>0.48510462975884322</v>
      </c>
      <c r="AZ34" s="295"/>
      <c r="BA34" s="258"/>
      <c r="BB34" s="71" t="str">
        <f t="shared" si="78"/>
        <v>Integración y pruebas</v>
      </c>
      <c r="BC34" s="81"/>
      <c r="BD34" s="72"/>
      <c r="BE34" s="72"/>
      <c r="BF34" s="72"/>
      <c r="BG34" s="83">
        <f t="shared" ref="BG34:BG35" si="99">+AO34/AP34</f>
        <v>1</v>
      </c>
      <c r="BH34" s="84">
        <f t="shared" si="80"/>
        <v>1</v>
      </c>
      <c r="BI34" s="49"/>
      <c r="BJ34" s="24"/>
    </row>
    <row r="35" spans="2:62" ht="15.75" customHeight="1" outlineLevel="1">
      <c r="B35" s="18"/>
      <c r="C35" s="70">
        <f t="shared" si="58"/>
        <v>5</v>
      </c>
      <c r="D35" s="31" t="s">
        <v>36</v>
      </c>
      <c r="E35" s="32">
        <f t="shared" ref="E35:I35" si="100">+E14</f>
        <v>0</v>
      </c>
      <c r="F35" s="32">
        <f t="shared" si="100"/>
        <v>0</v>
      </c>
      <c r="G35" s="32">
        <f t="shared" si="100"/>
        <v>3102</v>
      </c>
      <c r="H35" s="32">
        <f t="shared" si="100"/>
        <v>0</v>
      </c>
      <c r="I35" s="32">
        <f t="shared" si="100"/>
        <v>0</v>
      </c>
      <c r="J35" s="32">
        <f t="shared" si="60"/>
        <v>3102</v>
      </c>
      <c r="K35" s="33">
        <f t="shared" si="61"/>
        <v>6.1840872390901296E-2</v>
      </c>
      <c r="L35" s="70">
        <f t="shared" ref="L35:M35" si="101">+C35</f>
        <v>5</v>
      </c>
      <c r="M35" s="71" t="str">
        <f t="shared" si="101"/>
        <v>Pruebas individuales</v>
      </c>
      <c r="N35" s="72">
        <f t="shared" ref="N35:R35" si="102">E35/$J$42</f>
        <v>0</v>
      </c>
      <c r="O35" s="72">
        <f t="shared" si="102"/>
        <v>0</v>
      </c>
      <c r="P35" s="72">
        <f t="shared" si="102"/>
        <v>6.1840872390901296E-2</v>
      </c>
      <c r="Q35" s="72">
        <f t="shared" si="102"/>
        <v>0</v>
      </c>
      <c r="R35" s="72">
        <f t="shared" si="102"/>
        <v>0</v>
      </c>
      <c r="S35" s="72">
        <f t="shared" si="64"/>
        <v>6.1840872390901296E-2</v>
      </c>
      <c r="T35" s="73"/>
      <c r="U35" s="70">
        <f t="shared" ref="U35:V35" si="103">+L35</f>
        <v>5</v>
      </c>
      <c r="V35" s="71" t="str">
        <f t="shared" si="103"/>
        <v>Pruebas individuales</v>
      </c>
      <c r="W35" s="81">
        <f t="shared" si="66"/>
        <v>0</v>
      </c>
      <c r="X35" s="72">
        <f t="shared" si="67"/>
        <v>0</v>
      </c>
      <c r="Y35" s="72">
        <f t="shared" si="68"/>
        <v>1</v>
      </c>
      <c r="Z35" s="72">
        <f t="shared" si="69"/>
        <v>0</v>
      </c>
      <c r="AA35" s="82">
        <f t="shared" si="70"/>
        <v>0</v>
      </c>
      <c r="AB35" s="83">
        <f t="shared" si="71"/>
        <v>1</v>
      </c>
      <c r="AC35" s="49"/>
      <c r="AD35" s="19"/>
      <c r="AH35" s="20"/>
      <c r="AI35" s="70">
        <f t="shared" ref="AI35:AO35" si="104">+AI14</f>
        <v>5</v>
      </c>
      <c r="AJ35" s="29" t="str">
        <f t="shared" si="104"/>
        <v>Go Life</v>
      </c>
      <c r="AK35" s="32">
        <f t="shared" si="104"/>
        <v>0</v>
      </c>
      <c r="AL35" s="32">
        <f t="shared" si="104"/>
        <v>0</v>
      </c>
      <c r="AM35" s="32">
        <f t="shared" si="104"/>
        <v>0</v>
      </c>
      <c r="AN35" s="32">
        <f t="shared" si="104"/>
        <v>0</v>
      </c>
      <c r="AO35" s="32">
        <f t="shared" si="104"/>
        <v>14250</v>
      </c>
      <c r="AP35" s="32">
        <f t="shared" si="73"/>
        <v>14250</v>
      </c>
      <c r="AQ35" s="33">
        <f t="shared" si="74"/>
        <v>6.4030554931476066E-2</v>
      </c>
      <c r="AR35" s="71"/>
      <c r="AS35" s="71" t="str">
        <f t="shared" si="75"/>
        <v>Go Life</v>
      </c>
      <c r="AT35" s="72"/>
      <c r="AU35" s="72"/>
      <c r="AV35" s="72"/>
      <c r="AW35" s="72"/>
      <c r="AX35" s="72">
        <f t="shared" si="98"/>
        <v>6.4030554931476066E-2</v>
      </c>
      <c r="AY35" s="72">
        <f t="shared" si="77"/>
        <v>0.28408524550945952</v>
      </c>
      <c r="AZ35" s="295"/>
      <c r="BA35" s="258"/>
      <c r="BB35" s="71" t="str">
        <f t="shared" si="78"/>
        <v>Go Life</v>
      </c>
      <c r="BC35" s="81"/>
      <c r="BD35" s="72"/>
      <c r="BE35" s="72"/>
      <c r="BF35" s="72"/>
      <c r="BG35" s="83">
        <f t="shared" si="99"/>
        <v>1</v>
      </c>
      <c r="BH35" s="84">
        <f t="shared" si="80"/>
        <v>1</v>
      </c>
      <c r="BI35" s="49"/>
      <c r="BJ35" s="24"/>
    </row>
    <row r="36" spans="2:62" ht="15.75" customHeight="1" outlineLevel="1">
      <c r="B36" s="18"/>
      <c r="C36" s="70">
        <v>6</v>
      </c>
      <c r="D36" s="31" t="s">
        <v>38</v>
      </c>
      <c r="E36" s="32">
        <v>0</v>
      </c>
      <c r="F36" s="32">
        <v>0</v>
      </c>
      <c r="G36" s="32">
        <f>G15</f>
        <v>2068</v>
      </c>
      <c r="H36" s="32">
        <f>+H15</f>
        <v>0</v>
      </c>
      <c r="I36" s="32">
        <f>I15</f>
        <v>0</v>
      </c>
      <c r="J36" s="32">
        <f t="shared" si="60"/>
        <v>2068</v>
      </c>
      <c r="K36" s="33">
        <f t="shared" si="61"/>
        <v>4.1227248260600868E-2</v>
      </c>
      <c r="L36" s="70">
        <f t="shared" ref="L36:M36" si="105">+C36</f>
        <v>6</v>
      </c>
      <c r="M36" s="71" t="str">
        <f t="shared" si="105"/>
        <v xml:space="preserve">Integración y pruebas </v>
      </c>
      <c r="N36" s="72">
        <f t="shared" ref="N36:R36" si="106">E36/$J$42</f>
        <v>0</v>
      </c>
      <c r="O36" s="72">
        <f t="shared" si="106"/>
        <v>0</v>
      </c>
      <c r="P36" s="72">
        <f t="shared" si="106"/>
        <v>4.1227248260600868E-2</v>
      </c>
      <c r="Q36" s="72">
        <f t="shared" si="106"/>
        <v>0</v>
      </c>
      <c r="R36" s="72">
        <f t="shared" si="106"/>
        <v>0</v>
      </c>
      <c r="S36" s="72">
        <f t="shared" si="64"/>
        <v>4.1227248260600868E-2</v>
      </c>
      <c r="T36" s="73"/>
      <c r="U36" s="70">
        <f t="shared" ref="U36:V36" si="107">+L36</f>
        <v>6</v>
      </c>
      <c r="V36" s="71" t="str">
        <f t="shared" si="107"/>
        <v xml:space="preserve">Integración y pruebas </v>
      </c>
      <c r="W36" s="81">
        <f t="shared" si="66"/>
        <v>0</v>
      </c>
      <c r="X36" s="72">
        <f t="shared" si="67"/>
        <v>0</v>
      </c>
      <c r="Y36" s="72">
        <f t="shared" si="68"/>
        <v>1</v>
      </c>
      <c r="Z36" s="72">
        <f t="shared" si="69"/>
        <v>0</v>
      </c>
      <c r="AA36" s="82">
        <f t="shared" si="70"/>
        <v>0</v>
      </c>
      <c r="AB36" s="83">
        <f t="shared" si="71"/>
        <v>1</v>
      </c>
      <c r="AC36" s="49"/>
      <c r="AD36" s="19"/>
      <c r="AF36" s="85" t="s">
        <v>84</v>
      </c>
      <c r="AH36" s="20"/>
      <c r="AI36" s="70">
        <f t="shared" ref="AI36:AO36" si="108">+AI23</f>
        <v>6</v>
      </c>
      <c r="AJ36" s="29" t="str">
        <f t="shared" si="108"/>
        <v>Infraestructura (SW)</v>
      </c>
      <c r="AK36" s="32">
        <f t="shared" si="108"/>
        <v>0</v>
      </c>
      <c r="AL36" s="32">
        <f t="shared" si="108"/>
        <v>8000</v>
      </c>
      <c r="AM36" s="32">
        <f t="shared" si="108"/>
        <v>0</v>
      </c>
      <c r="AN36" s="32">
        <f t="shared" si="108"/>
        <v>0</v>
      </c>
      <c r="AO36" s="32">
        <f t="shared" si="108"/>
        <v>0</v>
      </c>
      <c r="AP36" s="32">
        <f t="shared" si="73"/>
        <v>8000</v>
      </c>
      <c r="AQ36" s="33">
        <f t="shared" si="74"/>
        <v>3.5946978207144459E-2</v>
      </c>
      <c r="AR36" s="71"/>
      <c r="AS36" s="71" t="str">
        <f t="shared" si="75"/>
        <v>Infraestructura (SW)</v>
      </c>
      <c r="AT36" s="72"/>
      <c r="AU36" s="72">
        <f t="shared" ref="AU36:AU37" si="109">+AL36/$AP$42</f>
        <v>3.5946978207144459E-2</v>
      </c>
      <c r="AV36" s="72"/>
      <c r="AW36" s="72"/>
      <c r="AX36" s="72"/>
      <c r="AY36" s="72">
        <f t="shared" si="77"/>
        <v>0.15948645361934571</v>
      </c>
      <c r="AZ36" s="295"/>
      <c r="BA36" s="258"/>
      <c r="BB36" s="71" t="str">
        <f t="shared" si="78"/>
        <v>Infraestructura (SW)</v>
      </c>
      <c r="BC36" s="81"/>
      <c r="BD36" s="72">
        <f>+AL36/AP36</f>
        <v>1</v>
      </c>
      <c r="BE36" s="72"/>
      <c r="BF36" s="72"/>
      <c r="BG36" s="83"/>
      <c r="BH36" s="84">
        <f t="shared" si="80"/>
        <v>1</v>
      </c>
      <c r="BI36" s="49"/>
      <c r="BJ36" s="24"/>
    </row>
    <row r="37" spans="2:62" ht="15.75" customHeight="1" outlineLevel="1">
      <c r="B37" s="18"/>
      <c r="C37" s="70">
        <v>7</v>
      </c>
      <c r="D37" s="31" t="s">
        <v>37</v>
      </c>
      <c r="E37" s="32">
        <v>0</v>
      </c>
      <c r="F37" s="32">
        <v>0</v>
      </c>
      <c r="G37" s="32">
        <v>0</v>
      </c>
      <c r="H37" s="32">
        <f>H16</f>
        <v>617</v>
      </c>
      <c r="I37" s="32">
        <f>+I16</f>
        <v>0</v>
      </c>
      <c r="J37" s="32">
        <f t="shared" si="60"/>
        <v>617</v>
      </c>
      <c r="K37" s="33">
        <f t="shared" si="61"/>
        <v>1.2300392735392037E-2</v>
      </c>
      <c r="L37" s="70">
        <f t="shared" ref="L37:M37" si="110">+C37</f>
        <v>7</v>
      </c>
      <c r="M37" s="71" t="str">
        <f t="shared" si="110"/>
        <v>Go Life</v>
      </c>
      <c r="N37" s="72">
        <f t="shared" ref="N37:R37" si="111">E37/$J$42</f>
        <v>0</v>
      </c>
      <c r="O37" s="72">
        <f t="shared" si="111"/>
        <v>0</v>
      </c>
      <c r="P37" s="72">
        <f t="shared" si="111"/>
        <v>0</v>
      </c>
      <c r="Q37" s="72">
        <f t="shared" si="111"/>
        <v>1.2300392735392037E-2</v>
      </c>
      <c r="R37" s="72">
        <f t="shared" si="111"/>
        <v>0</v>
      </c>
      <c r="S37" s="72">
        <f t="shared" si="64"/>
        <v>1.2300392735392037E-2</v>
      </c>
      <c r="T37" s="73"/>
      <c r="U37" s="70">
        <f t="shared" ref="U37:V37" si="112">+L37</f>
        <v>7</v>
      </c>
      <c r="V37" s="71" t="str">
        <f t="shared" si="112"/>
        <v>Go Life</v>
      </c>
      <c r="W37" s="81">
        <f t="shared" si="66"/>
        <v>0</v>
      </c>
      <c r="X37" s="72">
        <f t="shared" si="67"/>
        <v>0</v>
      </c>
      <c r="Y37" s="72">
        <f t="shared" si="68"/>
        <v>0</v>
      </c>
      <c r="Z37" s="72">
        <f t="shared" si="69"/>
        <v>1</v>
      </c>
      <c r="AA37" s="82">
        <f t="shared" si="70"/>
        <v>0</v>
      </c>
      <c r="AB37" s="83">
        <f t="shared" si="71"/>
        <v>1</v>
      </c>
      <c r="AC37" s="49"/>
      <c r="AD37" s="19"/>
      <c r="AH37" s="20"/>
      <c r="AI37" s="70">
        <f t="shared" ref="AI37:AO37" si="113">+AI24</f>
        <v>7</v>
      </c>
      <c r="AJ37" s="29" t="str">
        <f t="shared" si="113"/>
        <v>Costos Fijos (Luz, Agua, servicios)</v>
      </c>
      <c r="AK37" s="32">
        <f t="shared" si="113"/>
        <v>0</v>
      </c>
      <c r="AL37" s="32">
        <f t="shared" si="113"/>
        <v>1200</v>
      </c>
      <c r="AM37" s="32">
        <f t="shared" si="113"/>
        <v>1200</v>
      </c>
      <c r="AN37" s="32">
        <f t="shared" si="113"/>
        <v>1200</v>
      </c>
      <c r="AO37" s="32">
        <f t="shared" si="113"/>
        <v>1200</v>
      </c>
      <c r="AP37" s="32">
        <f t="shared" si="73"/>
        <v>4800</v>
      </c>
      <c r="AQ37" s="33">
        <f t="shared" si="74"/>
        <v>2.1568186924286675E-2</v>
      </c>
      <c r="AR37" s="71"/>
      <c r="AS37" s="71" t="str">
        <f t="shared" si="75"/>
        <v>Costos Fijos (Luz, Agua, servicios)</v>
      </c>
      <c r="AT37" s="72"/>
      <c r="AU37" s="72">
        <f t="shared" si="109"/>
        <v>5.3920467310716686E-3</v>
      </c>
      <c r="AV37" s="72">
        <f t="shared" ref="AV37:AX37" si="114">+AM37/$AP$42</f>
        <v>5.3920467310716686E-3</v>
      </c>
      <c r="AW37" s="72">
        <f t="shared" si="114"/>
        <v>5.3920467310716686E-3</v>
      </c>
      <c r="AX37" s="72">
        <f t="shared" si="114"/>
        <v>5.3920467310716686E-3</v>
      </c>
      <c r="AY37" s="72">
        <f t="shared" si="77"/>
        <v>9.569187217160742E-2</v>
      </c>
      <c r="AZ37" s="73"/>
      <c r="BA37" s="6"/>
      <c r="BB37" s="71" t="str">
        <f t="shared" si="78"/>
        <v>Costos Fijos (Luz, Agua, servicios)</v>
      </c>
      <c r="BC37" s="81"/>
      <c r="BD37" s="72">
        <f t="shared" ref="BD37:BG37" si="115">+AL37/$AP$37</f>
        <v>0.25</v>
      </c>
      <c r="BE37" s="72">
        <f t="shared" si="115"/>
        <v>0.25</v>
      </c>
      <c r="BF37" s="72">
        <f t="shared" si="115"/>
        <v>0.25</v>
      </c>
      <c r="BG37" s="83">
        <f t="shared" si="115"/>
        <v>0.25</v>
      </c>
      <c r="BH37" s="84">
        <f t="shared" si="80"/>
        <v>1</v>
      </c>
      <c r="BI37" s="49"/>
      <c r="BJ37" s="24"/>
    </row>
    <row r="38" spans="2:62" ht="15.75" customHeight="1" outlineLevel="1">
      <c r="B38" s="18"/>
      <c r="C38" s="70">
        <v>8</v>
      </c>
      <c r="D38" s="6" t="s">
        <v>263</v>
      </c>
      <c r="E38" s="42">
        <f t="shared" ref="E38:G38" si="116">+E25</f>
        <v>0</v>
      </c>
      <c r="F38" s="42">
        <f t="shared" si="116"/>
        <v>0</v>
      </c>
      <c r="G38" s="42">
        <v>0</v>
      </c>
      <c r="H38" s="42">
        <v>0</v>
      </c>
      <c r="I38" s="49">
        <f>I17</f>
        <v>1234</v>
      </c>
      <c r="J38" s="42">
        <f t="shared" si="60"/>
        <v>1234</v>
      </c>
      <c r="K38" s="33">
        <f t="shared" si="61"/>
        <v>2.4600785470784075E-2</v>
      </c>
      <c r="L38" s="70">
        <f t="shared" ref="L38:M38" si="117">+C38</f>
        <v>8</v>
      </c>
      <c r="M38" s="71" t="str">
        <f t="shared" si="117"/>
        <v>Revisión proyecto</v>
      </c>
      <c r="N38" s="72">
        <f t="shared" ref="N38:R38" si="118">E38/$J$42</f>
        <v>0</v>
      </c>
      <c r="O38" s="72">
        <f t="shared" si="118"/>
        <v>0</v>
      </c>
      <c r="P38" s="72">
        <f t="shared" si="118"/>
        <v>0</v>
      </c>
      <c r="Q38" s="72">
        <f t="shared" si="118"/>
        <v>0</v>
      </c>
      <c r="R38" s="72">
        <f t="shared" si="118"/>
        <v>2.4600785470784075E-2</v>
      </c>
      <c r="S38" s="86">
        <f t="shared" si="64"/>
        <v>2.4600785470784075E-2</v>
      </c>
      <c r="T38" s="73"/>
      <c r="U38" s="70">
        <f t="shared" ref="U38:V38" si="119">+L38</f>
        <v>8</v>
      </c>
      <c r="V38" s="71" t="str">
        <f t="shared" si="119"/>
        <v>Revisión proyecto</v>
      </c>
      <c r="W38" s="81">
        <f t="shared" si="66"/>
        <v>0</v>
      </c>
      <c r="X38" s="72">
        <f t="shared" si="67"/>
        <v>0</v>
      </c>
      <c r="Y38" s="72">
        <f t="shared" si="68"/>
        <v>0</v>
      </c>
      <c r="Z38" s="72">
        <f t="shared" si="69"/>
        <v>0</v>
      </c>
      <c r="AA38" s="82">
        <f t="shared" si="70"/>
        <v>1</v>
      </c>
      <c r="AB38" s="83">
        <f t="shared" si="71"/>
        <v>1</v>
      </c>
      <c r="AC38" s="49"/>
      <c r="AD38" s="19"/>
      <c r="AH38" s="20"/>
      <c r="AI38" s="70">
        <f t="shared" ref="AI38:AM38" si="120">+AI25</f>
        <v>8</v>
      </c>
      <c r="AJ38" s="29" t="str">
        <f t="shared" si="120"/>
        <v>Mercadotécnia</v>
      </c>
      <c r="AK38" s="42">
        <f t="shared" si="120"/>
        <v>0</v>
      </c>
      <c r="AL38" s="42">
        <f t="shared" si="120"/>
        <v>0</v>
      </c>
      <c r="AM38" s="42">
        <f t="shared" si="120"/>
        <v>0</v>
      </c>
      <c r="AN38" s="42">
        <v>0</v>
      </c>
      <c r="AO38" s="42">
        <f>+AO25</f>
        <v>20000</v>
      </c>
      <c r="AP38" s="42">
        <f t="shared" si="73"/>
        <v>20000</v>
      </c>
      <c r="AQ38" s="33">
        <f t="shared" si="74"/>
        <v>8.9867445517861147E-2</v>
      </c>
      <c r="AR38" s="71"/>
      <c r="AS38" s="71" t="str">
        <f t="shared" si="75"/>
        <v>Mercadotécnia</v>
      </c>
      <c r="AT38" s="86"/>
      <c r="AU38" s="86"/>
      <c r="AV38" s="86"/>
      <c r="AW38" s="86"/>
      <c r="AX38" s="86">
        <f>+AO38/$AP$42</f>
        <v>8.9867445517861147E-2</v>
      </c>
      <c r="AY38" s="86">
        <f t="shared" si="77"/>
        <v>0.39871613404836426</v>
      </c>
      <c r="AZ38" s="73"/>
      <c r="BA38" s="6"/>
      <c r="BB38" s="71" t="str">
        <f t="shared" si="78"/>
        <v>Mercadotécnia</v>
      </c>
      <c r="BC38" s="87"/>
      <c r="BD38" s="88"/>
      <c r="BE38" s="88"/>
      <c r="BF38" s="88"/>
      <c r="BG38" s="89">
        <f>+AO38/AP38</f>
        <v>1</v>
      </c>
      <c r="BH38" s="84">
        <f t="shared" si="80"/>
        <v>1</v>
      </c>
      <c r="BI38" s="49"/>
      <c r="BJ38" s="24"/>
    </row>
    <row r="39" spans="2:62" ht="15.75" customHeight="1" outlineLevel="1">
      <c r="B39" s="18"/>
      <c r="C39" s="70">
        <v>9</v>
      </c>
      <c r="D39" s="59" t="s">
        <v>53</v>
      </c>
      <c r="E39" s="32">
        <f>E23</f>
        <v>5000</v>
      </c>
      <c r="F39" s="32">
        <f>F23</f>
        <v>0</v>
      </c>
      <c r="G39" s="32">
        <v>0</v>
      </c>
      <c r="H39" s="32">
        <v>0</v>
      </c>
      <c r="I39" s="32">
        <v>0</v>
      </c>
      <c r="J39" s="42">
        <f t="shared" si="60"/>
        <v>5000</v>
      </c>
      <c r="K39" s="33">
        <f t="shared" si="61"/>
        <v>9.9679033512091064E-2</v>
      </c>
      <c r="L39" s="70">
        <v>9</v>
      </c>
      <c r="M39" s="59" t="s">
        <v>53</v>
      </c>
      <c r="N39" s="72">
        <f t="shared" ref="N39:R39" si="121">E39/$J$42</f>
        <v>9.9679033512091064E-2</v>
      </c>
      <c r="O39" s="72">
        <f t="shared" si="121"/>
        <v>0</v>
      </c>
      <c r="P39" s="72">
        <f t="shared" si="121"/>
        <v>0</v>
      </c>
      <c r="Q39" s="72">
        <f t="shared" si="121"/>
        <v>0</v>
      </c>
      <c r="R39" s="72">
        <f t="shared" si="121"/>
        <v>0</v>
      </c>
      <c r="S39" s="86">
        <f t="shared" si="64"/>
        <v>9.9679033512091064E-2</v>
      </c>
      <c r="T39" s="73"/>
      <c r="U39" s="70">
        <v>9</v>
      </c>
      <c r="V39" s="59" t="s">
        <v>53</v>
      </c>
      <c r="W39" s="81">
        <f t="shared" si="66"/>
        <v>1</v>
      </c>
      <c r="X39" s="72">
        <f t="shared" si="67"/>
        <v>0</v>
      </c>
      <c r="Y39" s="72">
        <f t="shared" si="68"/>
        <v>0</v>
      </c>
      <c r="Z39" s="72">
        <f t="shared" si="69"/>
        <v>0</v>
      </c>
      <c r="AA39" s="82">
        <f t="shared" si="70"/>
        <v>0</v>
      </c>
      <c r="AB39" s="83">
        <f t="shared" si="71"/>
        <v>1</v>
      </c>
      <c r="AC39" s="49"/>
      <c r="AD39" s="19"/>
      <c r="AH39" s="20"/>
      <c r="AI39" s="70"/>
      <c r="AJ39" s="29"/>
      <c r="AK39" s="43"/>
      <c r="AL39" s="44"/>
      <c r="AM39" s="44"/>
      <c r="AN39" s="44"/>
      <c r="AO39" s="44"/>
      <c r="AP39" s="45"/>
      <c r="AQ39" s="33"/>
      <c r="AR39" s="71"/>
      <c r="AS39" s="71"/>
      <c r="AT39" s="90"/>
      <c r="AU39" s="91"/>
      <c r="AV39" s="91"/>
      <c r="AW39" s="91"/>
      <c r="AX39" s="91"/>
      <c r="AY39" s="92"/>
      <c r="AZ39" s="73"/>
      <c r="BA39" s="6"/>
      <c r="BB39" s="71"/>
      <c r="BC39" s="84"/>
      <c r="BD39" s="84"/>
      <c r="BE39" s="84"/>
      <c r="BF39" s="84"/>
      <c r="BG39" s="84"/>
      <c r="BH39" s="84"/>
      <c r="BI39" s="49"/>
      <c r="BJ39" s="24"/>
    </row>
    <row r="40" spans="2:62" ht="15.75" customHeight="1" outlineLevel="1">
      <c r="B40" s="18"/>
      <c r="C40" s="70">
        <v>10</v>
      </c>
      <c r="D40" s="59" t="s">
        <v>56</v>
      </c>
      <c r="E40" s="32">
        <f>E24</f>
        <v>3500</v>
      </c>
      <c r="F40" s="32">
        <f t="shared" ref="E40:I40" si="122">F24</f>
        <v>3500</v>
      </c>
      <c r="G40" s="32">
        <f t="shared" si="122"/>
        <v>3500</v>
      </c>
      <c r="H40" s="32">
        <f t="shared" si="122"/>
        <v>3500</v>
      </c>
      <c r="I40" s="32">
        <f t="shared" si="122"/>
        <v>0</v>
      </c>
      <c r="J40" s="42">
        <f t="shared" si="60"/>
        <v>14000</v>
      </c>
      <c r="K40" s="33">
        <f t="shared" si="61"/>
        <v>0.27910129383385501</v>
      </c>
      <c r="L40" s="70">
        <v>10</v>
      </c>
      <c r="M40" s="59" t="s">
        <v>56</v>
      </c>
      <c r="N40" s="72">
        <f t="shared" ref="N40:R40" si="123">E40/$J$42</f>
        <v>6.9775323458463753E-2</v>
      </c>
      <c r="O40" s="72">
        <f t="shared" si="123"/>
        <v>6.9775323458463753E-2</v>
      </c>
      <c r="P40" s="72">
        <f t="shared" si="123"/>
        <v>6.9775323458463753E-2</v>
      </c>
      <c r="Q40" s="72">
        <f t="shared" si="123"/>
        <v>6.9775323458463753E-2</v>
      </c>
      <c r="R40" s="72">
        <f t="shared" si="123"/>
        <v>0</v>
      </c>
      <c r="S40" s="86">
        <f t="shared" si="64"/>
        <v>0.27910129383385501</v>
      </c>
      <c r="T40" s="73"/>
      <c r="U40" s="70">
        <v>10</v>
      </c>
      <c r="V40" s="59" t="s">
        <v>56</v>
      </c>
      <c r="W40" s="81">
        <f t="shared" si="66"/>
        <v>0.25</v>
      </c>
      <c r="X40" s="72">
        <f t="shared" si="67"/>
        <v>0.25</v>
      </c>
      <c r="Y40" s="72">
        <f t="shared" si="68"/>
        <v>0.25</v>
      </c>
      <c r="Z40" s="72">
        <f t="shared" si="69"/>
        <v>0.25</v>
      </c>
      <c r="AA40" s="82">
        <f t="shared" si="70"/>
        <v>0</v>
      </c>
      <c r="AB40" s="83">
        <f t="shared" si="71"/>
        <v>1</v>
      </c>
      <c r="AC40" s="49"/>
      <c r="AD40" s="19"/>
      <c r="AH40" s="20"/>
      <c r="AI40" s="70"/>
      <c r="AJ40" s="29"/>
      <c r="AK40" s="43"/>
      <c r="AL40" s="44"/>
      <c r="AM40" s="44"/>
      <c r="AN40" s="44"/>
      <c r="AO40" s="44"/>
      <c r="AP40" s="45"/>
      <c r="AQ40" s="33"/>
      <c r="AR40" s="71"/>
      <c r="AS40" s="71"/>
      <c r="AT40" s="90"/>
      <c r="AU40" s="91"/>
      <c r="AV40" s="91"/>
      <c r="AW40" s="91"/>
      <c r="AX40" s="91"/>
      <c r="AY40" s="92"/>
      <c r="AZ40" s="73"/>
      <c r="BA40" s="6"/>
      <c r="BB40" s="71"/>
      <c r="BC40" s="84"/>
      <c r="BD40" s="84"/>
      <c r="BE40" s="84"/>
      <c r="BF40" s="84"/>
      <c r="BG40" s="84"/>
      <c r="BH40" s="84"/>
      <c r="BI40" s="49"/>
      <c r="BJ40" s="24"/>
    </row>
    <row r="41" spans="2:62" ht="15.75" customHeight="1" outlineLevel="1">
      <c r="B41" s="18"/>
      <c r="C41" s="70">
        <v>11</v>
      </c>
      <c r="D41" s="59" t="s">
        <v>264</v>
      </c>
      <c r="E41" s="32">
        <v>0</v>
      </c>
      <c r="F41" s="32">
        <v>0</v>
      </c>
      <c r="G41" s="32">
        <v>0</v>
      </c>
      <c r="H41" s="32">
        <f>H25</f>
        <v>500</v>
      </c>
      <c r="I41" s="42">
        <f>+I25</f>
        <v>500</v>
      </c>
      <c r="J41" s="42">
        <f t="shared" si="60"/>
        <v>1000</v>
      </c>
      <c r="K41" s="33">
        <f t="shared" si="61"/>
        <v>1.9935806702418214E-2</v>
      </c>
      <c r="L41" s="70">
        <v>11</v>
      </c>
      <c r="M41" s="59" t="s">
        <v>60</v>
      </c>
      <c r="N41" s="72">
        <f t="shared" ref="N41:R41" si="124">E41/$J$42</f>
        <v>0</v>
      </c>
      <c r="O41" s="72">
        <f t="shared" si="124"/>
        <v>0</v>
      </c>
      <c r="P41" s="72">
        <f t="shared" si="124"/>
        <v>0</v>
      </c>
      <c r="Q41" s="72">
        <f t="shared" si="124"/>
        <v>9.9679033512091071E-3</v>
      </c>
      <c r="R41" s="72">
        <f t="shared" si="124"/>
        <v>9.9679033512091071E-3</v>
      </c>
      <c r="S41" s="86">
        <f t="shared" si="64"/>
        <v>1.9935806702418214E-2</v>
      </c>
      <c r="T41" s="73"/>
      <c r="U41" s="70">
        <v>11</v>
      </c>
      <c r="V41" s="59" t="s">
        <v>60</v>
      </c>
      <c r="W41" s="87">
        <f t="shared" si="66"/>
        <v>0</v>
      </c>
      <c r="X41" s="88">
        <f t="shared" si="67"/>
        <v>0</v>
      </c>
      <c r="Y41" s="88">
        <f t="shared" si="68"/>
        <v>0</v>
      </c>
      <c r="Z41" s="88">
        <f t="shared" si="69"/>
        <v>0.5</v>
      </c>
      <c r="AA41" s="93">
        <f t="shared" si="70"/>
        <v>0.5</v>
      </c>
      <c r="AB41" s="89">
        <f t="shared" si="71"/>
        <v>1</v>
      </c>
      <c r="AC41" s="49"/>
      <c r="AD41" s="19"/>
      <c r="AH41" s="20"/>
      <c r="AI41" s="70"/>
      <c r="AJ41" s="29"/>
      <c r="AK41" s="43"/>
      <c r="AL41" s="44"/>
      <c r="AM41" s="44"/>
      <c r="AN41" s="44"/>
      <c r="AO41" s="44"/>
      <c r="AP41" s="45"/>
      <c r="AQ41" s="33"/>
      <c r="AR41" s="71"/>
      <c r="AS41" s="71"/>
      <c r="AT41" s="90"/>
      <c r="AU41" s="91"/>
      <c r="AV41" s="91"/>
      <c r="AW41" s="91"/>
      <c r="AX41" s="91"/>
      <c r="AY41" s="92"/>
      <c r="AZ41" s="73"/>
      <c r="BA41" s="6"/>
      <c r="BB41" s="71"/>
      <c r="BC41" s="84"/>
      <c r="BD41" s="84"/>
      <c r="BE41" s="84"/>
      <c r="BF41" s="84"/>
      <c r="BG41" s="84"/>
      <c r="BH41" s="84"/>
      <c r="BI41" s="49"/>
      <c r="BJ41" s="24"/>
    </row>
    <row r="42" spans="2:62" ht="15.75" customHeight="1">
      <c r="B42" s="18"/>
      <c r="C42" s="9"/>
      <c r="D42" s="25" t="s">
        <v>85</v>
      </c>
      <c r="E42" s="94">
        <f t="shared" ref="E42:K42" si="125">SUM(E31:E41)</f>
        <v>14802</v>
      </c>
      <c r="F42" s="95">
        <f t="shared" si="125"/>
        <v>12653</v>
      </c>
      <c r="G42" s="95">
        <f t="shared" si="125"/>
        <v>16355</v>
      </c>
      <c r="H42" s="95">
        <f t="shared" si="125"/>
        <v>4617</v>
      </c>
      <c r="I42" s="95">
        <f t="shared" si="125"/>
        <v>1734</v>
      </c>
      <c r="J42" s="96">
        <f>SUM(J31:J41)</f>
        <v>50161</v>
      </c>
      <c r="K42" s="67">
        <f t="shared" si="125"/>
        <v>1</v>
      </c>
      <c r="L42" s="71"/>
      <c r="M42" s="50" t="str">
        <f>+D42</f>
        <v>Total Presupuesto</v>
      </c>
      <c r="N42" s="97">
        <f t="shared" ref="N42:S42" si="126">SUM(N31:N41)</f>
        <v>0.29508981080919439</v>
      </c>
      <c r="O42" s="97">
        <f t="shared" si="126"/>
        <v>0.25224776220569767</v>
      </c>
      <c r="P42" s="97">
        <f t="shared" si="126"/>
        <v>0.32605011861804994</v>
      </c>
      <c r="Q42" s="97">
        <f t="shared" si="126"/>
        <v>9.2043619545064889E-2</v>
      </c>
      <c r="R42" s="97">
        <f t="shared" si="126"/>
        <v>3.4568688821993182E-2</v>
      </c>
      <c r="S42" s="98">
        <f t="shared" si="126"/>
        <v>1</v>
      </c>
      <c r="T42" s="99"/>
      <c r="U42" s="6"/>
      <c r="V42" s="71"/>
      <c r="W42" s="100"/>
      <c r="X42" s="100"/>
      <c r="Y42" s="100"/>
      <c r="Z42" s="100"/>
      <c r="AA42" s="41"/>
      <c r="AB42" s="99"/>
      <c r="AC42" s="49"/>
      <c r="AD42" s="19"/>
      <c r="AH42" s="20"/>
      <c r="AI42" s="9"/>
      <c r="AJ42" s="25" t="s">
        <v>85</v>
      </c>
      <c r="AK42" s="94">
        <f t="shared" ref="AK42:AQ42" si="127">SUM(AK31:AK38)</f>
        <v>50000</v>
      </c>
      <c r="AL42" s="95">
        <f t="shared" si="127"/>
        <v>41533.333333333336</v>
      </c>
      <c r="AM42" s="95">
        <f t="shared" si="127"/>
        <v>33533.333333333336</v>
      </c>
      <c r="AN42" s="95">
        <f t="shared" si="127"/>
        <v>37700</v>
      </c>
      <c r="AO42" s="95">
        <f t="shared" si="127"/>
        <v>59783.333333333336</v>
      </c>
      <c r="AP42" s="96">
        <f t="shared" si="127"/>
        <v>222550.00000000003</v>
      </c>
      <c r="AQ42" s="53">
        <f t="shared" si="127"/>
        <v>0.99999999999999978</v>
      </c>
      <c r="AR42" s="71"/>
      <c r="AS42" s="71" t="str">
        <f>+AJ42</f>
        <v>Total Presupuesto</v>
      </c>
      <c r="AT42" s="101">
        <f t="shared" ref="AT42:AY42" si="128">SUM(AT31:AT38)</f>
        <v>0.22466861379465286</v>
      </c>
      <c r="AU42" s="102">
        <f t="shared" si="128"/>
        <v>0.18662472852542497</v>
      </c>
      <c r="AV42" s="102">
        <f t="shared" si="128"/>
        <v>0.15067775031828051</v>
      </c>
      <c r="AW42" s="102">
        <f t="shared" si="128"/>
        <v>0.16940013480116825</v>
      </c>
      <c r="AX42" s="102">
        <f t="shared" si="128"/>
        <v>0.26862877256047329</v>
      </c>
      <c r="AY42" s="98">
        <f t="shared" si="128"/>
        <v>4.4367137816231743</v>
      </c>
      <c r="AZ42" s="103" t="s">
        <v>86</v>
      </c>
      <c r="BA42" s="6"/>
      <c r="BB42" s="71"/>
      <c r="BC42" s="104" t="s">
        <v>87</v>
      </c>
      <c r="BD42" s="99"/>
      <c r="BE42" s="99"/>
      <c r="BF42" s="99"/>
      <c r="BG42" s="99"/>
      <c r="BH42" s="99"/>
      <c r="BI42" s="49"/>
      <c r="BJ42" s="24"/>
    </row>
    <row r="43" spans="2:62" ht="15.75" customHeight="1">
      <c r="B43" s="18"/>
      <c r="C43" s="9"/>
      <c r="D43" s="25"/>
      <c r="E43" s="51">
        <f t="shared" ref="E43:I43" si="129">E42/$J$42</f>
        <v>0.29508981080919439</v>
      </c>
      <c r="F43" s="51">
        <f t="shared" si="129"/>
        <v>0.25224776220569767</v>
      </c>
      <c r="G43" s="51">
        <f t="shared" si="129"/>
        <v>0.32605011861804989</v>
      </c>
      <c r="H43" s="51">
        <f t="shared" si="129"/>
        <v>9.2043619545064889E-2</v>
      </c>
      <c r="I43" s="51">
        <f t="shared" si="129"/>
        <v>3.4568688821993182E-2</v>
      </c>
      <c r="J43" s="51">
        <f>SUM(E43:I43)</f>
        <v>1</v>
      </c>
      <c r="K43" s="49"/>
      <c r="L43" s="71"/>
      <c r="M43" s="49"/>
      <c r="N43" s="49"/>
      <c r="O43" s="49"/>
      <c r="P43" s="49"/>
      <c r="Q43" s="49"/>
      <c r="R43" s="49"/>
      <c r="S43" s="49"/>
      <c r="T43" s="49"/>
      <c r="U43" s="6"/>
      <c r="V43" s="6"/>
      <c r="W43" s="6"/>
      <c r="X43" s="6"/>
      <c r="Y43" s="6"/>
      <c r="Z43" s="6"/>
      <c r="AA43" s="6"/>
      <c r="AB43" s="6"/>
      <c r="AC43" s="6"/>
      <c r="AD43" s="19"/>
      <c r="AH43" s="20"/>
      <c r="AI43" s="9"/>
      <c r="AJ43" s="25"/>
      <c r="AK43" s="55">
        <f t="shared" ref="AK43:AO43" si="130">+AK42/$AP$42</f>
        <v>0.22466861379465286</v>
      </c>
      <c r="AL43" s="51">
        <f t="shared" si="130"/>
        <v>0.18662472852542497</v>
      </c>
      <c r="AM43" s="51">
        <f t="shared" si="130"/>
        <v>0.15067775031828054</v>
      </c>
      <c r="AN43" s="51">
        <f t="shared" si="130"/>
        <v>0.16940013480116825</v>
      </c>
      <c r="AO43" s="51">
        <f t="shared" si="130"/>
        <v>0.26862877256047329</v>
      </c>
      <c r="AP43" s="55">
        <f>+AP42/$J$42</f>
        <v>4.4367137816231743</v>
      </c>
      <c r="AQ43" s="56" t="s">
        <v>44</v>
      </c>
      <c r="AR43" s="71"/>
      <c r="AS43" s="49"/>
      <c r="AT43" s="56" t="s">
        <v>88</v>
      </c>
      <c r="AU43" s="49"/>
      <c r="AV43" s="49"/>
      <c r="AW43" s="49"/>
      <c r="AX43" s="49"/>
      <c r="AY43" s="49"/>
      <c r="AZ43" s="49"/>
      <c r="BA43" s="6"/>
      <c r="BB43" s="6"/>
      <c r="BC43" s="6"/>
      <c r="BD43" s="6"/>
      <c r="BE43" s="6"/>
      <c r="BF43" s="6"/>
      <c r="BG43" s="6"/>
      <c r="BH43" s="6"/>
      <c r="BI43" s="6"/>
      <c r="BJ43" s="24"/>
    </row>
    <row r="44" spans="2:62" ht="15.75" customHeight="1">
      <c r="B44" s="105"/>
      <c r="C44" s="106"/>
      <c r="D44" s="107"/>
      <c r="E44" s="108"/>
      <c r="F44" s="108"/>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9"/>
      <c r="AH44" s="110"/>
      <c r="AI44" s="111"/>
      <c r="AJ44" s="112"/>
      <c r="AK44" s="113" t="s">
        <v>89</v>
      </c>
      <c r="AL44" s="114"/>
      <c r="AM44" s="114"/>
      <c r="AN44" s="114"/>
      <c r="AO44" s="114"/>
      <c r="AP44" s="114"/>
      <c r="AQ44" s="114"/>
      <c r="AR44" s="114"/>
      <c r="AS44" s="114"/>
      <c r="AT44" s="114"/>
      <c r="AU44" s="114"/>
      <c r="AV44" s="114"/>
      <c r="AW44" s="114"/>
      <c r="AX44" s="114"/>
      <c r="AY44" s="114"/>
      <c r="AZ44" s="114"/>
      <c r="BA44" s="114"/>
      <c r="BB44" s="114"/>
      <c r="BC44" s="114"/>
      <c r="BD44" s="114"/>
      <c r="BE44" s="114"/>
      <c r="BF44" s="114"/>
      <c r="BG44" s="114"/>
      <c r="BH44" s="114"/>
      <c r="BI44" s="114"/>
      <c r="BJ44" s="115"/>
    </row>
    <row r="45" spans="2:62" ht="15.75" customHeight="1">
      <c r="C45" s="9"/>
      <c r="D45" s="29"/>
      <c r="AI45" s="9"/>
      <c r="AJ45" s="29"/>
    </row>
    <row r="46" spans="2:62" ht="15.75" customHeight="1">
      <c r="B46" s="11"/>
      <c r="C46" s="116"/>
      <c r="D46" s="117"/>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4"/>
      <c r="AH46" s="15"/>
      <c r="AI46" s="118"/>
      <c r="AJ46" s="119"/>
      <c r="AK46" s="16"/>
      <c r="AL46" s="16"/>
      <c r="AM46" s="16"/>
      <c r="AN46" s="16"/>
      <c r="AO46" s="16"/>
      <c r="AP46" s="16"/>
      <c r="AQ46" s="16"/>
      <c r="AR46" s="16"/>
      <c r="AS46" s="16"/>
      <c r="AT46" s="16"/>
      <c r="AU46" s="16"/>
      <c r="AV46" s="16"/>
      <c r="AW46" s="16"/>
      <c r="AX46" s="16"/>
      <c r="AY46" s="16"/>
      <c r="AZ46" s="16"/>
      <c r="BA46" s="16"/>
      <c r="BB46" s="16"/>
      <c r="BC46" s="16"/>
      <c r="BD46" s="16"/>
      <c r="BE46" s="274" t="s">
        <v>90</v>
      </c>
      <c r="BF46" s="275"/>
      <c r="BG46" s="275"/>
      <c r="BH46" s="275"/>
      <c r="BI46" s="275"/>
      <c r="BJ46" s="276"/>
    </row>
    <row r="47" spans="2:62" ht="24">
      <c r="B47" s="18"/>
      <c r="C47" s="120" t="s">
        <v>91</v>
      </c>
      <c r="D47" s="6"/>
      <c r="E47" s="6"/>
      <c r="F47" s="6"/>
      <c r="G47" s="6"/>
      <c r="H47" s="6"/>
      <c r="I47" s="6"/>
      <c r="J47" s="6"/>
      <c r="K47" s="6"/>
      <c r="L47" s="6"/>
      <c r="M47" s="6"/>
      <c r="N47" s="6"/>
      <c r="O47" s="6"/>
      <c r="P47" s="6"/>
      <c r="Q47" s="6"/>
      <c r="R47" s="6"/>
      <c r="S47" s="6"/>
      <c r="T47" s="6"/>
      <c r="U47" s="6"/>
      <c r="V47" s="6"/>
      <c r="W47" s="6"/>
      <c r="X47" s="6"/>
      <c r="Y47" s="6"/>
      <c r="Z47" s="6"/>
      <c r="AA47" s="6"/>
      <c r="AB47" s="6"/>
      <c r="AC47" s="6"/>
      <c r="AD47" s="19"/>
      <c r="AH47" s="20"/>
      <c r="AI47" s="120" t="s">
        <v>91</v>
      </c>
      <c r="AJ47" s="6"/>
      <c r="AK47" s="6"/>
      <c r="AL47" s="6"/>
      <c r="AM47" s="6"/>
      <c r="AN47" s="6"/>
      <c r="AO47" s="6"/>
      <c r="AP47" s="6"/>
      <c r="AQ47" s="6"/>
      <c r="AR47" s="6"/>
      <c r="AS47" s="22" t="s">
        <v>92</v>
      </c>
      <c r="AT47" s="6"/>
      <c r="AU47" s="6"/>
      <c r="AV47" s="6"/>
      <c r="AW47" s="6"/>
      <c r="AX47" s="6"/>
      <c r="AY47" s="6"/>
      <c r="AZ47" s="6"/>
      <c r="BA47" s="6"/>
      <c r="BB47" s="22" t="s">
        <v>93</v>
      </c>
      <c r="BC47" s="6"/>
      <c r="BD47" s="6"/>
      <c r="BE47" s="258"/>
      <c r="BF47" s="258"/>
      <c r="BG47" s="258"/>
      <c r="BH47" s="258"/>
      <c r="BI47" s="258"/>
      <c r="BJ47" s="277"/>
    </row>
    <row r="48" spans="2:62" ht="15.75" customHeight="1">
      <c r="B48" s="18"/>
      <c r="C48" s="9"/>
      <c r="D48" s="6"/>
      <c r="E48" s="6"/>
      <c r="F48" s="6"/>
      <c r="G48" s="6"/>
      <c r="H48" s="6"/>
      <c r="I48" s="6"/>
      <c r="J48" s="6"/>
      <c r="K48" s="6"/>
      <c r="L48" s="22" t="s">
        <v>94</v>
      </c>
      <c r="M48" s="25" t="s">
        <v>95</v>
      </c>
      <c r="N48" s="6"/>
      <c r="O48" s="6"/>
      <c r="P48" s="6"/>
      <c r="Q48" s="6"/>
      <c r="R48" s="6"/>
      <c r="S48" s="6"/>
      <c r="T48" s="6"/>
      <c r="U48" s="22" t="s">
        <v>96</v>
      </c>
      <c r="V48" s="27" t="s">
        <v>97</v>
      </c>
      <c r="W48" s="6"/>
      <c r="X48" s="6"/>
      <c r="Y48" s="6"/>
      <c r="Z48" s="6"/>
      <c r="AA48" s="6"/>
      <c r="AB48" s="6"/>
      <c r="AC48" s="6"/>
      <c r="AD48" s="19"/>
      <c r="AH48" s="20"/>
      <c r="AI48" s="9"/>
      <c r="AJ48" s="259" t="s">
        <v>98</v>
      </c>
      <c r="AK48" s="258"/>
      <c r="AL48" s="258"/>
      <c r="AM48" s="258"/>
      <c r="AN48" s="258"/>
      <c r="AO48" s="258"/>
      <c r="AP48" s="258"/>
      <c r="AQ48" s="258"/>
      <c r="AR48" s="6"/>
      <c r="AS48" s="27" t="s">
        <v>95</v>
      </c>
      <c r="AT48" s="121" t="s">
        <v>99</v>
      </c>
      <c r="AU48" s="6"/>
      <c r="AV48" s="6"/>
      <c r="AW48" s="6"/>
      <c r="AX48" s="6"/>
      <c r="AY48" s="6"/>
      <c r="AZ48" s="6"/>
      <c r="BA48" s="6"/>
      <c r="BB48" s="27" t="s">
        <v>97</v>
      </c>
      <c r="BC48" s="28"/>
      <c r="BD48" s="6"/>
      <c r="BE48" s="258"/>
      <c r="BF48" s="258"/>
      <c r="BG48" s="258"/>
      <c r="BH48" s="258"/>
      <c r="BI48" s="258"/>
      <c r="BJ48" s="277"/>
    </row>
    <row r="49" spans="1:62" ht="15.75" customHeight="1">
      <c r="B49" s="18"/>
      <c r="C49" s="9"/>
      <c r="D49" s="6"/>
      <c r="E49" s="6"/>
      <c r="F49" s="6"/>
      <c r="G49" s="6"/>
      <c r="H49" s="6"/>
      <c r="I49" s="6"/>
      <c r="J49" s="6"/>
      <c r="K49" s="6"/>
      <c r="L49" s="6"/>
      <c r="M49" s="29"/>
      <c r="N49" s="6"/>
      <c r="O49" s="6"/>
      <c r="P49" s="6"/>
      <c r="Q49" s="6"/>
      <c r="R49" s="6"/>
      <c r="S49" s="6"/>
      <c r="T49" s="6"/>
      <c r="U49" s="6"/>
      <c r="V49" s="29"/>
      <c r="W49" s="30"/>
      <c r="X49" s="30"/>
      <c r="Y49" s="30"/>
      <c r="Z49" s="30"/>
      <c r="AA49" s="30"/>
      <c r="AB49" s="30"/>
      <c r="AC49" s="6"/>
      <c r="AD49" s="19"/>
      <c r="AH49" s="20"/>
      <c r="AI49" s="9"/>
      <c r="AJ49" s="258"/>
      <c r="AK49" s="258"/>
      <c r="AL49" s="258"/>
      <c r="AM49" s="258"/>
      <c r="AN49" s="258"/>
      <c r="AO49" s="258"/>
      <c r="AP49" s="258"/>
      <c r="AQ49" s="258"/>
      <c r="AR49" s="6"/>
      <c r="AS49" s="29"/>
      <c r="AT49" s="6"/>
      <c r="AU49" s="278" t="s">
        <v>100</v>
      </c>
      <c r="AV49" s="258"/>
      <c r="AW49" s="258"/>
      <c r="AX49" s="258"/>
      <c r="AY49" s="6"/>
      <c r="AZ49" s="6"/>
      <c r="BA49" s="6"/>
      <c r="BB49" s="29"/>
      <c r="BC49" s="30"/>
      <c r="BD49" s="30"/>
      <c r="BE49" s="30"/>
      <c r="BF49" s="30"/>
      <c r="BG49" s="30"/>
      <c r="BH49" s="30" t="s">
        <v>101</v>
      </c>
      <c r="BI49" s="6"/>
      <c r="BJ49" s="24"/>
    </row>
    <row r="50" spans="1:62" ht="15.75" customHeight="1">
      <c r="B50" s="18"/>
      <c r="C50" s="9"/>
      <c r="D50" s="6"/>
      <c r="E50" s="6"/>
      <c r="F50" s="6"/>
      <c r="G50" s="6"/>
      <c r="H50" s="6"/>
      <c r="I50" s="6"/>
      <c r="J50" s="6"/>
      <c r="K50" s="6"/>
      <c r="L50" s="6">
        <f t="shared" ref="L50:M50" si="131">+C31</f>
        <v>1</v>
      </c>
      <c r="M50" s="6" t="str">
        <f t="shared" si="131"/>
        <v>Análisis Factibilidad, Planes y Requisitos</v>
      </c>
      <c r="N50" s="72">
        <f t="shared" ref="N50:O50" si="132">$S$31*W50</f>
        <v>4.148242658639182E-2</v>
      </c>
      <c r="O50" s="72">
        <f t="shared" si="132"/>
        <v>2.7654951057594548E-2</v>
      </c>
      <c r="P50" s="72">
        <f t="shared" ref="P50:R50" si="133">G91/$J$42</f>
        <v>0</v>
      </c>
      <c r="Q50" s="72">
        <f t="shared" si="133"/>
        <v>0</v>
      </c>
      <c r="R50" s="72">
        <f t="shared" si="133"/>
        <v>0</v>
      </c>
      <c r="S50" s="72">
        <f t="shared" ref="S50:S60" si="134">SUM(N50:R50)</f>
        <v>6.9137377643986364E-2</v>
      </c>
      <c r="T50" s="122"/>
      <c r="U50" s="6">
        <f t="shared" ref="U50:V50" si="135">+L50</f>
        <v>1</v>
      </c>
      <c r="V50" s="6" t="str">
        <f t="shared" si="135"/>
        <v>Análisis Factibilidad, Planes y Requisitos</v>
      </c>
      <c r="W50" s="123">
        <v>0.6</v>
      </c>
      <c r="X50" s="124">
        <v>0.4</v>
      </c>
      <c r="Y50" s="124"/>
      <c r="Z50" s="124"/>
      <c r="AA50" s="125"/>
      <c r="AB50" s="84">
        <f t="shared" ref="AB50:AB60" si="136">SUM(W50:AA50)</f>
        <v>1</v>
      </c>
      <c r="AC50" s="6"/>
      <c r="AD50" s="19"/>
      <c r="AH50" s="20"/>
      <c r="AI50" s="9"/>
      <c r="AJ50" s="258"/>
      <c r="AK50" s="258"/>
      <c r="AL50" s="258"/>
      <c r="AM50" s="258"/>
      <c r="AN50" s="258"/>
      <c r="AO50" s="258"/>
      <c r="AP50" s="258"/>
      <c r="AQ50" s="258"/>
      <c r="AR50" s="6"/>
      <c r="AS50" s="49" t="str">
        <f t="shared" ref="AS50:AS54" si="137">+AJ31</f>
        <v>Análisis Factibilidad, Planes y Req</v>
      </c>
      <c r="AT50" s="78">
        <f>+BC50*AY31</f>
        <v>0.33226344504030358</v>
      </c>
      <c r="AU50" s="262"/>
      <c r="AV50" s="263"/>
      <c r="AW50" s="263"/>
      <c r="AX50" s="263"/>
      <c r="AY50" s="72">
        <f t="shared" ref="AY50:AY54" si="138">SUM(AT50:AX50)</f>
        <v>0.33226344504030358</v>
      </c>
      <c r="AZ50" s="122"/>
      <c r="BA50" s="6"/>
      <c r="BB50" s="49" t="str">
        <f t="shared" ref="BB50:BB54" si="139">+AS31</f>
        <v>Análisis Factibilidad, Planes y Req</v>
      </c>
      <c r="BC50" s="126">
        <v>1</v>
      </c>
      <c r="BD50" s="127" t="s">
        <v>102</v>
      </c>
      <c r="BE50" s="124"/>
      <c r="BF50" s="124"/>
      <c r="BG50" s="125"/>
      <c r="BH50" s="84">
        <f>SUM(BC50:BG50)</f>
        <v>1</v>
      </c>
      <c r="BI50" s="6"/>
      <c r="BJ50" s="24"/>
    </row>
    <row r="51" spans="1:62" ht="15.75" customHeight="1">
      <c r="B51" s="18"/>
      <c r="C51" s="9"/>
      <c r="D51" s="6"/>
      <c r="E51" s="6"/>
      <c r="F51" s="6"/>
      <c r="G51" s="6"/>
      <c r="H51" s="6"/>
      <c r="I51" s="6"/>
      <c r="J51" s="6"/>
      <c r="K51" s="6"/>
      <c r="L51" s="6">
        <f t="shared" ref="L51:M51" si="140">+C32</f>
        <v>2</v>
      </c>
      <c r="M51" s="6" t="str">
        <f t="shared" si="140"/>
        <v xml:space="preserve">Diseño </v>
      </c>
      <c r="N51" s="72">
        <f t="shared" ref="N51:O51" si="141">$S$32*W51</f>
        <v>2.259923047786129E-2</v>
      </c>
      <c r="O51" s="72">
        <f t="shared" si="141"/>
        <v>3.3898845716791928E-2</v>
      </c>
      <c r="P51" s="72">
        <f t="shared" ref="P51:R51" si="142">G92/$J$42</f>
        <v>0</v>
      </c>
      <c r="Q51" s="72">
        <f t="shared" si="142"/>
        <v>0</v>
      </c>
      <c r="R51" s="72">
        <f t="shared" si="142"/>
        <v>0</v>
      </c>
      <c r="S51" s="72">
        <f t="shared" si="134"/>
        <v>5.6498076194653218E-2</v>
      </c>
      <c r="T51" s="122"/>
      <c r="U51" s="6">
        <f t="shared" ref="U51:V51" si="143">+L51</f>
        <v>2</v>
      </c>
      <c r="V51" s="6" t="str">
        <f t="shared" si="143"/>
        <v xml:space="preserve">Diseño </v>
      </c>
      <c r="W51" s="128">
        <v>0.4</v>
      </c>
      <c r="X51" s="129">
        <v>0.6</v>
      </c>
      <c r="Y51" s="129"/>
      <c r="Z51" s="129"/>
      <c r="AA51" s="130"/>
      <c r="AB51" s="84">
        <f t="shared" si="136"/>
        <v>1</v>
      </c>
      <c r="AC51" s="6"/>
      <c r="AD51" s="19"/>
      <c r="AH51" s="20"/>
      <c r="AI51" s="9"/>
      <c r="AJ51" s="258"/>
      <c r="AK51" s="258"/>
      <c r="AL51" s="258"/>
      <c r="AM51" s="258"/>
      <c r="AN51" s="258"/>
      <c r="AO51" s="258"/>
      <c r="AP51" s="258"/>
      <c r="AQ51" s="258"/>
      <c r="AR51" s="6"/>
      <c r="AS51" s="49" t="str">
        <f t="shared" si="137"/>
        <v>Diseño del producto</v>
      </c>
      <c r="AT51" s="72">
        <f>+BC51*AY32-AX32-AW32-AV32-AU32</f>
        <v>0.33226344504030358</v>
      </c>
      <c r="AU51" s="72">
        <f>+BD51*$S$32</f>
        <v>2.8249038097326609E-2</v>
      </c>
      <c r="AV51" s="72"/>
      <c r="AW51" s="72"/>
      <c r="AX51" s="72"/>
      <c r="AY51" s="72">
        <f t="shared" si="138"/>
        <v>0.36051248313763018</v>
      </c>
      <c r="AZ51" s="122"/>
      <c r="BA51" s="6"/>
      <c r="BB51" s="49" t="str">
        <f t="shared" si="139"/>
        <v>Diseño del producto</v>
      </c>
      <c r="BC51" s="131">
        <v>0.5</v>
      </c>
      <c r="BD51" s="132">
        <v>0.5</v>
      </c>
      <c r="BE51" s="133" t="s">
        <v>103</v>
      </c>
      <c r="BF51" s="129"/>
      <c r="BG51" s="130"/>
      <c r="BH51" s="84"/>
      <c r="BI51" s="6"/>
      <c r="BJ51" s="24"/>
    </row>
    <row r="52" spans="1:62" ht="15.75" customHeight="1">
      <c r="B52" s="18"/>
      <c r="C52" s="9"/>
      <c r="D52" s="6"/>
      <c r="E52" s="6"/>
      <c r="F52" s="6"/>
      <c r="G52" s="6"/>
      <c r="H52" s="6"/>
      <c r="I52" s="6"/>
      <c r="J52" s="6"/>
      <c r="K52" s="6"/>
      <c r="L52" s="6">
        <f t="shared" ref="L52:M52" si="144">+C33</f>
        <v>3</v>
      </c>
      <c r="M52" s="6" t="str">
        <f t="shared" si="144"/>
        <v>Programación</v>
      </c>
      <c r="N52" s="72">
        <f t="shared" ref="N52:N58" si="145">S33*W52</f>
        <v>0</v>
      </c>
      <c r="O52" s="72">
        <f t="shared" ref="O52:R52" si="146">X52*$S$33</f>
        <v>2.1335300332927975E-2</v>
      </c>
      <c r="P52" s="72">
        <f t="shared" si="146"/>
        <v>0.10667650166463986</v>
      </c>
      <c r="Q52" s="72">
        <f t="shared" si="146"/>
        <v>7.4673551165247903E-2</v>
      </c>
      <c r="R52" s="72">
        <f t="shared" si="146"/>
        <v>1.0667650166463987E-2</v>
      </c>
      <c r="S52" s="72">
        <f t="shared" si="134"/>
        <v>0.21335300332927973</v>
      </c>
      <c r="T52" s="122"/>
      <c r="U52" s="6">
        <f t="shared" ref="U52:V52" si="147">+L52</f>
        <v>3</v>
      </c>
      <c r="V52" s="6" t="str">
        <f t="shared" si="147"/>
        <v>Programación</v>
      </c>
      <c r="W52" s="134"/>
      <c r="X52" s="129">
        <v>0.1</v>
      </c>
      <c r="Y52" s="129">
        <v>0.5</v>
      </c>
      <c r="Z52" s="129">
        <v>0.35</v>
      </c>
      <c r="AA52" s="130">
        <v>0.05</v>
      </c>
      <c r="AB52" s="84">
        <f t="shared" si="136"/>
        <v>1</v>
      </c>
      <c r="AC52" s="6"/>
      <c r="AD52" s="19"/>
      <c r="AH52" s="20"/>
      <c r="AI52" s="9"/>
      <c r="AJ52" s="258"/>
      <c r="AK52" s="258"/>
      <c r="AL52" s="258"/>
      <c r="AM52" s="258"/>
      <c r="AN52" s="258"/>
      <c r="AO52" s="258"/>
      <c r="AP52" s="258"/>
      <c r="AQ52" s="258"/>
      <c r="AR52" s="6"/>
      <c r="AS52" s="49" t="str">
        <f t="shared" si="137"/>
        <v>Programación</v>
      </c>
      <c r="AT52" s="72"/>
      <c r="AU52" s="72">
        <f t="shared" ref="AU52:AX52" si="148">+BD52*$S$33</f>
        <v>1.0667650166463987E-2</v>
      </c>
      <c r="AV52" s="72">
        <f t="shared" si="148"/>
        <v>6.8272961065369508E-2</v>
      </c>
      <c r="AW52" s="72">
        <f t="shared" si="148"/>
        <v>0.10667650166463986</v>
      </c>
      <c r="AX52" s="72">
        <f t="shared" si="148"/>
        <v>2.7735890432806366E-2</v>
      </c>
      <c r="AY52" s="72">
        <f t="shared" si="138"/>
        <v>0.21335300332927973</v>
      </c>
      <c r="AZ52" s="122"/>
      <c r="BA52" s="6"/>
      <c r="BB52" s="49" t="str">
        <f t="shared" si="139"/>
        <v>Programación</v>
      </c>
      <c r="BC52" s="134"/>
      <c r="BD52" s="135">
        <v>0.05</v>
      </c>
      <c r="BE52" s="135">
        <v>0.32</v>
      </c>
      <c r="BF52" s="136">
        <v>0.5</v>
      </c>
      <c r="BG52" s="137">
        <v>0.13</v>
      </c>
      <c r="BH52" s="84">
        <f t="shared" ref="BH52:BH54" si="149">SUM(BC52:BG52)</f>
        <v>1</v>
      </c>
      <c r="BI52" s="6"/>
      <c r="BJ52" s="24"/>
    </row>
    <row r="53" spans="1:62" ht="15.75" customHeight="1">
      <c r="B53" s="18"/>
      <c r="C53" s="9"/>
      <c r="D53" s="6" t="s">
        <v>54</v>
      </c>
      <c r="E53" s="41">
        <v>200</v>
      </c>
      <c r="F53" s="6"/>
      <c r="G53" s="6"/>
      <c r="H53" s="6"/>
      <c r="I53" s="6"/>
      <c r="J53" s="6"/>
      <c r="K53" s="6"/>
      <c r="L53" s="6">
        <f t="shared" ref="L53:M53" si="150">+C34</f>
        <v>4</v>
      </c>
      <c r="M53" s="6" t="str">
        <f t="shared" si="150"/>
        <v>Documentación</v>
      </c>
      <c r="N53" s="72">
        <f t="shared" si="145"/>
        <v>0</v>
      </c>
      <c r="O53" s="72">
        <f t="shared" ref="O53:O57" si="151">F94/$J$42</f>
        <v>0</v>
      </c>
      <c r="P53" s="72">
        <f>Y53*$S$34</f>
        <v>0.12232610992603815</v>
      </c>
      <c r="Q53" s="138">
        <v>0</v>
      </c>
      <c r="R53" s="72">
        <f>I94/$J$42</f>
        <v>0</v>
      </c>
      <c r="S53" s="72">
        <f t="shared" si="134"/>
        <v>0.12232610992603815</v>
      </c>
      <c r="T53" s="122"/>
      <c r="U53" s="6">
        <f t="shared" ref="U53:V53" si="152">+L53</f>
        <v>4</v>
      </c>
      <c r="V53" s="6" t="str">
        <f t="shared" si="152"/>
        <v>Documentación</v>
      </c>
      <c r="W53" s="134"/>
      <c r="X53" s="129"/>
      <c r="Y53" s="129">
        <v>1</v>
      </c>
      <c r="Z53" s="129"/>
      <c r="AA53" s="130"/>
      <c r="AB53" s="84">
        <f t="shared" si="136"/>
        <v>1</v>
      </c>
      <c r="AC53" s="6"/>
      <c r="AD53" s="19"/>
      <c r="AH53" s="20"/>
      <c r="AI53" s="9"/>
      <c r="AJ53" s="258"/>
      <c r="AK53" s="258"/>
      <c r="AL53" s="258"/>
      <c r="AM53" s="258"/>
      <c r="AN53" s="258"/>
      <c r="AO53" s="258"/>
      <c r="AP53" s="258"/>
      <c r="AQ53" s="258"/>
      <c r="AR53" s="6"/>
      <c r="AS53" s="49" t="str">
        <f t="shared" si="137"/>
        <v>Integración y pruebas</v>
      </c>
      <c r="AT53" s="72"/>
      <c r="AU53" s="72"/>
      <c r="AV53" s="72"/>
      <c r="AW53" s="72"/>
      <c r="AX53" s="72">
        <f>+BG53*$S$34</f>
        <v>0.12232610992603815</v>
      </c>
      <c r="AY53" s="72">
        <f t="shared" si="138"/>
        <v>0.12232610992603815</v>
      </c>
      <c r="AZ53" s="122"/>
      <c r="BA53" s="6"/>
      <c r="BB53" s="49" t="str">
        <f t="shared" si="139"/>
        <v>Integración y pruebas</v>
      </c>
      <c r="BC53" s="134"/>
      <c r="BD53" s="129"/>
      <c r="BE53" s="129"/>
      <c r="BF53" s="129"/>
      <c r="BG53" s="137">
        <v>1</v>
      </c>
      <c r="BH53" s="80">
        <f t="shared" si="149"/>
        <v>1</v>
      </c>
      <c r="BI53" s="282" t="s">
        <v>104</v>
      </c>
      <c r="BJ53" s="277"/>
    </row>
    <row r="54" spans="1:62" ht="15.75" customHeight="1">
      <c r="B54" s="18"/>
      <c r="C54" s="9"/>
      <c r="D54" s="6" t="s">
        <v>57</v>
      </c>
      <c r="E54" s="41">
        <v>417</v>
      </c>
      <c r="F54" s="6"/>
      <c r="G54" s="6"/>
      <c r="H54" s="6"/>
      <c r="I54" s="6"/>
      <c r="J54" s="6"/>
      <c r="K54" s="6"/>
      <c r="L54" s="6">
        <f t="shared" ref="L54:M54" si="153">+C35</f>
        <v>5</v>
      </c>
      <c r="M54" s="6" t="str">
        <f t="shared" si="153"/>
        <v>Pruebas individuales</v>
      </c>
      <c r="N54" s="72">
        <f t="shared" si="145"/>
        <v>0</v>
      </c>
      <c r="O54" s="72">
        <f t="shared" si="151"/>
        <v>0</v>
      </c>
      <c r="P54" s="72">
        <f t="shared" ref="P54:R54" si="154">Y54*$S$35</f>
        <v>1.236817447818026E-2</v>
      </c>
      <c r="Q54" s="72">
        <f t="shared" si="154"/>
        <v>2.473634895636052E-2</v>
      </c>
      <c r="R54" s="72">
        <f t="shared" si="154"/>
        <v>2.473634895636052E-2</v>
      </c>
      <c r="S54" s="72">
        <f t="shared" si="134"/>
        <v>6.1840872390901303E-2</v>
      </c>
      <c r="T54" s="122"/>
      <c r="U54" s="6">
        <f t="shared" ref="U54:V54" si="155">+L54</f>
        <v>5</v>
      </c>
      <c r="V54" s="6" t="str">
        <f t="shared" si="155"/>
        <v>Pruebas individuales</v>
      </c>
      <c r="W54" s="134"/>
      <c r="X54" s="129"/>
      <c r="Y54" s="129">
        <v>0.2</v>
      </c>
      <c r="Z54" s="129">
        <v>0.4</v>
      </c>
      <c r="AA54" s="130">
        <v>0.4</v>
      </c>
      <c r="AB54" s="84">
        <f t="shared" si="136"/>
        <v>1</v>
      </c>
      <c r="AC54" s="6"/>
      <c r="AD54" s="19"/>
      <c r="AH54" s="20"/>
      <c r="AI54" s="9"/>
      <c r="AJ54" s="258"/>
      <c r="AK54" s="258"/>
      <c r="AL54" s="258"/>
      <c r="AM54" s="258"/>
      <c r="AN54" s="258"/>
      <c r="AO54" s="258"/>
      <c r="AP54" s="258"/>
      <c r="AQ54" s="258"/>
      <c r="AR54" s="6"/>
      <c r="AS54" s="49" t="str">
        <f t="shared" si="137"/>
        <v>Go Life</v>
      </c>
      <c r="AT54" s="72"/>
      <c r="AU54" s="72"/>
      <c r="AV54" s="72"/>
      <c r="AW54" s="72"/>
      <c r="AX54" s="72">
        <f>+BG54*$S$35</f>
        <v>6.1840872390901296E-2</v>
      </c>
      <c r="AY54" s="72">
        <f t="shared" si="138"/>
        <v>6.1840872390901296E-2</v>
      </c>
      <c r="AZ54" s="122"/>
      <c r="BA54" s="6"/>
      <c r="BB54" s="49" t="str">
        <f t="shared" si="139"/>
        <v>Go Life</v>
      </c>
      <c r="BC54" s="134"/>
      <c r="BD54" s="129"/>
      <c r="BE54" s="129"/>
      <c r="BF54" s="129"/>
      <c r="BG54" s="137">
        <v>1</v>
      </c>
      <c r="BH54" s="84">
        <f t="shared" si="149"/>
        <v>1</v>
      </c>
      <c r="BI54" s="258"/>
      <c r="BJ54" s="277"/>
    </row>
    <row r="55" spans="1:62" ht="15.75" customHeight="1">
      <c r="A55" s="41"/>
      <c r="B55" s="18"/>
      <c r="C55" s="9"/>
      <c r="D55" s="6"/>
      <c r="E55" s="6"/>
      <c r="F55" s="6"/>
      <c r="G55" s="6"/>
      <c r="H55" s="6"/>
      <c r="I55" s="6"/>
      <c r="J55" s="6"/>
      <c r="K55" s="6"/>
      <c r="L55" s="6">
        <f t="shared" ref="L55:M55" si="156">+C36</f>
        <v>6</v>
      </c>
      <c r="M55" s="6" t="str">
        <f t="shared" si="156"/>
        <v xml:space="preserve">Integración y pruebas </v>
      </c>
      <c r="N55" s="72">
        <f t="shared" si="145"/>
        <v>0</v>
      </c>
      <c r="O55" s="72">
        <f t="shared" si="151"/>
        <v>0</v>
      </c>
      <c r="P55" s="72">
        <f t="shared" ref="P55:P58" si="157">G96/$J$42</f>
        <v>0</v>
      </c>
      <c r="Q55" s="72">
        <f t="shared" ref="Q55:R55" si="158">Z55*$S$36</f>
        <v>2.473634895636052E-2</v>
      </c>
      <c r="R55" s="72">
        <f t="shared" si="158"/>
        <v>1.6490899304240348E-2</v>
      </c>
      <c r="S55" s="72">
        <f t="shared" si="134"/>
        <v>4.1227248260600868E-2</v>
      </c>
      <c r="T55" s="122"/>
      <c r="U55" s="6">
        <f t="shared" ref="U55:V55" si="159">+L55</f>
        <v>6</v>
      </c>
      <c r="V55" s="6" t="str">
        <f t="shared" si="159"/>
        <v xml:space="preserve">Integración y pruebas </v>
      </c>
      <c r="W55" s="134"/>
      <c r="X55" s="129"/>
      <c r="Y55" s="129"/>
      <c r="Z55" s="129">
        <v>0.6</v>
      </c>
      <c r="AA55" s="130">
        <v>0.4</v>
      </c>
      <c r="AB55" s="84">
        <f t="shared" si="136"/>
        <v>1</v>
      </c>
      <c r="AC55" s="6"/>
      <c r="AD55" s="19"/>
      <c r="AE55" s="41"/>
      <c r="AF55" s="41"/>
      <c r="AG55" s="41"/>
      <c r="AH55" s="20"/>
      <c r="AI55" s="9"/>
      <c r="AJ55" s="258"/>
      <c r="AK55" s="258"/>
      <c r="AL55" s="258"/>
      <c r="AM55" s="258"/>
      <c r="AN55" s="258"/>
      <c r="AO55" s="258"/>
      <c r="AP55" s="258"/>
      <c r="AQ55" s="258"/>
      <c r="AR55" s="6"/>
      <c r="AS55" s="49"/>
      <c r="AT55" s="72"/>
      <c r="AU55" s="72"/>
      <c r="AV55" s="72"/>
      <c r="AW55" s="72"/>
      <c r="AX55" s="72"/>
      <c r="AY55" s="72"/>
      <c r="AZ55" s="122"/>
      <c r="BA55" s="6"/>
      <c r="BB55" s="49"/>
      <c r="BC55" s="134"/>
      <c r="BD55" s="129"/>
      <c r="BE55" s="129"/>
      <c r="BF55" s="129"/>
      <c r="BG55" s="137"/>
      <c r="BH55" s="84"/>
      <c r="BI55" s="258"/>
      <c r="BJ55" s="277"/>
    </row>
    <row r="56" spans="1:62" ht="15.75" customHeight="1">
      <c r="A56" s="41"/>
      <c r="B56" s="18"/>
      <c r="C56" s="9"/>
      <c r="D56" s="6"/>
      <c r="E56" s="6"/>
      <c r="F56" s="6"/>
      <c r="G56" s="6"/>
      <c r="H56" s="6"/>
      <c r="I56" s="6"/>
      <c r="J56" s="6"/>
      <c r="K56" s="6"/>
      <c r="L56" s="6">
        <f t="shared" ref="L56:M56" si="160">+C37</f>
        <v>7</v>
      </c>
      <c r="M56" s="6" t="str">
        <f t="shared" si="160"/>
        <v>Go Life</v>
      </c>
      <c r="N56" s="72">
        <f t="shared" si="145"/>
        <v>0</v>
      </c>
      <c r="O56" s="72">
        <f t="shared" si="151"/>
        <v>0</v>
      </c>
      <c r="P56" s="72">
        <f t="shared" si="157"/>
        <v>0</v>
      </c>
      <c r="Q56" s="72">
        <f t="shared" ref="Q56:Q58" si="161">H97/$J$42</f>
        <v>0</v>
      </c>
      <c r="R56" s="138">
        <f t="shared" ref="R56:R57" si="162">S37*AA56</f>
        <v>1.2300392735392037E-2</v>
      </c>
      <c r="S56" s="72">
        <f t="shared" si="134"/>
        <v>1.2300392735392037E-2</v>
      </c>
      <c r="T56" s="122"/>
      <c r="U56" s="6">
        <f t="shared" ref="U56:V56" si="163">+L56</f>
        <v>7</v>
      </c>
      <c r="V56" s="6" t="str">
        <f t="shared" si="163"/>
        <v>Go Life</v>
      </c>
      <c r="W56" s="134"/>
      <c r="X56" s="129"/>
      <c r="Y56" s="129"/>
      <c r="Z56" s="129"/>
      <c r="AA56" s="130">
        <v>1</v>
      </c>
      <c r="AB56" s="84">
        <f t="shared" si="136"/>
        <v>1</v>
      </c>
      <c r="AC56" s="6"/>
      <c r="AD56" s="19"/>
      <c r="AE56" s="41"/>
      <c r="AF56" s="41"/>
      <c r="AG56" s="41"/>
      <c r="AH56" s="20"/>
      <c r="AI56" s="9"/>
      <c r="AJ56" s="258"/>
      <c r="AK56" s="258"/>
      <c r="AL56" s="258"/>
      <c r="AM56" s="258"/>
      <c r="AN56" s="258"/>
      <c r="AO56" s="258"/>
      <c r="AP56" s="258"/>
      <c r="AQ56" s="258"/>
      <c r="AR56" s="6"/>
      <c r="AS56" s="49"/>
      <c r="AT56" s="72"/>
      <c r="AU56" s="72"/>
      <c r="AV56" s="72"/>
      <c r="AW56" s="72"/>
      <c r="AX56" s="72"/>
      <c r="AY56" s="72"/>
      <c r="AZ56" s="122"/>
      <c r="BA56" s="6"/>
      <c r="BB56" s="49"/>
      <c r="BC56" s="134"/>
      <c r="BD56" s="129"/>
      <c r="BE56" s="129"/>
      <c r="BF56" s="129"/>
      <c r="BG56" s="137"/>
      <c r="BH56" s="84"/>
      <c r="BI56" s="258"/>
      <c r="BJ56" s="277"/>
    </row>
    <row r="57" spans="1:62" ht="15.75" customHeight="1">
      <c r="A57" s="41"/>
      <c r="B57" s="18"/>
      <c r="C57" s="9"/>
      <c r="D57" s="6"/>
      <c r="E57" s="6"/>
      <c r="F57" s="6"/>
      <c r="G57" s="6"/>
      <c r="H57" s="6"/>
      <c r="I57" s="6"/>
      <c r="J57" s="6"/>
      <c r="K57" s="6"/>
      <c r="L57" s="6">
        <f t="shared" ref="L57:M57" si="164">+C38</f>
        <v>8</v>
      </c>
      <c r="M57" s="6" t="str">
        <f t="shared" si="164"/>
        <v>Revisión proyecto</v>
      </c>
      <c r="N57" s="72">
        <f t="shared" si="145"/>
        <v>0</v>
      </c>
      <c r="O57" s="72">
        <f t="shared" si="151"/>
        <v>0</v>
      </c>
      <c r="P57" s="72">
        <f t="shared" si="157"/>
        <v>0</v>
      </c>
      <c r="Q57" s="72">
        <f t="shared" si="161"/>
        <v>0</v>
      </c>
      <c r="R57" s="138">
        <f t="shared" si="162"/>
        <v>2.4600785470784075E-2</v>
      </c>
      <c r="S57" s="72">
        <f t="shared" si="134"/>
        <v>2.4600785470784075E-2</v>
      </c>
      <c r="T57" s="122"/>
      <c r="U57" s="6">
        <f t="shared" ref="U57:V57" si="165">+L57</f>
        <v>8</v>
      </c>
      <c r="V57" s="6" t="str">
        <f t="shared" si="165"/>
        <v>Revisión proyecto</v>
      </c>
      <c r="W57" s="134"/>
      <c r="X57" s="129"/>
      <c r="Y57" s="129"/>
      <c r="Z57" s="129"/>
      <c r="AA57" s="130">
        <v>1</v>
      </c>
      <c r="AB57" s="84">
        <f t="shared" si="136"/>
        <v>1</v>
      </c>
      <c r="AC57" s="6"/>
      <c r="AD57" s="19"/>
      <c r="AE57" s="41"/>
      <c r="AF57" s="41"/>
      <c r="AG57" s="41"/>
      <c r="AH57" s="20"/>
      <c r="AI57" s="9"/>
      <c r="AJ57" s="258"/>
      <c r="AK57" s="258"/>
      <c r="AL57" s="258"/>
      <c r="AM57" s="258"/>
      <c r="AN57" s="258"/>
      <c r="AO57" s="258"/>
      <c r="AP57" s="258"/>
      <c r="AQ57" s="258"/>
      <c r="AR57" s="6"/>
      <c r="AS57" s="49"/>
      <c r="AT57" s="72"/>
      <c r="AU57" s="72"/>
      <c r="AV57" s="72"/>
      <c r="AW57" s="72"/>
      <c r="AX57" s="72"/>
      <c r="AY57" s="72"/>
      <c r="AZ57" s="122"/>
      <c r="BA57" s="6"/>
      <c r="BB57" s="49"/>
      <c r="BC57" s="134"/>
      <c r="BD57" s="129"/>
      <c r="BE57" s="129"/>
      <c r="BF57" s="129"/>
      <c r="BG57" s="137"/>
      <c r="BH57" s="84"/>
      <c r="BI57" s="258"/>
      <c r="BJ57" s="277"/>
    </row>
    <row r="58" spans="1:62" ht="15.75" customHeight="1">
      <c r="B58" s="18"/>
      <c r="C58" s="9"/>
      <c r="D58" s="6"/>
      <c r="E58" s="6"/>
      <c r="F58" s="6"/>
      <c r="G58" s="6"/>
      <c r="H58" s="6"/>
      <c r="I58" s="6"/>
      <c r="J58" s="6"/>
      <c r="K58" s="6"/>
      <c r="L58" s="6">
        <f t="shared" ref="L58:M58" si="166">+C39</f>
        <v>9</v>
      </c>
      <c r="M58" s="6" t="str">
        <f t="shared" si="166"/>
        <v>Infraestructura (SW)</v>
      </c>
      <c r="N58" s="72">
        <f t="shared" si="145"/>
        <v>0</v>
      </c>
      <c r="O58" s="72">
        <f>X58*S39</f>
        <v>9.9679033512091064E-2</v>
      </c>
      <c r="P58" s="72">
        <f t="shared" si="157"/>
        <v>0</v>
      </c>
      <c r="Q58" s="72">
        <f t="shared" si="161"/>
        <v>0</v>
      </c>
      <c r="R58" s="72">
        <f>I99/$J$42</f>
        <v>0</v>
      </c>
      <c r="S58" s="72">
        <f t="shared" si="134"/>
        <v>9.9679033512091064E-2</v>
      </c>
      <c r="T58" s="122"/>
      <c r="U58" s="6">
        <f t="shared" ref="U58:V58" si="167">+L58</f>
        <v>9</v>
      </c>
      <c r="V58" s="6" t="str">
        <f t="shared" si="167"/>
        <v>Infraestructura (SW)</v>
      </c>
      <c r="W58" s="134"/>
      <c r="X58" s="129">
        <v>1</v>
      </c>
      <c r="Y58" s="129"/>
      <c r="Z58" s="129"/>
      <c r="AA58" s="130"/>
      <c r="AB58" s="84">
        <f t="shared" si="136"/>
        <v>1</v>
      </c>
      <c r="AC58" s="6"/>
      <c r="AD58" s="19"/>
      <c r="AH58" s="20"/>
      <c r="AI58" s="9"/>
      <c r="AJ58" s="258"/>
      <c r="AK58" s="258"/>
      <c r="AL58" s="258"/>
      <c r="AM58" s="258"/>
      <c r="AN58" s="258"/>
      <c r="AO58" s="258"/>
      <c r="AP58" s="258"/>
      <c r="AQ58" s="258"/>
      <c r="AR58" s="6"/>
      <c r="AS58" s="49" t="str">
        <f t="shared" ref="AS58:AS60" si="168">+AJ36</f>
        <v>Infraestructura (SW)</v>
      </c>
      <c r="AT58" s="72"/>
      <c r="AU58" s="72">
        <f>+BD58*$S$36</f>
        <v>4.1227248260600868E-2</v>
      </c>
      <c r="AV58" s="72"/>
      <c r="AW58" s="72"/>
      <c r="AX58" s="72"/>
      <c r="AY58" s="72">
        <f t="shared" ref="AY58:AY60" si="169">SUM(AT58:AX58)</f>
        <v>4.1227248260600868E-2</v>
      </c>
      <c r="AZ58" s="122"/>
      <c r="BA58" s="6"/>
      <c r="BB58" s="49" t="str">
        <f t="shared" ref="BB58:BB60" si="170">+AS36</f>
        <v>Infraestructura (SW)</v>
      </c>
      <c r="BC58" s="134"/>
      <c r="BD58" s="139">
        <v>1</v>
      </c>
      <c r="BE58" s="129"/>
      <c r="BF58" s="129"/>
      <c r="BG58" s="130"/>
      <c r="BH58" s="84">
        <f t="shared" ref="BH58:BH60" si="171">SUM(BC58:BG58)</f>
        <v>1</v>
      </c>
      <c r="BI58" s="258"/>
      <c r="BJ58" s="277"/>
    </row>
    <row r="59" spans="1:62" ht="15.75" customHeight="1">
      <c r="B59" s="18"/>
      <c r="C59" s="9"/>
      <c r="D59" s="6"/>
      <c r="E59" s="6"/>
      <c r="F59" s="6"/>
      <c r="G59" s="6"/>
      <c r="H59" s="6"/>
      <c r="I59" s="6"/>
      <c r="J59" s="6"/>
      <c r="K59" s="6"/>
      <c r="L59" s="6">
        <f t="shared" ref="L59:M59" si="172">+C40</f>
        <v>10</v>
      </c>
      <c r="M59" s="6" t="str">
        <f t="shared" si="172"/>
        <v>Costos Fijos (Luz, Agua, servicios,renta)</v>
      </c>
      <c r="N59" s="72">
        <f t="shared" ref="N59:R59" si="173">$S$40*W59</f>
        <v>6.9775323458463753E-2</v>
      </c>
      <c r="O59" s="72">
        <f t="shared" si="173"/>
        <v>6.9775323458463753E-2</v>
      </c>
      <c r="P59" s="72">
        <f t="shared" si="173"/>
        <v>6.9775323458463753E-2</v>
      </c>
      <c r="Q59" s="72">
        <f t="shared" si="173"/>
        <v>6.9775323458463753E-2</v>
      </c>
      <c r="R59" s="72">
        <f t="shared" si="173"/>
        <v>0</v>
      </c>
      <c r="S59" s="72">
        <f t="shared" si="134"/>
        <v>0.27910129383385501</v>
      </c>
      <c r="T59" s="122"/>
      <c r="U59" s="6">
        <f t="shared" ref="U59:V59" si="174">+L59</f>
        <v>10</v>
      </c>
      <c r="V59" s="6" t="str">
        <f t="shared" si="174"/>
        <v>Costos Fijos (Luz, Agua, servicios,renta)</v>
      </c>
      <c r="W59" s="128">
        <f t="shared" ref="W59:AA59" si="175">+W40</f>
        <v>0.25</v>
      </c>
      <c r="X59" s="129">
        <f t="shared" si="175"/>
        <v>0.25</v>
      </c>
      <c r="Y59" s="129">
        <f t="shared" si="175"/>
        <v>0.25</v>
      </c>
      <c r="Z59" s="129">
        <f t="shared" si="175"/>
        <v>0.25</v>
      </c>
      <c r="AA59" s="130">
        <f t="shared" si="175"/>
        <v>0</v>
      </c>
      <c r="AB59" s="84">
        <f t="shared" si="136"/>
        <v>1</v>
      </c>
      <c r="AC59" s="6"/>
      <c r="AD59" s="19"/>
      <c r="AH59" s="20"/>
      <c r="AI59" s="9"/>
      <c r="AJ59" s="6"/>
      <c r="AK59" s="6"/>
      <c r="AL59" s="6"/>
      <c r="AM59" s="6"/>
      <c r="AN59" s="6"/>
      <c r="AO59" s="6"/>
      <c r="AP59" s="6"/>
      <c r="AQ59" s="6"/>
      <c r="AR59" s="6"/>
      <c r="AS59" s="49" t="str">
        <f t="shared" si="168"/>
        <v>Costos Fijos (Luz, Agua, servicios)</v>
      </c>
      <c r="AT59" s="72"/>
      <c r="AU59" s="72">
        <f t="shared" ref="AU59:AX59" si="176">+BD59*$S$37</f>
        <v>3.0750981838480094E-3</v>
      </c>
      <c r="AV59" s="72">
        <f t="shared" si="176"/>
        <v>3.0750981838480094E-3</v>
      </c>
      <c r="AW59" s="72">
        <f t="shared" si="176"/>
        <v>3.0750981838480094E-3</v>
      </c>
      <c r="AX59" s="72">
        <f t="shared" si="176"/>
        <v>3.0750981838480094E-3</v>
      </c>
      <c r="AY59" s="72">
        <f t="shared" si="169"/>
        <v>1.2300392735392037E-2</v>
      </c>
      <c r="AZ59" s="122"/>
      <c r="BA59" s="6"/>
      <c r="BB59" s="49" t="str">
        <f t="shared" si="170"/>
        <v>Costos Fijos (Luz, Agua, servicios)</v>
      </c>
      <c r="BC59" s="134"/>
      <c r="BD59" s="139">
        <v>0.25</v>
      </c>
      <c r="BE59" s="139">
        <v>0.25</v>
      </c>
      <c r="BF59" s="139">
        <f t="shared" ref="BF59:BG59" si="177">+BE59</f>
        <v>0.25</v>
      </c>
      <c r="BG59" s="137">
        <f t="shared" si="177"/>
        <v>0.25</v>
      </c>
      <c r="BH59" s="84">
        <f t="shared" si="171"/>
        <v>1</v>
      </c>
      <c r="BI59" s="258"/>
      <c r="BJ59" s="277"/>
    </row>
    <row r="60" spans="1:62" ht="15.75" customHeight="1">
      <c r="B60" s="18"/>
      <c r="C60" s="9"/>
      <c r="D60" s="6"/>
      <c r="E60" s="6"/>
      <c r="F60" s="6"/>
      <c r="G60" s="6"/>
      <c r="H60" s="6"/>
      <c r="I60" s="6"/>
      <c r="J60" s="6"/>
      <c r="K60" s="6"/>
      <c r="L60" s="6">
        <f t="shared" ref="L60:M60" si="178">+C41</f>
        <v>11</v>
      </c>
      <c r="M60" s="6" t="str">
        <f t="shared" si="178"/>
        <v>Transportes</v>
      </c>
      <c r="N60" s="72">
        <f t="shared" ref="N60:O60" si="179">$S$41*W60</f>
        <v>0</v>
      </c>
      <c r="O60" s="72">
        <f t="shared" si="179"/>
        <v>0</v>
      </c>
      <c r="P60" s="72">
        <f>Y60*S40</f>
        <v>0</v>
      </c>
      <c r="Q60" s="72">
        <f t="shared" ref="Q60:R60" si="180">Z60*$S$41</f>
        <v>9.9679033512091071E-3</v>
      </c>
      <c r="R60" s="72">
        <f t="shared" si="180"/>
        <v>9.9679033512091071E-3</v>
      </c>
      <c r="S60" s="72">
        <f t="shared" si="134"/>
        <v>1.9935806702418214E-2</v>
      </c>
      <c r="T60" s="122"/>
      <c r="U60" s="6">
        <f t="shared" ref="U60:V60" si="181">+L60</f>
        <v>11</v>
      </c>
      <c r="V60" s="6" t="str">
        <f t="shared" si="181"/>
        <v>Transportes</v>
      </c>
      <c r="W60" s="140"/>
      <c r="X60" s="141"/>
      <c r="Y60" s="141"/>
      <c r="Z60" s="141">
        <f t="shared" ref="Z60:AA60" si="182">+Z41</f>
        <v>0.5</v>
      </c>
      <c r="AA60" s="142">
        <f t="shared" si="182"/>
        <v>0.5</v>
      </c>
      <c r="AB60" s="84">
        <f t="shared" si="136"/>
        <v>1</v>
      </c>
      <c r="AC60" s="6"/>
      <c r="AD60" s="19"/>
      <c r="AH60" s="20"/>
      <c r="AI60" s="9"/>
      <c r="AJ60" s="6"/>
      <c r="AK60" s="6"/>
      <c r="AL60" s="6"/>
      <c r="AM60" s="6"/>
      <c r="AN60" s="6"/>
      <c r="AO60" s="6"/>
      <c r="AP60" s="6"/>
      <c r="AQ60" s="6"/>
      <c r="AR60" s="6"/>
      <c r="AS60" s="49" t="str">
        <f t="shared" si="168"/>
        <v>Mercadotécnia</v>
      </c>
      <c r="AT60" s="86"/>
      <c r="AU60" s="86"/>
      <c r="AV60" s="86"/>
      <c r="AW60" s="86"/>
      <c r="AX60" s="86">
        <f>+BG60*$S$38</f>
        <v>2.4600785470784075E-2</v>
      </c>
      <c r="AY60" s="86">
        <f t="shared" si="169"/>
        <v>2.4600785470784075E-2</v>
      </c>
      <c r="AZ60" s="122"/>
      <c r="BA60" s="6"/>
      <c r="BB60" s="49" t="str">
        <f t="shared" si="170"/>
        <v>Mercadotécnia</v>
      </c>
      <c r="BC60" s="140"/>
      <c r="BD60" s="141"/>
      <c r="BE60" s="141"/>
      <c r="BF60" s="141"/>
      <c r="BG60" s="143">
        <v>1</v>
      </c>
      <c r="BH60" s="84">
        <f t="shared" si="171"/>
        <v>1</v>
      </c>
      <c r="BI60" s="258"/>
      <c r="BJ60" s="277"/>
    </row>
    <row r="61" spans="1:62" ht="15.75" customHeight="1">
      <c r="B61" s="18"/>
      <c r="C61" s="9"/>
      <c r="D61" s="6"/>
      <c r="E61" s="6"/>
      <c r="F61" s="6"/>
      <c r="G61" s="6"/>
      <c r="H61" s="6"/>
      <c r="I61" s="6"/>
      <c r="J61" s="6"/>
      <c r="K61" s="6"/>
      <c r="L61" s="6"/>
      <c r="M61" s="144" t="str">
        <f>+D42</f>
        <v>Total Presupuesto</v>
      </c>
      <c r="N61" s="72">
        <f t="shared" ref="N61:S61" si="183">SUM(N50:N60)</f>
        <v>0.13385698052271688</v>
      </c>
      <c r="O61" s="72">
        <f t="shared" si="183"/>
        <v>0.25234345407786929</v>
      </c>
      <c r="P61" s="72">
        <f t="shared" si="183"/>
        <v>0.31114610952732202</v>
      </c>
      <c r="Q61" s="72">
        <f t="shared" si="183"/>
        <v>0.20388947588764184</v>
      </c>
      <c r="R61" s="72">
        <f t="shared" si="183"/>
        <v>9.8763979984450065E-2</v>
      </c>
      <c r="S61" s="72">
        <f t="shared" si="183"/>
        <v>1</v>
      </c>
      <c r="T61" s="122"/>
      <c r="U61" s="6"/>
      <c r="V61" s="49"/>
      <c r="W61" s="6"/>
      <c r="X61" s="73"/>
      <c r="Y61" s="73"/>
      <c r="Z61" s="73"/>
      <c r="AA61" s="73"/>
      <c r="AB61" s="73"/>
      <c r="AC61" s="6"/>
      <c r="AD61" s="19"/>
      <c r="AH61" s="20"/>
      <c r="AI61" s="9"/>
      <c r="AJ61" s="6"/>
      <c r="AK61" s="6"/>
      <c r="AL61" s="6"/>
      <c r="AM61" s="6"/>
      <c r="AN61" s="6"/>
      <c r="AO61" s="6"/>
      <c r="AP61" s="6"/>
      <c r="AQ61" s="6"/>
      <c r="AR61" s="6"/>
      <c r="AS61" s="49" t="str">
        <f>+AJ42</f>
        <v>Total Presupuesto</v>
      </c>
      <c r="AT61" s="97">
        <f>SUM(AT50:AT60)</f>
        <v>0.66452689008060717</v>
      </c>
      <c r="AU61" s="102">
        <f>SUM(AU49:AU60)</f>
        <v>8.3219034708239478E-2</v>
      </c>
      <c r="AV61" s="102">
        <f t="shared" ref="AV61:AY61" si="184">SUM(AV50:AV60)</f>
        <v>7.1348059249217513E-2</v>
      </c>
      <c r="AW61" s="102">
        <f t="shared" si="184"/>
        <v>0.10975159984848787</v>
      </c>
      <c r="AX61" s="102">
        <f t="shared" si="184"/>
        <v>0.2395787564043779</v>
      </c>
      <c r="AY61" s="98">
        <f t="shared" si="184"/>
        <v>1.1684243402909298</v>
      </c>
      <c r="AZ61" s="122"/>
      <c r="BA61" s="6"/>
      <c r="BB61" s="49"/>
      <c r="BC61" s="6"/>
      <c r="BD61" s="73"/>
      <c r="BE61" s="73"/>
      <c r="BF61" s="73"/>
      <c r="BG61" s="73"/>
      <c r="BH61" s="73"/>
      <c r="BI61" s="6"/>
      <c r="BJ61" s="24"/>
    </row>
    <row r="62" spans="1:62" ht="15.75" customHeight="1">
      <c r="B62" s="18"/>
      <c r="C62" s="9"/>
      <c r="D62" s="6"/>
      <c r="E62" s="6"/>
      <c r="F62" s="6"/>
      <c r="G62" s="6"/>
      <c r="H62" s="6"/>
      <c r="I62" s="6"/>
      <c r="J62" s="6"/>
      <c r="K62" s="6"/>
      <c r="L62" s="6"/>
      <c r="M62" s="29"/>
      <c r="N62" s="6"/>
      <c r="O62" s="6"/>
      <c r="P62" s="6"/>
      <c r="Q62" s="6"/>
      <c r="R62" s="6"/>
      <c r="S62" s="6"/>
      <c r="T62" s="6"/>
      <c r="U62" s="6"/>
      <c r="V62" s="49"/>
      <c r="W62" s="6"/>
      <c r="X62" s="73"/>
      <c r="Y62" s="73"/>
      <c r="Z62" s="73"/>
      <c r="AA62" s="73"/>
      <c r="AB62" s="73"/>
      <c r="AC62" s="6"/>
      <c r="AD62" s="19"/>
      <c r="AH62" s="20"/>
      <c r="AI62" s="9"/>
      <c r="AJ62" s="6"/>
      <c r="AK62" s="6"/>
      <c r="AL62" s="6"/>
      <c r="AM62" s="6"/>
      <c r="AN62" s="6"/>
      <c r="AO62" s="6"/>
      <c r="AP62" s="6"/>
      <c r="AQ62" s="6"/>
      <c r="AR62" s="6"/>
      <c r="AS62" s="29"/>
      <c r="AT62" s="6"/>
      <c r="AU62" s="6"/>
      <c r="AV62" s="6"/>
      <c r="AW62" s="6"/>
      <c r="AX62" s="6"/>
      <c r="AY62" s="6"/>
      <c r="AZ62" s="6"/>
      <c r="BA62" s="6"/>
      <c r="BB62" s="49"/>
      <c r="BC62" s="283" t="s">
        <v>105</v>
      </c>
      <c r="BD62" s="258"/>
      <c r="BE62" s="258"/>
      <c r="BF62" s="258"/>
      <c r="BG62" s="258"/>
      <c r="BH62" s="258"/>
      <c r="BI62" s="258"/>
      <c r="BJ62" s="277"/>
    </row>
    <row r="63" spans="1:62" ht="15.75" customHeight="1">
      <c r="B63" s="18"/>
      <c r="C63" s="9"/>
      <c r="D63" s="29"/>
      <c r="E63" s="6"/>
      <c r="F63" s="6"/>
      <c r="G63" s="6"/>
      <c r="H63" s="6"/>
      <c r="I63" s="6"/>
      <c r="J63" s="6"/>
      <c r="K63" s="6"/>
      <c r="L63" s="6"/>
      <c r="M63" s="6"/>
      <c r="N63" s="6"/>
      <c r="O63" s="6"/>
      <c r="P63" s="6"/>
      <c r="Q63" s="6"/>
      <c r="R63" s="6"/>
      <c r="S63" s="6"/>
      <c r="T63" s="6"/>
      <c r="U63" s="6"/>
      <c r="V63" s="6"/>
      <c r="W63" s="6"/>
      <c r="X63" s="73"/>
      <c r="Y63" s="6"/>
      <c r="Z63" s="6"/>
      <c r="AA63" s="6"/>
      <c r="AB63" s="6"/>
      <c r="AC63" s="6"/>
      <c r="AD63" s="19"/>
      <c r="AH63" s="20"/>
      <c r="AI63" s="9"/>
      <c r="AJ63" s="29"/>
      <c r="AK63" s="6"/>
      <c r="AL63" s="6"/>
      <c r="AM63" s="6"/>
      <c r="AN63" s="6"/>
      <c r="AO63" s="6"/>
      <c r="AP63" s="6"/>
      <c r="AQ63" s="6"/>
      <c r="AR63" s="6"/>
      <c r="AS63" s="6"/>
      <c r="AT63" s="6"/>
      <c r="AU63" s="6"/>
      <c r="AV63" s="6"/>
      <c r="AW63" s="6"/>
      <c r="AX63" s="6"/>
      <c r="AY63" s="6"/>
      <c r="AZ63" s="6"/>
      <c r="BA63" s="6"/>
      <c r="BB63" s="6"/>
      <c r="BC63" s="258"/>
      <c r="BD63" s="258"/>
      <c r="BE63" s="258"/>
      <c r="BF63" s="258"/>
      <c r="BG63" s="258"/>
      <c r="BH63" s="258"/>
      <c r="BI63" s="258"/>
      <c r="BJ63" s="277"/>
    </row>
    <row r="64" spans="1:62" ht="15.75" customHeight="1">
      <c r="B64" s="18"/>
      <c r="C64" s="9"/>
      <c r="D64" s="29"/>
      <c r="E64" s="6"/>
      <c r="F64" s="6"/>
      <c r="G64" s="6"/>
      <c r="H64" s="6"/>
      <c r="I64" s="6"/>
      <c r="J64" s="6"/>
      <c r="K64" s="6"/>
      <c r="L64" s="6"/>
      <c r="M64" s="6"/>
      <c r="N64" s="6"/>
      <c r="O64" s="6"/>
      <c r="P64" s="6"/>
      <c r="Q64" s="6"/>
      <c r="R64" s="6"/>
      <c r="S64" s="6"/>
      <c r="T64" s="6"/>
      <c r="U64" s="6"/>
      <c r="V64" s="6"/>
      <c r="W64" s="6"/>
      <c r="X64" s="73"/>
      <c r="Y64" s="6"/>
      <c r="Z64" s="6"/>
      <c r="AA64" s="6"/>
      <c r="AB64" s="6"/>
      <c r="AC64" s="6"/>
      <c r="AD64" s="19"/>
      <c r="AH64" s="20"/>
      <c r="AI64" s="9"/>
      <c r="AJ64" s="29"/>
      <c r="AK64" s="6"/>
      <c r="AL64" s="6"/>
      <c r="AM64" s="6"/>
      <c r="AN64" s="6"/>
      <c r="AO64" s="6"/>
      <c r="AP64" s="6"/>
      <c r="AQ64" s="6"/>
      <c r="AR64" s="6"/>
      <c r="AS64" s="6"/>
      <c r="AT64" s="6"/>
      <c r="AU64" s="6"/>
      <c r="AV64" s="6"/>
      <c r="AW64" s="6"/>
      <c r="AX64" s="6"/>
      <c r="AY64" s="6"/>
      <c r="AZ64" s="6"/>
      <c r="BA64" s="6"/>
      <c r="BB64" s="6"/>
      <c r="BC64" s="258"/>
      <c r="BD64" s="258"/>
      <c r="BE64" s="258"/>
      <c r="BF64" s="258"/>
      <c r="BG64" s="258"/>
      <c r="BH64" s="258"/>
      <c r="BI64" s="258"/>
      <c r="BJ64" s="277"/>
    </row>
    <row r="65" spans="1:62" ht="15.75" customHeight="1">
      <c r="B65" s="18"/>
      <c r="C65" s="9"/>
      <c r="D65" s="29"/>
      <c r="E65" s="6"/>
      <c r="F65" s="6"/>
      <c r="G65" s="6"/>
      <c r="H65" s="6"/>
      <c r="I65" s="6"/>
      <c r="J65" s="6"/>
      <c r="K65" s="6"/>
      <c r="L65" s="6"/>
      <c r="M65" s="6"/>
      <c r="N65" s="6"/>
      <c r="O65" s="6"/>
      <c r="P65" s="6"/>
      <c r="Q65" s="6"/>
      <c r="R65" s="6"/>
      <c r="S65" s="6"/>
      <c r="T65" s="6"/>
      <c r="U65" s="6"/>
      <c r="V65" s="6"/>
      <c r="W65" s="6"/>
      <c r="X65" s="73"/>
      <c r="Y65" s="6"/>
      <c r="Z65" s="6"/>
      <c r="AA65" s="6"/>
      <c r="AB65" s="6"/>
      <c r="AC65" s="6"/>
      <c r="AD65" s="19"/>
      <c r="AH65" s="20"/>
      <c r="AI65" s="9"/>
      <c r="AJ65" s="29"/>
      <c r="AK65" s="6"/>
      <c r="AL65" s="6"/>
      <c r="AM65" s="6"/>
      <c r="AN65" s="6"/>
      <c r="AO65" s="6"/>
      <c r="AP65" s="6"/>
      <c r="AQ65" s="6"/>
      <c r="AR65" s="6"/>
      <c r="AS65" s="6"/>
      <c r="AT65" s="6"/>
      <c r="AU65" s="6"/>
      <c r="AV65" s="6"/>
      <c r="AW65" s="6"/>
      <c r="AX65" s="6"/>
      <c r="AY65" s="6"/>
      <c r="AZ65" s="6"/>
      <c r="BA65" s="6"/>
      <c r="BB65" s="6"/>
      <c r="BC65" s="258"/>
      <c r="BD65" s="258"/>
      <c r="BE65" s="258"/>
      <c r="BF65" s="258"/>
      <c r="BG65" s="258"/>
      <c r="BH65" s="258"/>
      <c r="BI65" s="258"/>
      <c r="BJ65" s="277"/>
    </row>
    <row r="66" spans="1:62" ht="15.75" customHeight="1">
      <c r="B66" s="18"/>
      <c r="C66" s="9"/>
      <c r="D66" s="25" t="s">
        <v>106</v>
      </c>
      <c r="E66" s="6"/>
      <c r="F66" s="6"/>
      <c r="G66" s="6"/>
      <c r="H66" s="6"/>
      <c r="I66" s="6"/>
      <c r="J66" s="6"/>
      <c r="K66" s="6"/>
      <c r="L66" s="6"/>
      <c r="M66" s="25"/>
      <c r="N66" s="6"/>
      <c r="O66" s="6"/>
      <c r="P66" s="6"/>
      <c r="Q66" s="6"/>
      <c r="R66" s="6"/>
      <c r="S66" s="6"/>
      <c r="T66" s="6"/>
      <c r="U66" s="6"/>
      <c r="V66" s="6"/>
      <c r="W66" s="6"/>
      <c r="X66" s="6"/>
      <c r="Y66" s="6"/>
      <c r="Z66" s="6"/>
      <c r="AA66" s="6"/>
      <c r="AB66" s="6"/>
      <c r="AC66" s="6"/>
      <c r="AD66" s="19"/>
      <c r="AH66" s="20"/>
      <c r="AI66" s="9"/>
      <c r="AJ66" s="25" t="s">
        <v>106</v>
      </c>
      <c r="AK66" s="6"/>
      <c r="AL66" s="6"/>
      <c r="AM66" s="6"/>
      <c r="AN66" s="6"/>
      <c r="AO66" s="6"/>
      <c r="AP66" s="6"/>
      <c r="AQ66" s="6"/>
      <c r="AR66" s="6"/>
      <c r="AS66" s="25"/>
      <c r="AT66" s="6"/>
      <c r="AU66" s="6"/>
      <c r="AV66" s="6"/>
      <c r="AW66" s="6"/>
      <c r="AX66" s="6"/>
      <c r="AY66" s="6"/>
      <c r="AZ66" s="6"/>
      <c r="BA66" s="6"/>
      <c r="BB66" s="6"/>
      <c r="BC66" s="6"/>
      <c r="BD66" s="6"/>
      <c r="BE66" s="6"/>
      <c r="BF66" s="6"/>
      <c r="BG66" s="6"/>
      <c r="BH66" s="6"/>
      <c r="BI66" s="6"/>
      <c r="BJ66" s="24"/>
    </row>
    <row r="67" spans="1:62" ht="15.75" customHeight="1">
      <c r="B67" s="18"/>
      <c r="C67" s="22"/>
      <c r="D67" s="145"/>
      <c r="E67" s="6"/>
      <c r="F67" s="6"/>
      <c r="G67" s="6"/>
      <c r="H67" s="6"/>
      <c r="I67" s="6"/>
      <c r="J67" s="6"/>
      <c r="K67" s="6"/>
      <c r="L67" s="6"/>
      <c r="M67" s="6"/>
      <c r="N67" s="6"/>
      <c r="O67" s="6"/>
      <c r="P67" s="6"/>
      <c r="Q67" s="6"/>
      <c r="R67" s="6"/>
      <c r="S67" s="6"/>
      <c r="T67" s="6"/>
      <c r="U67" s="6"/>
      <c r="V67" s="6"/>
      <c r="W67" s="66"/>
      <c r="X67" s="73"/>
      <c r="Y67" s="6"/>
      <c r="Z67" s="6"/>
      <c r="AA67" s="6"/>
      <c r="AB67" s="6"/>
      <c r="AC67" s="6"/>
      <c r="AD67" s="19"/>
      <c r="AH67" s="20"/>
      <c r="AI67" s="9"/>
      <c r="AJ67" s="146" t="s">
        <v>107</v>
      </c>
      <c r="AK67" s="6"/>
      <c r="AL67" s="6"/>
      <c r="AM67" s="6"/>
      <c r="AN67" s="6"/>
      <c r="AO67" s="6"/>
      <c r="AP67" s="6"/>
      <c r="AQ67" s="6"/>
      <c r="AR67" s="6"/>
      <c r="AS67" s="6"/>
      <c r="AT67" s="22" t="s">
        <v>108</v>
      </c>
      <c r="AU67" s="121" t="s">
        <v>109</v>
      </c>
      <c r="AV67" s="6"/>
      <c r="AW67" s="6"/>
      <c r="AX67" s="6"/>
      <c r="AY67" s="6"/>
      <c r="AZ67" s="6"/>
      <c r="BA67" s="6"/>
      <c r="BB67" s="22" t="s">
        <v>110</v>
      </c>
      <c r="BC67" s="121" t="s">
        <v>109</v>
      </c>
      <c r="BD67" s="73"/>
      <c r="BE67" s="6"/>
      <c r="BF67" s="6"/>
      <c r="BG67" s="6"/>
      <c r="BH67" s="6"/>
      <c r="BI67" s="6"/>
      <c r="BJ67" s="24"/>
    </row>
    <row r="68" spans="1:62" ht="15.75" customHeight="1">
      <c r="B68" s="18"/>
      <c r="C68" s="22" t="s">
        <v>111</v>
      </c>
      <c r="D68" s="25" t="s">
        <v>112</v>
      </c>
      <c r="E68" s="6"/>
      <c r="F68" s="6"/>
      <c r="G68" s="6"/>
      <c r="H68" s="6"/>
      <c r="I68" s="6"/>
      <c r="J68" s="6"/>
      <c r="K68" s="6"/>
      <c r="L68" s="22" t="s">
        <v>113</v>
      </c>
      <c r="M68" s="27" t="s">
        <v>114</v>
      </c>
      <c r="N68" s="28"/>
      <c r="O68" s="28"/>
      <c r="P68" s="6"/>
      <c r="Q68" s="6"/>
      <c r="R68" s="6"/>
      <c r="S68" s="6"/>
      <c r="T68" s="6"/>
      <c r="U68" s="22" t="s">
        <v>115</v>
      </c>
      <c r="V68" s="27" t="s">
        <v>116</v>
      </c>
      <c r="W68" s="28"/>
      <c r="X68" s="28"/>
      <c r="Y68" s="6"/>
      <c r="Z68" s="6"/>
      <c r="AA68" s="6"/>
      <c r="AB68" s="6"/>
      <c r="AC68" s="6"/>
      <c r="AD68" s="19"/>
      <c r="AH68" s="20"/>
      <c r="AI68" s="9"/>
      <c r="AJ68" s="27" t="s">
        <v>112</v>
      </c>
      <c r="AK68" s="28"/>
      <c r="AL68" s="121" t="s">
        <v>117</v>
      </c>
      <c r="AM68" s="6"/>
      <c r="AN68" s="6"/>
      <c r="AO68" s="6"/>
      <c r="AP68" s="6"/>
      <c r="AQ68" s="6"/>
      <c r="AR68" s="6"/>
      <c r="AS68" s="27" t="s">
        <v>114</v>
      </c>
      <c r="AT68" s="28"/>
      <c r="AU68" s="28"/>
      <c r="AV68" s="6"/>
      <c r="AW68" s="6"/>
      <c r="AX68" s="6"/>
      <c r="AY68" s="6"/>
      <c r="AZ68" s="6"/>
      <c r="BA68" s="6"/>
      <c r="BB68" s="27" t="s">
        <v>116</v>
      </c>
      <c r="BC68" s="28"/>
      <c r="BD68" s="28"/>
      <c r="BE68" s="28"/>
      <c r="BF68" s="6"/>
      <c r="BG68" s="6"/>
      <c r="BH68" s="6"/>
      <c r="BI68" s="6"/>
      <c r="BJ68" s="24"/>
    </row>
    <row r="69" spans="1:62" ht="15.75" customHeight="1">
      <c r="B69" s="18"/>
      <c r="C69" s="9"/>
      <c r="D69" s="29"/>
      <c r="E69" s="30" t="s">
        <v>22</v>
      </c>
      <c r="F69" s="30" t="s">
        <v>23</v>
      </c>
      <c r="G69" s="30" t="s">
        <v>24</v>
      </c>
      <c r="H69" s="30" t="s">
        <v>25</v>
      </c>
      <c r="I69" s="30" t="s">
        <v>26</v>
      </c>
      <c r="J69" s="30" t="s">
        <v>27</v>
      </c>
      <c r="K69" s="25"/>
      <c r="L69" s="6"/>
      <c r="M69" s="29"/>
      <c r="N69" s="30" t="s">
        <v>22</v>
      </c>
      <c r="O69" s="30" t="s">
        <v>23</v>
      </c>
      <c r="P69" s="30" t="s">
        <v>24</v>
      </c>
      <c r="Q69" s="30" t="s">
        <v>25</v>
      </c>
      <c r="R69" s="30" t="s">
        <v>26</v>
      </c>
      <c r="S69" s="25" t="s">
        <v>27</v>
      </c>
      <c r="T69" s="25"/>
      <c r="U69" s="6"/>
      <c r="V69" s="29"/>
      <c r="W69" s="30" t="s">
        <v>22</v>
      </c>
      <c r="X69" s="30" t="s">
        <v>23</v>
      </c>
      <c r="Y69" s="30" t="s">
        <v>24</v>
      </c>
      <c r="Z69" s="30" t="s">
        <v>25</v>
      </c>
      <c r="AA69" s="30" t="s">
        <v>26</v>
      </c>
      <c r="AB69" s="25" t="s">
        <v>27</v>
      </c>
      <c r="AC69" s="25"/>
      <c r="AD69" s="19"/>
      <c r="AH69" s="20"/>
      <c r="AI69" s="9"/>
      <c r="AJ69" s="29"/>
      <c r="AK69" s="30" t="s">
        <v>22</v>
      </c>
      <c r="AL69" s="30" t="s">
        <v>23</v>
      </c>
      <c r="AM69" s="30" t="s">
        <v>24</v>
      </c>
      <c r="AN69" s="30" t="s">
        <v>25</v>
      </c>
      <c r="AO69" s="30" t="s">
        <v>26</v>
      </c>
      <c r="AP69" s="30" t="s">
        <v>27</v>
      </c>
      <c r="AQ69" s="25"/>
      <c r="AR69" s="6"/>
      <c r="AS69" s="29"/>
      <c r="AT69" s="30" t="s">
        <v>22</v>
      </c>
      <c r="AU69" s="30" t="s">
        <v>23</v>
      </c>
      <c r="AV69" s="30" t="s">
        <v>24</v>
      </c>
      <c r="AW69" s="30" t="s">
        <v>25</v>
      </c>
      <c r="AX69" s="30" t="s">
        <v>26</v>
      </c>
      <c r="AY69" s="25" t="s">
        <v>27</v>
      </c>
      <c r="AZ69" s="25"/>
      <c r="BA69" s="6"/>
      <c r="BB69" s="29"/>
      <c r="BC69" s="30" t="s">
        <v>22</v>
      </c>
      <c r="BD69" s="30" t="s">
        <v>23</v>
      </c>
      <c r="BE69" s="30" t="s">
        <v>24</v>
      </c>
      <c r="BF69" s="30" t="s">
        <v>25</v>
      </c>
      <c r="BG69" s="30" t="s">
        <v>26</v>
      </c>
      <c r="BH69" s="25" t="s">
        <v>27</v>
      </c>
      <c r="BI69" s="25"/>
      <c r="BJ69" s="24"/>
    </row>
    <row r="70" spans="1:62" ht="15.75" customHeight="1" outlineLevel="1">
      <c r="A70" s="41"/>
      <c r="B70" s="18"/>
      <c r="C70" s="9">
        <v>1</v>
      </c>
      <c r="D70" s="31" t="s">
        <v>28</v>
      </c>
      <c r="E70" s="32">
        <f t="shared" ref="E70:J70" si="185">(N70*$E$54)+(W70*$E$53)</f>
        <v>10808.640000000001</v>
      </c>
      <c r="F70" s="32">
        <f t="shared" si="185"/>
        <v>7205.76</v>
      </c>
      <c r="G70" s="32">
        <f t="shared" si="185"/>
        <v>0</v>
      </c>
      <c r="H70" s="32">
        <f t="shared" si="185"/>
        <v>0</v>
      </c>
      <c r="I70" s="32">
        <f t="shared" si="185"/>
        <v>0</v>
      </c>
      <c r="J70" s="32">
        <f t="shared" si="185"/>
        <v>18014.400000000001</v>
      </c>
      <c r="K70" s="33"/>
      <c r="L70" s="34">
        <v>1</v>
      </c>
      <c r="M70" s="31" t="s">
        <v>28</v>
      </c>
      <c r="N70" s="32">
        <v>25.92</v>
      </c>
      <c r="O70" s="32">
        <v>17.28</v>
      </c>
      <c r="P70" s="32">
        <v>0</v>
      </c>
      <c r="Q70" s="32">
        <v>0</v>
      </c>
      <c r="R70" s="32">
        <v>0</v>
      </c>
      <c r="S70" s="32">
        <f t="shared" ref="S70:S77" si="186">SUM(N70:R70)</f>
        <v>43.2</v>
      </c>
      <c r="T70" s="33"/>
      <c r="U70" s="9">
        <f t="shared" ref="U70:V70" si="187">+L70</f>
        <v>1</v>
      </c>
      <c r="V70" s="39" t="str">
        <f t="shared" si="187"/>
        <v>Análisis Factibilidad, Planes y Requisitos</v>
      </c>
      <c r="W70" s="32">
        <v>0</v>
      </c>
      <c r="X70" s="32">
        <v>0</v>
      </c>
      <c r="Y70" s="32">
        <v>0</v>
      </c>
      <c r="Z70" s="32">
        <v>0</v>
      </c>
      <c r="AA70" s="32">
        <v>0</v>
      </c>
      <c r="AB70" s="32">
        <f t="shared" ref="AB70:AB77" si="188">SUM(W70:AA70)</f>
        <v>0</v>
      </c>
      <c r="AC70" s="33"/>
      <c r="AD70" s="19"/>
      <c r="AE70" s="41"/>
      <c r="AF70" s="41"/>
      <c r="AG70" s="41"/>
      <c r="AH70" s="20"/>
      <c r="AI70" s="9">
        <v>1</v>
      </c>
      <c r="AJ70" s="35" t="s">
        <v>29</v>
      </c>
      <c r="AK70" s="36">
        <f t="shared" ref="AK70:AK71" si="189">(+AT70*$BC$24)+(BC70*$BC$23)</f>
        <v>16666.666666666668</v>
      </c>
      <c r="AL70" s="260" t="s">
        <v>30</v>
      </c>
      <c r="AM70" s="261"/>
      <c r="AN70" s="261"/>
      <c r="AO70" s="261"/>
      <c r="AP70" s="37">
        <f t="shared" ref="AP70:AP74" si="190">SUM(AK70:AO70)</f>
        <v>16666.666666666668</v>
      </c>
      <c r="AQ70" s="38">
        <f t="shared" ref="AQ70:AQ74" si="191">+AP70/$AP$18</f>
        <v>8.7834870443566082E-2</v>
      </c>
      <c r="AR70" s="147" t="s">
        <v>118</v>
      </c>
      <c r="AS70" s="39">
        <f t="shared" ref="AS70:AS74" si="192">+AI70</f>
        <v>1</v>
      </c>
      <c r="AT70" s="32">
        <f>8*5</f>
        <v>40</v>
      </c>
      <c r="AU70" s="32"/>
      <c r="AV70" s="32"/>
      <c r="AW70" s="32"/>
      <c r="AX70" s="32"/>
      <c r="AY70" s="32">
        <f t="shared" ref="AY70:AY74" si="193">SUM(AT70:AX70)</f>
        <v>40</v>
      </c>
      <c r="AZ70" s="33">
        <f t="shared" ref="AZ70:AZ74" si="194">+AY70/$S$18</f>
        <v>1.2121212121212122</v>
      </c>
      <c r="BA70" s="6"/>
      <c r="BB70" s="39">
        <f t="shared" ref="BB70:BB74" si="195">+AS70</f>
        <v>1</v>
      </c>
      <c r="BC70" s="32"/>
      <c r="BD70" s="32"/>
      <c r="BE70" s="32"/>
      <c r="BF70" s="32"/>
      <c r="BG70" s="32"/>
      <c r="BH70" s="32">
        <f t="shared" ref="BH70:BH74" si="196">SUM(BC70:BG70)</f>
        <v>0</v>
      </c>
      <c r="BI70" s="33">
        <f t="shared" ref="BI70:BI74" si="197">+BH70/$AB$18</f>
        <v>0</v>
      </c>
      <c r="BJ70" s="24"/>
    </row>
    <row r="71" spans="1:62" ht="15.75" customHeight="1" outlineLevel="1">
      <c r="A71" s="41"/>
      <c r="B71" s="18"/>
      <c r="C71" s="9">
        <f t="shared" ref="C71:C74" si="198">+C70+1</f>
        <v>2</v>
      </c>
      <c r="D71" s="31" t="s">
        <v>31</v>
      </c>
      <c r="E71" s="32">
        <f t="shared" ref="E71:J71" si="199">(N71*$E$54)+(W71*$E$53)</f>
        <v>9007.2000000000007</v>
      </c>
      <c r="F71" s="32">
        <f t="shared" si="199"/>
        <v>13510.8</v>
      </c>
      <c r="G71" s="32">
        <f t="shared" si="199"/>
        <v>0</v>
      </c>
      <c r="H71" s="32">
        <f t="shared" si="199"/>
        <v>0</v>
      </c>
      <c r="I71" s="32">
        <f t="shared" si="199"/>
        <v>0</v>
      </c>
      <c r="J71" s="32">
        <f t="shared" si="199"/>
        <v>22518</v>
      </c>
      <c r="K71" s="33"/>
      <c r="L71" s="9">
        <f t="shared" ref="L71:L74" si="200">+L70+1</f>
        <v>2</v>
      </c>
      <c r="M71" s="31" t="s">
        <v>31</v>
      </c>
      <c r="N71" s="32">
        <v>21.6</v>
      </c>
      <c r="O71" s="32">
        <v>32.4</v>
      </c>
      <c r="P71" s="32">
        <v>0</v>
      </c>
      <c r="Q71" s="32">
        <v>0</v>
      </c>
      <c r="R71" s="32">
        <v>0</v>
      </c>
      <c r="S71" s="32">
        <f t="shared" si="186"/>
        <v>54</v>
      </c>
      <c r="T71" s="33"/>
      <c r="U71" s="9">
        <f t="shared" ref="U71:U74" si="201">+U70+1</f>
        <v>2</v>
      </c>
      <c r="V71" s="31" t="s">
        <v>31</v>
      </c>
      <c r="W71" s="32">
        <v>0</v>
      </c>
      <c r="X71" s="32">
        <v>0</v>
      </c>
      <c r="Y71" s="32">
        <v>0</v>
      </c>
      <c r="Z71" s="32">
        <v>0</v>
      </c>
      <c r="AA71" s="32">
        <v>0</v>
      </c>
      <c r="AB71" s="32">
        <f t="shared" si="188"/>
        <v>0</v>
      </c>
      <c r="AC71" s="33"/>
      <c r="AD71" s="19"/>
      <c r="AE71" s="41"/>
      <c r="AF71" s="41"/>
      <c r="AG71" s="41"/>
      <c r="AH71" s="20"/>
      <c r="AI71" s="9">
        <f t="shared" ref="AI71:AI74" si="202">+AI70+1</f>
        <v>2</v>
      </c>
      <c r="AJ71" s="35" t="s">
        <v>32</v>
      </c>
      <c r="AK71" s="32">
        <f t="shared" si="189"/>
        <v>33333.333333333336</v>
      </c>
      <c r="AL71" s="262"/>
      <c r="AM71" s="263"/>
      <c r="AN71" s="263"/>
      <c r="AO71" s="263"/>
      <c r="AP71" s="40">
        <f t="shared" si="190"/>
        <v>33333.333333333336</v>
      </c>
      <c r="AQ71" s="33">
        <f t="shared" si="191"/>
        <v>0.17566974088713216</v>
      </c>
      <c r="AR71" s="147"/>
      <c r="AS71" s="39">
        <f t="shared" si="192"/>
        <v>2</v>
      </c>
      <c r="AT71" s="32">
        <f>8*5*2</f>
        <v>80</v>
      </c>
      <c r="AU71" s="32"/>
      <c r="AV71" s="32"/>
      <c r="AW71" s="32"/>
      <c r="AX71" s="32"/>
      <c r="AY71" s="32">
        <f t="shared" si="193"/>
        <v>80</v>
      </c>
      <c r="AZ71" s="33">
        <f t="shared" si="194"/>
        <v>2.4242424242424243</v>
      </c>
      <c r="BA71" s="6"/>
      <c r="BB71" s="39">
        <f t="shared" si="195"/>
        <v>2</v>
      </c>
      <c r="BC71" s="32"/>
      <c r="BD71" s="32"/>
      <c r="BE71" s="32"/>
      <c r="BF71" s="32"/>
      <c r="BG71" s="32"/>
      <c r="BH71" s="32">
        <f t="shared" si="196"/>
        <v>0</v>
      </c>
      <c r="BI71" s="33">
        <f t="shared" si="197"/>
        <v>0</v>
      </c>
      <c r="BJ71" s="24"/>
    </row>
    <row r="72" spans="1:62" ht="15.75" customHeight="1" outlineLevel="1">
      <c r="A72" s="41"/>
      <c r="B72" s="18"/>
      <c r="C72" s="9">
        <f t="shared" si="198"/>
        <v>3</v>
      </c>
      <c r="D72" s="31" t="s">
        <v>33</v>
      </c>
      <c r="E72" s="32">
        <f t="shared" ref="E72:J72" si="203">(N72*$E$54)+(W72*$E$53)</f>
        <v>0</v>
      </c>
      <c r="F72" s="32">
        <f t="shared" si="203"/>
        <v>9811.8000000000011</v>
      </c>
      <c r="G72" s="32">
        <f t="shared" si="203"/>
        <v>49059</v>
      </c>
      <c r="H72" s="32">
        <f t="shared" si="203"/>
        <v>34341.299999999996</v>
      </c>
      <c r="I72" s="32">
        <f t="shared" si="203"/>
        <v>4905.9000000000005</v>
      </c>
      <c r="J72" s="32">
        <f t="shared" si="203"/>
        <v>98118</v>
      </c>
      <c r="K72" s="33"/>
      <c r="L72" s="9">
        <f t="shared" si="200"/>
        <v>3</v>
      </c>
      <c r="M72" s="31" t="s">
        <v>33</v>
      </c>
      <c r="N72" s="32">
        <v>0</v>
      </c>
      <c r="O72" s="32">
        <v>5.4</v>
      </c>
      <c r="P72" s="32">
        <v>27</v>
      </c>
      <c r="Q72" s="32">
        <v>18.899999999999999</v>
      </c>
      <c r="R72" s="32">
        <v>2.7</v>
      </c>
      <c r="S72" s="32">
        <f t="shared" si="186"/>
        <v>54</v>
      </c>
      <c r="T72" s="33"/>
      <c r="U72" s="9">
        <f t="shared" si="201"/>
        <v>3</v>
      </c>
      <c r="V72" s="31" t="s">
        <v>33</v>
      </c>
      <c r="W72" s="32">
        <v>0</v>
      </c>
      <c r="X72" s="32">
        <v>37.800000000000004</v>
      </c>
      <c r="Y72" s="32">
        <v>189</v>
      </c>
      <c r="Z72" s="32">
        <v>132.29999999999998</v>
      </c>
      <c r="AA72" s="32">
        <v>18.900000000000002</v>
      </c>
      <c r="AB72" s="32">
        <f t="shared" si="188"/>
        <v>378</v>
      </c>
      <c r="AC72" s="33"/>
      <c r="AD72" s="19"/>
      <c r="AE72" s="41"/>
      <c r="AF72" s="41"/>
      <c r="AG72" s="41"/>
      <c r="AH72" s="20"/>
      <c r="AI72" s="9">
        <f t="shared" si="202"/>
        <v>3</v>
      </c>
      <c r="AJ72" s="35" t="s">
        <v>33</v>
      </c>
      <c r="AK72" s="32">
        <f t="shared" ref="AK72:AK74" si="204">(+AT72*$W$24)+(BC72*$W$23)</f>
        <v>0</v>
      </c>
      <c r="AL72" s="32">
        <f t="shared" ref="AL72:AN72" si="205">(+AU72*$BC$24)+(BD72*$BC$23)</f>
        <v>32333.333333333336</v>
      </c>
      <c r="AM72" s="32">
        <f t="shared" si="205"/>
        <v>32333.333333333336</v>
      </c>
      <c r="AN72" s="32">
        <f t="shared" si="205"/>
        <v>36500</v>
      </c>
      <c r="AO72" s="32">
        <f>(+AX72*$W$24)+(BG72*$W$23)</f>
        <v>0</v>
      </c>
      <c r="AP72" s="32">
        <f t="shared" si="190"/>
        <v>101166.66666666667</v>
      </c>
      <c r="AQ72" s="33">
        <f t="shared" si="191"/>
        <v>0.5331576635924461</v>
      </c>
      <c r="AR72" s="147"/>
      <c r="AS72" s="39">
        <f t="shared" si="192"/>
        <v>3</v>
      </c>
      <c r="AT72" s="32"/>
      <c r="AU72" s="32">
        <f t="shared" ref="AU72:AV72" si="206">4*5</f>
        <v>20</v>
      </c>
      <c r="AV72" s="32">
        <f t="shared" si="206"/>
        <v>20</v>
      </c>
      <c r="AW72" s="32">
        <f>5*6</f>
        <v>30</v>
      </c>
      <c r="AX72" s="32"/>
      <c r="AY72" s="32">
        <f t="shared" si="193"/>
        <v>70</v>
      </c>
      <c r="AZ72" s="33">
        <f t="shared" si="194"/>
        <v>2.1212121212121211</v>
      </c>
      <c r="BA72" s="6"/>
      <c r="BB72" s="39">
        <f t="shared" si="195"/>
        <v>3</v>
      </c>
      <c r="BC72" s="32"/>
      <c r="BD72" s="32">
        <f t="shared" ref="BD72:BF72" si="207">3*8*5</f>
        <v>120</v>
      </c>
      <c r="BE72" s="32">
        <f t="shared" si="207"/>
        <v>120</v>
      </c>
      <c r="BF72" s="32">
        <f t="shared" si="207"/>
        <v>120</v>
      </c>
      <c r="BG72" s="32"/>
      <c r="BH72" s="32">
        <f t="shared" si="196"/>
        <v>360</v>
      </c>
      <c r="BI72" s="33">
        <f t="shared" si="197"/>
        <v>4.3902439024390247</v>
      </c>
      <c r="BJ72" s="24"/>
    </row>
    <row r="73" spans="1:62" ht="15.75" customHeight="1" outlineLevel="1">
      <c r="A73" s="41"/>
      <c r="B73" s="18"/>
      <c r="C73" s="9">
        <f t="shared" si="198"/>
        <v>4</v>
      </c>
      <c r="D73" s="6" t="s">
        <v>34</v>
      </c>
      <c r="E73" s="32">
        <f t="shared" ref="E73:J73" si="208">(N73*$E$54)+(W73*$E$53)</f>
        <v>0</v>
      </c>
      <c r="F73" s="32">
        <f t="shared" si="208"/>
        <v>0</v>
      </c>
      <c r="G73" s="32">
        <f t="shared" si="208"/>
        <v>12601.44</v>
      </c>
      <c r="H73" s="32">
        <f t="shared" si="208"/>
        <v>0</v>
      </c>
      <c r="I73" s="32">
        <f t="shared" si="208"/>
        <v>0</v>
      </c>
      <c r="J73" s="32">
        <f t="shared" si="208"/>
        <v>12601.44</v>
      </c>
      <c r="K73" s="33"/>
      <c r="L73" s="9">
        <f t="shared" si="200"/>
        <v>4</v>
      </c>
      <c r="M73" s="41" t="s">
        <v>34</v>
      </c>
      <c r="N73" s="32">
        <v>0</v>
      </c>
      <c r="O73" s="32">
        <v>0</v>
      </c>
      <c r="P73" s="32">
        <v>4.32</v>
      </c>
      <c r="Q73" s="32">
        <v>0</v>
      </c>
      <c r="R73" s="32">
        <v>0</v>
      </c>
      <c r="S73" s="32">
        <f t="shared" si="186"/>
        <v>4.32</v>
      </c>
      <c r="T73" s="33"/>
      <c r="U73" s="9">
        <f t="shared" si="201"/>
        <v>4</v>
      </c>
      <c r="V73" s="41" t="s">
        <v>34</v>
      </c>
      <c r="W73" s="32">
        <v>0</v>
      </c>
      <c r="X73" s="32">
        <v>0</v>
      </c>
      <c r="Y73" s="32">
        <v>54</v>
      </c>
      <c r="Z73" s="32">
        <v>0</v>
      </c>
      <c r="AA73" s="32">
        <v>0</v>
      </c>
      <c r="AB73" s="32">
        <f t="shared" si="188"/>
        <v>54</v>
      </c>
      <c r="AC73" s="33"/>
      <c r="AD73" s="19"/>
      <c r="AE73" s="41"/>
      <c r="AF73" s="41"/>
      <c r="AG73" s="41"/>
      <c r="AH73" s="20"/>
      <c r="AI73" s="9">
        <f t="shared" si="202"/>
        <v>4</v>
      </c>
      <c r="AJ73" s="35" t="s">
        <v>35</v>
      </c>
      <c r="AK73" s="32">
        <f t="shared" si="204"/>
        <v>0</v>
      </c>
      <c r="AL73" s="32">
        <f t="shared" ref="AL73:AN73" si="209">(+AU73*$W$24)+(BD73*$W$23)</f>
        <v>0</v>
      </c>
      <c r="AM73" s="32">
        <f t="shared" si="209"/>
        <v>0</v>
      </c>
      <c r="AN73" s="32">
        <f t="shared" si="209"/>
        <v>0</v>
      </c>
      <c r="AO73" s="32">
        <f t="shared" ref="AO73:AO74" si="210">(+AX73*$BC$24)+(BG73*$BC$23)</f>
        <v>24333.333333333336</v>
      </c>
      <c r="AP73" s="32">
        <f t="shared" si="190"/>
        <v>24333.333333333336</v>
      </c>
      <c r="AQ73" s="33">
        <f t="shared" si="191"/>
        <v>0.1282389108476065</v>
      </c>
      <c r="AR73" s="147"/>
      <c r="AS73" s="39">
        <f t="shared" si="192"/>
        <v>4</v>
      </c>
      <c r="AT73" s="32"/>
      <c r="AU73" s="32"/>
      <c r="AV73" s="32"/>
      <c r="AW73" s="32"/>
      <c r="AX73" s="32">
        <f>5*4</f>
        <v>20</v>
      </c>
      <c r="AY73" s="32">
        <f t="shared" si="193"/>
        <v>20</v>
      </c>
      <c r="AZ73" s="33">
        <f t="shared" si="194"/>
        <v>0.60606060606060608</v>
      </c>
      <c r="BA73" s="6"/>
      <c r="BB73" s="39">
        <f t="shared" si="195"/>
        <v>4</v>
      </c>
      <c r="BC73" s="32"/>
      <c r="BD73" s="32"/>
      <c r="BE73" s="32"/>
      <c r="BF73" s="32"/>
      <c r="BG73" s="32">
        <f>2*8*5</f>
        <v>80</v>
      </c>
      <c r="BH73" s="32">
        <f t="shared" si="196"/>
        <v>80</v>
      </c>
      <c r="BI73" s="33">
        <f t="shared" si="197"/>
        <v>0.97560975609756095</v>
      </c>
      <c r="BJ73" s="24"/>
    </row>
    <row r="74" spans="1:62" ht="15.75" customHeight="1" outlineLevel="1">
      <c r="A74" s="41"/>
      <c r="B74" s="18"/>
      <c r="C74" s="9">
        <f t="shared" si="198"/>
        <v>5</v>
      </c>
      <c r="D74" s="31" t="s">
        <v>36</v>
      </c>
      <c r="E74" s="32">
        <f t="shared" ref="E74:J74" si="211">(N74*$E$54)+(W74*$E$53)</f>
        <v>0</v>
      </c>
      <c r="F74" s="32">
        <f t="shared" si="211"/>
        <v>0</v>
      </c>
      <c r="G74" s="32">
        <f t="shared" si="211"/>
        <v>8407.3680000000022</v>
      </c>
      <c r="H74" s="32">
        <f t="shared" si="211"/>
        <v>16814.736000000004</v>
      </c>
      <c r="I74" s="32">
        <f t="shared" si="211"/>
        <v>16814.736000000004</v>
      </c>
      <c r="J74" s="32">
        <f t="shared" si="211"/>
        <v>42036.840000000011</v>
      </c>
      <c r="K74" s="33"/>
      <c r="L74" s="9">
        <f t="shared" si="200"/>
        <v>5</v>
      </c>
      <c r="M74" s="31" t="s">
        <v>36</v>
      </c>
      <c r="N74" s="32">
        <v>0</v>
      </c>
      <c r="O74" s="32">
        <v>0</v>
      </c>
      <c r="P74" s="32">
        <v>4.104000000000001</v>
      </c>
      <c r="Q74" s="32">
        <v>8.208000000000002</v>
      </c>
      <c r="R74" s="32">
        <v>8.208000000000002</v>
      </c>
      <c r="S74" s="32">
        <f t="shared" si="186"/>
        <v>20.520000000000003</v>
      </c>
      <c r="T74" s="33"/>
      <c r="U74" s="9">
        <f t="shared" si="201"/>
        <v>5</v>
      </c>
      <c r="V74" s="31" t="s">
        <v>36</v>
      </c>
      <c r="W74" s="32">
        <v>0</v>
      </c>
      <c r="X74" s="32">
        <v>0</v>
      </c>
      <c r="Y74" s="32">
        <v>33.480000000000004</v>
      </c>
      <c r="Z74" s="32">
        <v>66.960000000000008</v>
      </c>
      <c r="AA74" s="32">
        <v>66.960000000000008</v>
      </c>
      <c r="AB74" s="32">
        <f t="shared" si="188"/>
        <v>167.40000000000003</v>
      </c>
      <c r="AC74" s="33"/>
      <c r="AD74" s="19"/>
      <c r="AE74" s="41"/>
      <c r="AF74" s="41"/>
      <c r="AG74" s="41"/>
      <c r="AH74" s="20"/>
      <c r="AI74" s="9">
        <f t="shared" si="202"/>
        <v>5</v>
      </c>
      <c r="AJ74" s="35" t="s">
        <v>37</v>
      </c>
      <c r="AK74" s="42">
        <f t="shared" si="204"/>
        <v>0</v>
      </c>
      <c r="AL74" s="42">
        <f t="shared" ref="AL74:AN74" si="212">(+AU74*$W$24)+(BD74*$W$23)</f>
        <v>0</v>
      </c>
      <c r="AM74" s="42">
        <f t="shared" si="212"/>
        <v>0</v>
      </c>
      <c r="AN74" s="42">
        <f t="shared" si="212"/>
        <v>0</v>
      </c>
      <c r="AO74" s="42">
        <f t="shared" si="210"/>
        <v>14250</v>
      </c>
      <c r="AP74" s="42">
        <f t="shared" si="190"/>
        <v>14250</v>
      </c>
      <c r="AQ74" s="33">
        <f t="shared" si="191"/>
        <v>7.5098814229248995E-2</v>
      </c>
      <c r="AR74" s="147"/>
      <c r="AS74" s="39">
        <f t="shared" si="192"/>
        <v>5</v>
      </c>
      <c r="AT74" s="42"/>
      <c r="AU74" s="42"/>
      <c r="AV74" s="42"/>
      <c r="AW74" s="42"/>
      <c r="AX74" s="42">
        <f>3*5</f>
        <v>15</v>
      </c>
      <c r="AY74" s="42">
        <f t="shared" si="193"/>
        <v>15</v>
      </c>
      <c r="AZ74" s="33">
        <f t="shared" si="194"/>
        <v>0.45454545454545453</v>
      </c>
      <c r="BA74" s="6"/>
      <c r="BB74" s="39">
        <f t="shared" si="195"/>
        <v>5</v>
      </c>
      <c r="BC74" s="42"/>
      <c r="BD74" s="42"/>
      <c r="BE74" s="42"/>
      <c r="BF74" s="42"/>
      <c r="BG74" s="42">
        <f>1*8*5</f>
        <v>40</v>
      </c>
      <c r="BH74" s="42">
        <f t="shared" si="196"/>
        <v>40</v>
      </c>
      <c r="BI74" s="33">
        <f t="shared" si="197"/>
        <v>0.48780487804878048</v>
      </c>
      <c r="BJ74" s="24"/>
    </row>
    <row r="75" spans="1:62" ht="15.75" customHeight="1" outlineLevel="1">
      <c r="A75" s="41"/>
      <c r="B75" s="18"/>
      <c r="C75" s="34">
        <v>6</v>
      </c>
      <c r="D75" s="31" t="s">
        <v>38</v>
      </c>
      <c r="E75" s="32">
        <f t="shared" ref="E75:J75" si="213">(N75*$E$54)+(W75*$E$53)</f>
        <v>0</v>
      </c>
      <c r="F75" s="32">
        <f t="shared" si="213"/>
        <v>0</v>
      </c>
      <c r="G75" s="32">
        <f t="shared" si="213"/>
        <v>0</v>
      </c>
      <c r="H75" s="32">
        <f t="shared" si="213"/>
        <v>23655.887999999999</v>
      </c>
      <c r="I75" s="32">
        <f t="shared" si="213"/>
        <v>15770.592000000004</v>
      </c>
      <c r="J75" s="32">
        <f t="shared" si="213"/>
        <v>39426.480000000003</v>
      </c>
      <c r="K75" s="33"/>
      <c r="L75" s="34">
        <v>6</v>
      </c>
      <c r="M75" s="31" t="s">
        <v>38</v>
      </c>
      <c r="N75" s="32">
        <v>0</v>
      </c>
      <c r="O75" s="32">
        <v>0</v>
      </c>
      <c r="P75" s="32">
        <v>0</v>
      </c>
      <c r="Q75" s="32">
        <v>11.664</v>
      </c>
      <c r="R75" s="32">
        <v>7.7760000000000007</v>
      </c>
      <c r="S75" s="32">
        <f t="shared" si="186"/>
        <v>19.440000000000001</v>
      </c>
      <c r="T75" s="33"/>
      <c r="U75" s="34">
        <v>6</v>
      </c>
      <c r="V75" s="31" t="s">
        <v>38</v>
      </c>
      <c r="W75" s="32">
        <v>0</v>
      </c>
      <c r="X75" s="32">
        <v>0</v>
      </c>
      <c r="Y75" s="32">
        <v>0</v>
      </c>
      <c r="Z75" s="32">
        <v>93.960000000000008</v>
      </c>
      <c r="AA75" s="32">
        <v>62.640000000000015</v>
      </c>
      <c r="AB75" s="32">
        <f t="shared" si="188"/>
        <v>156.60000000000002</v>
      </c>
      <c r="AC75" s="33"/>
      <c r="AD75" s="19"/>
      <c r="AE75" s="41"/>
      <c r="AF75" s="41"/>
      <c r="AG75" s="41"/>
      <c r="AH75" s="20"/>
      <c r="AI75" s="9"/>
      <c r="AJ75" s="35"/>
      <c r="AK75" s="43"/>
      <c r="AL75" s="44"/>
      <c r="AM75" s="44"/>
      <c r="AN75" s="44"/>
      <c r="AO75" s="44"/>
      <c r="AP75" s="45"/>
      <c r="AQ75" s="33"/>
      <c r="AR75" s="147"/>
      <c r="AS75" s="39"/>
      <c r="AT75" s="43"/>
      <c r="AU75" s="44"/>
      <c r="AV75" s="44"/>
      <c r="AW75" s="44"/>
      <c r="AX75" s="44"/>
      <c r="AY75" s="45"/>
      <c r="AZ75" s="33"/>
      <c r="BA75" s="6"/>
      <c r="BB75" s="39"/>
      <c r="BC75" s="43"/>
      <c r="BD75" s="44"/>
      <c r="BE75" s="44"/>
      <c r="BF75" s="44"/>
      <c r="BG75" s="44"/>
      <c r="BH75" s="45"/>
      <c r="BI75" s="33"/>
      <c r="BJ75" s="24"/>
    </row>
    <row r="76" spans="1:62" ht="15.75" customHeight="1" outlineLevel="1">
      <c r="A76" s="41"/>
      <c r="B76" s="18"/>
      <c r="C76" s="34">
        <v>7</v>
      </c>
      <c r="D76" s="31" t="s">
        <v>37</v>
      </c>
      <c r="E76" s="32">
        <f t="shared" ref="E76:J76" si="214">(N76*$E$54)+(W76*$E$53)</f>
        <v>0</v>
      </c>
      <c r="F76" s="32">
        <f t="shared" si="214"/>
        <v>0</v>
      </c>
      <c r="G76" s="32">
        <f t="shared" si="214"/>
        <v>0</v>
      </c>
      <c r="H76" s="32">
        <f t="shared" si="214"/>
        <v>0</v>
      </c>
      <c r="I76" s="32">
        <f t="shared" si="214"/>
        <v>13520.52</v>
      </c>
      <c r="J76" s="32">
        <f t="shared" si="214"/>
        <v>13520.52</v>
      </c>
      <c r="K76" s="33"/>
      <c r="L76" s="34">
        <v>7</v>
      </c>
      <c r="M76" s="31" t="s">
        <v>37</v>
      </c>
      <c r="N76" s="32">
        <v>0</v>
      </c>
      <c r="O76" s="32">
        <v>0</v>
      </c>
      <c r="P76" s="32">
        <v>0</v>
      </c>
      <c r="Q76" s="32">
        <v>0</v>
      </c>
      <c r="R76" s="32">
        <v>7.5600000000000005</v>
      </c>
      <c r="S76" s="32">
        <f t="shared" si="186"/>
        <v>7.5600000000000005</v>
      </c>
      <c r="T76" s="33"/>
      <c r="U76" s="34">
        <v>7</v>
      </c>
      <c r="V76" s="31" t="s">
        <v>37</v>
      </c>
      <c r="W76" s="32">
        <v>0</v>
      </c>
      <c r="X76" s="32">
        <v>0</v>
      </c>
      <c r="Y76" s="32">
        <v>0</v>
      </c>
      <c r="Z76" s="32">
        <v>0</v>
      </c>
      <c r="AA76" s="32">
        <v>51.84</v>
      </c>
      <c r="AB76" s="32">
        <f t="shared" si="188"/>
        <v>51.84</v>
      </c>
      <c r="AC76" s="33"/>
      <c r="AD76" s="19"/>
      <c r="AE76" s="41"/>
      <c r="AF76" s="41"/>
      <c r="AG76" s="41"/>
      <c r="AH76" s="20"/>
      <c r="AI76" s="9"/>
      <c r="AJ76" s="35"/>
      <c r="AK76" s="43"/>
      <c r="AL76" s="44"/>
      <c r="AM76" s="44"/>
      <c r="AN76" s="44"/>
      <c r="AO76" s="44"/>
      <c r="AP76" s="45"/>
      <c r="AQ76" s="33"/>
      <c r="AR76" s="147"/>
      <c r="AS76" s="39"/>
      <c r="AT76" s="43"/>
      <c r="AU76" s="44"/>
      <c r="AV76" s="44"/>
      <c r="AW76" s="44"/>
      <c r="AX76" s="44"/>
      <c r="AY76" s="45"/>
      <c r="AZ76" s="33"/>
      <c r="BA76" s="6"/>
      <c r="BB76" s="39"/>
      <c r="BC76" s="43"/>
      <c r="BD76" s="44"/>
      <c r="BE76" s="44"/>
      <c r="BF76" s="44"/>
      <c r="BG76" s="44"/>
      <c r="BH76" s="45"/>
      <c r="BI76" s="33"/>
      <c r="BJ76" s="24"/>
    </row>
    <row r="77" spans="1:62" ht="15.75" customHeight="1" outlineLevel="1">
      <c r="A77" s="41"/>
      <c r="B77" s="18"/>
      <c r="C77" s="34">
        <v>8</v>
      </c>
      <c r="D77" s="6" t="s">
        <v>39</v>
      </c>
      <c r="E77" s="32">
        <f t="shared" ref="E77:J77" si="215">(N77*$E$54)+(W77*$E$53)</f>
        <v>0</v>
      </c>
      <c r="F77" s="32">
        <f t="shared" si="215"/>
        <v>0</v>
      </c>
      <c r="G77" s="32">
        <f t="shared" si="215"/>
        <v>0</v>
      </c>
      <c r="H77" s="32">
        <f t="shared" si="215"/>
        <v>0</v>
      </c>
      <c r="I77" s="32">
        <f t="shared" si="215"/>
        <v>6480.0000000000009</v>
      </c>
      <c r="J77" s="32">
        <f t="shared" si="215"/>
        <v>6480.0000000000009</v>
      </c>
      <c r="K77" s="33"/>
      <c r="L77" s="34">
        <v>8</v>
      </c>
      <c r="M77" s="41" t="s">
        <v>39</v>
      </c>
      <c r="N77" s="32">
        <v>0</v>
      </c>
      <c r="O77" s="32">
        <v>0</v>
      </c>
      <c r="P77" s="32">
        <v>0</v>
      </c>
      <c r="Q77" s="32">
        <v>0</v>
      </c>
      <c r="R77" s="32">
        <v>0</v>
      </c>
      <c r="S77" s="32">
        <f t="shared" si="186"/>
        <v>0</v>
      </c>
      <c r="T77" s="33"/>
      <c r="U77" s="34">
        <v>8</v>
      </c>
      <c r="V77" s="41" t="s">
        <v>39</v>
      </c>
      <c r="W77" s="32">
        <v>0</v>
      </c>
      <c r="X77" s="32">
        <v>0</v>
      </c>
      <c r="Y77" s="32">
        <v>0</v>
      </c>
      <c r="Z77" s="32">
        <v>0</v>
      </c>
      <c r="AA77" s="32">
        <v>32.400000000000006</v>
      </c>
      <c r="AB77" s="32">
        <f t="shared" si="188"/>
        <v>32.400000000000006</v>
      </c>
      <c r="AC77" s="33"/>
      <c r="AD77" s="19"/>
      <c r="AE77" s="41"/>
      <c r="AF77" s="41"/>
      <c r="AG77" s="41"/>
      <c r="AH77" s="20"/>
      <c r="AI77" s="9"/>
      <c r="AJ77" s="35"/>
      <c r="AK77" s="43"/>
      <c r="AL77" s="44"/>
      <c r="AM77" s="44"/>
      <c r="AN77" s="44"/>
      <c r="AO77" s="44"/>
      <c r="AP77" s="45"/>
      <c r="AQ77" s="33"/>
      <c r="AR77" s="147"/>
      <c r="AS77" s="39"/>
      <c r="AT77" s="43"/>
      <c r="AU77" s="44"/>
      <c r="AV77" s="44"/>
      <c r="AW77" s="44"/>
      <c r="AX77" s="44"/>
      <c r="AY77" s="45"/>
      <c r="AZ77" s="33"/>
      <c r="BA77" s="6"/>
      <c r="BB77" s="39"/>
      <c r="BC77" s="43"/>
      <c r="BD77" s="44"/>
      <c r="BE77" s="44"/>
      <c r="BF77" s="44"/>
      <c r="BG77" s="44"/>
      <c r="BH77" s="45"/>
      <c r="BI77" s="33"/>
      <c r="BJ77" s="24"/>
    </row>
    <row r="78" spans="1:62" ht="15.75" customHeight="1">
      <c r="A78" s="41"/>
      <c r="B78" s="18"/>
      <c r="C78" s="9"/>
      <c r="D78" s="25" t="s">
        <v>40</v>
      </c>
      <c r="E78" s="46">
        <f t="shared" ref="E78:J78" si="216">SUM(E70:E77)</f>
        <v>19815.840000000004</v>
      </c>
      <c r="F78" s="47">
        <f t="shared" si="216"/>
        <v>30528.36</v>
      </c>
      <c r="G78" s="47">
        <f t="shared" si="216"/>
        <v>70067.808000000005</v>
      </c>
      <c r="H78" s="47">
        <f t="shared" si="216"/>
        <v>74811.923999999999</v>
      </c>
      <c r="I78" s="47">
        <f t="shared" si="216"/>
        <v>57491.748000000007</v>
      </c>
      <c r="J78" s="48">
        <f t="shared" si="216"/>
        <v>252715.68</v>
      </c>
      <c r="K78" s="33"/>
      <c r="L78" s="49"/>
      <c r="M78" s="50" t="s">
        <v>41</v>
      </c>
      <c r="N78" s="47">
        <f t="shared" ref="N78:S78" si="217">SUM(N70:N77)</f>
        <v>47.52</v>
      </c>
      <c r="O78" s="47">
        <f t="shared" si="217"/>
        <v>55.08</v>
      </c>
      <c r="P78" s="47">
        <f t="shared" si="217"/>
        <v>35.423999999999999</v>
      </c>
      <c r="Q78" s="47">
        <f t="shared" si="217"/>
        <v>38.771999999999998</v>
      </c>
      <c r="R78" s="47">
        <f t="shared" si="217"/>
        <v>26.244</v>
      </c>
      <c r="S78" s="48">
        <f t="shared" si="217"/>
        <v>203.04</v>
      </c>
      <c r="T78" s="51"/>
      <c r="U78" s="6"/>
      <c r="V78" s="50" t="s">
        <v>42</v>
      </c>
      <c r="W78" s="46">
        <f t="shared" ref="W78:AB78" si="218">SUM(W70:W77)</f>
        <v>0</v>
      </c>
      <c r="X78" s="46">
        <f t="shared" si="218"/>
        <v>37.800000000000004</v>
      </c>
      <c r="Y78" s="46">
        <f t="shared" si="218"/>
        <v>276.48</v>
      </c>
      <c r="Z78" s="46">
        <f t="shared" si="218"/>
        <v>293.22000000000003</v>
      </c>
      <c r="AA78" s="46">
        <f t="shared" si="218"/>
        <v>232.74000000000004</v>
      </c>
      <c r="AB78" s="46">
        <f t="shared" si="218"/>
        <v>840.24000000000012</v>
      </c>
      <c r="AC78" s="51"/>
      <c r="AD78" s="19"/>
      <c r="AE78" s="41"/>
      <c r="AF78" s="41"/>
      <c r="AG78" s="41"/>
      <c r="AH78" s="20"/>
      <c r="AI78" s="9"/>
      <c r="AJ78" s="25" t="s">
        <v>40</v>
      </c>
      <c r="AK78" s="52">
        <f t="shared" ref="AK78:AQ78" si="219">SUM(AK70:AK74)</f>
        <v>50000</v>
      </c>
      <c r="AL78" s="47">
        <f t="shared" si="219"/>
        <v>32333.333333333336</v>
      </c>
      <c r="AM78" s="47">
        <f t="shared" si="219"/>
        <v>32333.333333333336</v>
      </c>
      <c r="AN78" s="47">
        <f t="shared" si="219"/>
        <v>36500</v>
      </c>
      <c r="AO78" s="47">
        <f t="shared" si="219"/>
        <v>38583.333333333336</v>
      </c>
      <c r="AP78" s="48">
        <f t="shared" si="219"/>
        <v>189750.00000000003</v>
      </c>
      <c r="AQ78" s="53">
        <f t="shared" si="219"/>
        <v>0.99999999999999989</v>
      </c>
      <c r="AR78" s="148" t="s">
        <v>119</v>
      </c>
      <c r="AS78" s="50" t="s">
        <v>41</v>
      </c>
      <c r="AT78" s="46">
        <f t="shared" ref="AT78:AZ78" si="220">SUM(AT70:AT74)</f>
        <v>120</v>
      </c>
      <c r="AU78" s="47">
        <f t="shared" si="220"/>
        <v>20</v>
      </c>
      <c r="AV78" s="47">
        <f t="shared" si="220"/>
        <v>20</v>
      </c>
      <c r="AW78" s="47">
        <f t="shared" si="220"/>
        <v>30</v>
      </c>
      <c r="AX78" s="47">
        <f t="shared" si="220"/>
        <v>35</v>
      </c>
      <c r="AY78" s="48">
        <f t="shared" si="220"/>
        <v>225</v>
      </c>
      <c r="AZ78" s="51">
        <f t="shared" si="220"/>
        <v>6.8181818181818183</v>
      </c>
      <c r="BA78" s="6"/>
      <c r="BB78" s="50" t="s">
        <v>42</v>
      </c>
      <c r="BC78" s="46">
        <f t="shared" ref="BC78:BI78" si="221">SUM(BC70:BC74)</f>
        <v>0</v>
      </c>
      <c r="BD78" s="47">
        <f t="shared" si="221"/>
        <v>120</v>
      </c>
      <c r="BE78" s="47">
        <f t="shared" si="221"/>
        <v>120</v>
      </c>
      <c r="BF78" s="47">
        <f t="shared" si="221"/>
        <v>120</v>
      </c>
      <c r="BG78" s="47">
        <f t="shared" si="221"/>
        <v>120</v>
      </c>
      <c r="BH78" s="48">
        <f t="shared" si="221"/>
        <v>480</v>
      </c>
      <c r="BI78" s="51">
        <f t="shared" si="221"/>
        <v>5.8536585365853657</v>
      </c>
      <c r="BJ78" s="24"/>
    </row>
    <row r="79" spans="1:62" ht="15.75" customHeight="1">
      <c r="A79" s="41"/>
      <c r="B79" s="18"/>
      <c r="C79" s="9"/>
      <c r="D79" s="41"/>
      <c r="E79" s="51"/>
      <c r="F79" s="51"/>
      <c r="G79" s="51"/>
      <c r="H79" s="51"/>
      <c r="I79" s="51"/>
      <c r="J79" s="51"/>
      <c r="K79" s="33"/>
      <c r="L79" s="49"/>
      <c r="M79" s="49"/>
      <c r="N79" s="51"/>
      <c r="O79" s="51"/>
      <c r="P79" s="51"/>
      <c r="Q79" s="51"/>
      <c r="R79" s="51"/>
      <c r="S79" s="51"/>
      <c r="T79" s="6"/>
      <c r="U79" s="6"/>
      <c r="V79" s="49"/>
      <c r="W79" s="51"/>
      <c r="X79" s="51"/>
      <c r="Y79" s="51"/>
      <c r="Z79" s="51"/>
      <c r="AA79" s="51"/>
      <c r="AB79" s="51"/>
      <c r="AC79" s="6"/>
      <c r="AD79" s="19"/>
      <c r="AE79" s="41"/>
      <c r="AF79" s="41"/>
      <c r="AG79" s="41"/>
      <c r="AH79" s="20"/>
      <c r="AI79" s="9"/>
      <c r="AJ79" s="54" t="s">
        <v>43</v>
      </c>
      <c r="AK79" s="55">
        <f t="shared" ref="AK79:AO79" si="222">+AK78/$AP$18</f>
        <v>0.26350461133069825</v>
      </c>
      <c r="AL79" s="51">
        <f t="shared" si="222"/>
        <v>0.17039964866051821</v>
      </c>
      <c r="AM79" s="51">
        <f t="shared" si="222"/>
        <v>0.17039964866051821</v>
      </c>
      <c r="AN79" s="51">
        <f t="shared" si="222"/>
        <v>0.19235836627140973</v>
      </c>
      <c r="AO79" s="51">
        <f t="shared" si="222"/>
        <v>0.20333772507685549</v>
      </c>
      <c r="AP79" s="55">
        <f>+AP78/$J$18</f>
        <v>6.2912370279500029</v>
      </c>
      <c r="AQ79" s="56" t="s">
        <v>44</v>
      </c>
      <c r="AR79" s="23"/>
      <c r="AS79" s="49"/>
      <c r="AT79" s="51">
        <f t="shared" ref="AT79:AX79" si="223">+AT78/$S$18</f>
        <v>3.6363636363636362</v>
      </c>
      <c r="AU79" s="51">
        <f t="shared" si="223"/>
        <v>0.60606060606060608</v>
      </c>
      <c r="AV79" s="51">
        <f t="shared" si="223"/>
        <v>0.60606060606060608</v>
      </c>
      <c r="AW79" s="51">
        <f t="shared" si="223"/>
        <v>0.90909090909090906</v>
      </c>
      <c r="AX79" s="51">
        <f t="shared" si="223"/>
        <v>1.0606060606060606</v>
      </c>
      <c r="AY79" s="49"/>
      <c r="AZ79" s="284" t="s">
        <v>120</v>
      </c>
      <c r="BA79" s="258"/>
      <c r="BB79" s="258"/>
      <c r="BC79" s="51">
        <f t="shared" ref="BC79:BG79" si="224">+BC78/$AB$18</f>
        <v>0</v>
      </c>
      <c r="BD79" s="51">
        <f t="shared" si="224"/>
        <v>1.4634146341463414</v>
      </c>
      <c r="BE79" s="51">
        <f t="shared" si="224"/>
        <v>1.4634146341463414</v>
      </c>
      <c r="BF79" s="51">
        <f t="shared" si="224"/>
        <v>1.4634146341463414</v>
      </c>
      <c r="BG79" s="51">
        <f t="shared" si="224"/>
        <v>1.4634146341463414</v>
      </c>
      <c r="BH79" s="49"/>
      <c r="BI79" s="6"/>
      <c r="BJ79" s="24"/>
    </row>
    <row r="80" spans="1:62" ht="15.75" customHeight="1">
      <c r="B80" s="18"/>
      <c r="C80" s="22"/>
      <c r="D80" s="6"/>
      <c r="E80" s="6"/>
      <c r="F80" s="6"/>
      <c r="G80" s="6"/>
      <c r="H80" s="6"/>
      <c r="I80" s="6"/>
      <c r="J80" s="6"/>
      <c r="K80" s="6"/>
      <c r="L80" s="6"/>
      <c r="M80" s="6"/>
      <c r="N80" s="6"/>
      <c r="O80" s="6"/>
      <c r="P80" s="6"/>
      <c r="Q80" s="6"/>
      <c r="R80" s="6"/>
      <c r="S80" s="6"/>
      <c r="T80" s="6"/>
      <c r="U80" s="6"/>
      <c r="V80" s="6"/>
      <c r="W80" s="6"/>
      <c r="X80" s="6"/>
      <c r="Y80" s="6"/>
      <c r="Z80" s="6"/>
      <c r="AA80" s="6"/>
      <c r="AB80" s="6"/>
      <c r="AC80" s="6"/>
      <c r="AD80" s="19"/>
      <c r="AH80" s="20"/>
      <c r="AI80" s="9"/>
      <c r="AJ80" s="6"/>
      <c r="AK80" s="149" t="s">
        <v>121</v>
      </c>
      <c r="AL80" s="6"/>
      <c r="AM80" s="6"/>
      <c r="AN80" s="6"/>
      <c r="AO80" s="6"/>
      <c r="AP80" s="6"/>
      <c r="AQ80" s="6"/>
      <c r="AR80" s="6"/>
      <c r="AS80" s="6"/>
      <c r="AT80" s="264" t="s">
        <v>122</v>
      </c>
      <c r="AU80" s="258"/>
      <c r="AV80" s="258"/>
      <c r="AW80" s="258"/>
      <c r="AX80" s="258"/>
      <c r="AY80" s="258"/>
      <c r="AZ80" s="258"/>
      <c r="BA80" s="258"/>
      <c r="BB80" s="258"/>
      <c r="BC80" s="6"/>
      <c r="BD80" s="121" t="s">
        <v>123</v>
      </c>
      <c r="BE80" s="6"/>
      <c r="BF80" s="6"/>
      <c r="BG80" s="6"/>
      <c r="BH80" s="6"/>
      <c r="BI80" s="6"/>
      <c r="BJ80" s="24"/>
    </row>
    <row r="81" spans="2:62" ht="15.75" customHeight="1">
      <c r="B81" s="18"/>
      <c r="C81" s="22" t="s">
        <v>124</v>
      </c>
      <c r="D81" s="27" t="s">
        <v>125</v>
      </c>
      <c r="E81" s="6"/>
      <c r="F81" s="6"/>
      <c r="G81" s="6"/>
      <c r="H81" s="6"/>
      <c r="I81" s="6"/>
      <c r="J81" s="6"/>
      <c r="K81" s="6"/>
      <c r="L81" s="6"/>
      <c r="M81" s="6"/>
      <c r="N81" s="6"/>
      <c r="O81" s="6"/>
      <c r="P81" s="6"/>
      <c r="Q81" s="6"/>
      <c r="R81" s="6"/>
      <c r="S81" s="6"/>
      <c r="T81" s="6"/>
      <c r="U81" s="6"/>
      <c r="V81" s="6"/>
      <c r="W81" s="6"/>
      <c r="X81" s="6"/>
      <c r="Y81" s="6"/>
      <c r="Z81" s="6"/>
      <c r="AA81" s="6"/>
      <c r="AB81" s="6"/>
      <c r="AC81" s="6"/>
      <c r="AD81" s="19"/>
      <c r="AH81" s="20"/>
      <c r="AI81" s="9"/>
      <c r="AJ81" s="25" t="s">
        <v>125</v>
      </c>
      <c r="AK81" s="6"/>
      <c r="AL81" s="6"/>
      <c r="AM81" s="6"/>
      <c r="AN81" s="6"/>
      <c r="AO81" s="6"/>
      <c r="AP81" s="6"/>
      <c r="AQ81" s="6"/>
      <c r="AR81" s="6"/>
      <c r="AS81" s="6"/>
      <c r="AT81" s="258"/>
      <c r="AU81" s="258"/>
      <c r="AV81" s="258"/>
      <c r="AW81" s="258"/>
      <c r="AX81" s="258"/>
      <c r="AY81" s="258"/>
      <c r="AZ81" s="258"/>
      <c r="BA81" s="258"/>
      <c r="BB81" s="258"/>
      <c r="BC81" s="6"/>
      <c r="BD81" s="6"/>
      <c r="BE81" s="6"/>
      <c r="BF81" s="6"/>
      <c r="BG81" s="6"/>
      <c r="BH81" s="6"/>
      <c r="BI81" s="6"/>
      <c r="BJ81" s="24"/>
    </row>
    <row r="82" spans="2:62" ht="15.75" customHeight="1">
      <c r="B82" s="18"/>
      <c r="C82" s="9"/>
      <c r="D82" s="29"/>
      <c r="E82" s="30" t="s">
        <v>22</v>
      </c>
      <c r="F82" s="30" t="s">
        <v>23</v>
      </c>
      <c r="G82" s="30" t="s">
        <v>24</v>
      </c>
      <c r="H82" s="30" t="s">
        <v>25</v>
      </c>
      <c r="I82" s="30" t="s">
        <v>26</v>
      </c>
      <c r="J82" s="30" t="s">
        <v>27</v>
      </c>
      <c r="K82" s="25"/>
      <c r="L82" s="6"/>
      <c r="M82" s="6"/>
      <c r="N82" s="6"/>
      <c r="O82" s="6"/>
      <c r="P82" s="6"/>
      <c r="Q82" s="6"/>
      <c r="R82" s="6"/>
      <c r="S82" s="6"/>
      <c r="T82" s="6"/>
      <c r="U82" s="6"/>
      <c r="V82" s="6"/>
      <c r="W82" s="58"/>
      <c r="X82" s="58"/>
      <c r="Y82" s="6"/>
      <c r="Z82" s="6"/>
      <c r="AA82" s="6"/>
      <c r="AB82" s="6"/>
      <c r="AC82" s="6"/>
      <c r="AD82" s="19"/>
      <c r="AH82" s="20"/>
      <c r="AI82" s="9"/>
      <c r="AJ82" s="146" t="s">
        <v>126</v>
      </c>
      <c r="AK82" s="30" t="s">
        <v>22</v>
      </c>
      <c r="AL82" s="30" t="s">
        <v>23</v>
      </c>
      <c r="AM82" s="30" t="s">
        <v>24</v>
      </c>
      <c r="AN82" s="30" t="s">
        <v>25</v>
      </c>
      <c r="AO82" s="30" t="s">
        <v>26</v>
      </c>
      <c r="AP82" s="30" t="s">
        <v>27</v>
      </c>
      <c r="AQ82" s="25"/>
      <c r="AR82" s="6"/>
      <c r="AS82" s="6"/>
      <c r="AT82" s="258"/>
      <c r="AU82" s="258"/>
      <c r="AV82" s="258"/>
      <c r="AW82" s="258"/>
      <c r="AX82" s="258"/>
      <c r="AY82" s="258"/>
      <c r="AZ82" s="6"/>
      <c r="BA82" s="6"/>
      <c r="BB82" s="6"/>
      <c r="BC82" s="58" t="s">
        <v>50</v>
      </c>
      <c r="BD82" s="58" t="s">
        <v>51</v>
      </c>
      <c r="BE82" s="6"/>
      <c r="BF82" s="6"/>
      <c r="BG82" s="6"/>
      <c r="BH82" s="6"/>
      <c r="BI82" s="6"/>
      <c r="BJ82" s="24"/>
    </row>
    <row r="83" spans="2:62" ht="15.75" customHeight="1" outlineLevel="1">
      <c r="B83" s="18"/>
      <c r="C83" s="9">
        <f>+C77+1</f>
        <v>9</v>
      </c>
      <c r="D83" s="59" t="str">
        <f t="shared" ref="D83:J83" si="225">+D23</f>
        <v>Infraestructura (SW)</v>
      </c>
      <c r="E83" s="32">
        <f t="shared" si="225"/>
        <v>5000</v>
      </c>
      <c r="F83" s="32">
        <f t="shared" si="225"/>
        <v>0</v>
      </c>
      <c r="G83" s="32">
        <f t="shared" si="225"/>
        <v>0</v>
      </c>
      <c r="H83" s="32">
        <f t="shared" si="225"/>
        <v>0</v>
      </c>
      <c r="I83" s="32">
        <f t="shared" si="225"/>
        <v>0</v>
      </c>
      <c r="J83" s="32">
        <f t="shared" si="225"/>
        <v>5000</v>
      </c>
      <c r="K83" s="33"/>
      <c r="L83" s="49"/>
      <c r="M83" s="6"/>
      <c r="N83" s="6"/>
      <c r="O83" s="6"/>
      <c r="P83" s="49"/>
      <c r="Q83" s="49"/>
      <c r="R83" s="49"/>
      <c r="S83" s="49"/>
      <c r="T83" s="49"/>
      <c r="U83" s="6"/>
      <c r="V83" s="64"/>
      <c r="W83" s="65"/>
      <c r="X83" s="66"/>
      <c r="Y83" s="6"/>
      <c r="Z83" s="6"/>
      <c r="AA83" s="6"/>
      <c r="AB83" s="6"/>
      <c r="AC83" s="6"/>
      <c r="AD83" s="19"/>
      <c r="AH83" s="20"/>
      <c r="AI83" s="9">
        <f>+AI77+1</f>
        <v>1</v>
      </c>
      <c r="AJ83" s="35" t="s">
        <v>53</v>
      </c>
      <c r="AK83" s="32"/>
      <c r="AL83" s="32">
        <v>8000</v>
      </c>
      <c r="AM83" s="32"/>
      <c r="AN83" s="32"/>
      <c r="AO83" s="32"/>
      <c r="AP83" s="32">
        <f t="shared" ref="AP83:AP85" si="226">SUM(AK83:AO83)</f>
        <v>8000</v>
      </c>
      <c r="AQ83" s="38">
        <f t="shared" ref="AQ83:AQ86" si="227">+AP83/$AP$26</f>
        <v>0.21164021164021163</v>
      </c>
      <c r="AR83" s="264" t="s">
        <v>118</v>
      </c>
      <c r="AS83" s="6"/>
      <c r="AT83" s="258"/>
      <c r="AU83" s="258"/>
      <c r="AV83" s="258"/>
      <c r="AW83" s="258"/>
      <c r="AX83" s="258"/>
      <c r="AY83" s="258"/>
      <c r="AZ83" s="49"/>
      <c r="BA83" s="6"/>
      <c r="BB83" s="64" t="s">
        <v>55</v>
      </c>
      <c r="BC83" s="65">
        <f>48000/30/8</f>
        <v>200</v>
      </c>
      <c r="BD83" s="66" t="e">
        <f t="shared" ref="BD83:BD84" si="228">+BC83/$W$25</f>
        <v>#DIV/0!</v>
      </c>
      <c r="BE83" s="6"/>
      <c r="BF83" s="6"/>
      <c r="BG83" s="6"/>
      <c r="BH83" s="6"/>
      <c r="BI83" s="6"/>
      <c r="BJ83" s="24"/>
    </row>
    <row r="84" spans="2:62" ht="15.75" customHeight="1" outlineLevel="1">
      <c r="B84" s="18"/>
      <c r="C84" s="9">
        <f t="shared" ref="C84:C85" si="229">+C83+1</f>
        <v>10</v>
      </c>
      <c r="D84" s="59" t="str">
        <f t="shared" ref="D84:J84" si="230">+D24</f>
        <v>Costos Fijos (Luz, Agua, servicios,renta)</v>
      </c>
      <c r="E84" s="32">
        <f t="shared" si="230"/>
        <v>3500</v>
      </c>
      <c r="F84" s="32">
        <f t="shared" si="230"/>
        <v>3500</v>
      </c>
      <c r="G84" s="32">
        <f t="shared" si="230"/>
        <v>3500</v>
      </c>
      <c r="H84" s="32">
        <f t="shared" si="230"/>
        <v>3500</v>
      </c>
      <c r="I84" s="32">
        <f t="shared" si="230"/>
        <v>0</v>
      </c>
      <c r="J84" s="32">
        <f t="shared" si="230"/>
        <v>14000</v>
      </c>
      <c r="K84" s="33"/>
      <c r="L84" s="49"/>
      <c r="M84" s="6"/>
      <c r="N84" s="6"/>
      <c r="O84" s="6"/>
      <c r="P84" s="49"/>
      <c r="Q84" s="49"/>
      <c r="R84" s="49"/>
      <c r="S84" s="49"/>
      <c r="T84" s="49"/>
      <c r="U84" s="6"/>
      <c r="V84" s="64"/>
      <c r="W84" s="65"/>
      <c r="X84" s="66"/>
      <c r="Y84" s="6"/>
      <c r="Z84" s="6"/>
      <c r="AA84" s="6"/>
      <c r="AB84" s="6"/>
      <c r="AC84" s="6"/>
      <c r="AD84" s="19"/>
      <c r="AH84" s="20"/>
      <c r="AI84" s="9">
        <f t="shared" ref="AI84:AI85" si="231">+AI83+1</f>
        <v>2</v>
      </c>
      <c r="AJ84" s="35" t="s">
        <v>58</v>
      </c>
      <c r="AK84" s="32"/>
      <c r="AL84" s="32">
        <v>1200</v>
      </c>
      <c r="AM84" s="32">
        <f t="shared" ref="AM84:AO84" si="232">+AL84</f>
        <v>1200</v>
      </c>
      <c r="AN84" s="32">
        <f t="shared" si="232"/>
        <v>1200</v>
      </c>
      <c r="AO84" s="32">
        <f t="shared" si="232"/>
        <v>1200</v>
      </c>
      <c r="AP84" s="32">
        <f t="shared" si="226"/>
        <v>4800</v>
      </c>
      <c r="AQ84" s="33">
        <f t="shared" si="227"/>
        <v>0.12698412698412698</v>
      </c>
      <c r="AR84" s="258"/>
      <c r="AS84" s="6"/>
      <c r="AT84" s="6"/>
      <c r="AU84" s="6"/>
      <c r="AV84" s="49"/>
      <c r="AW84" s="49"/>
      <c r="AX84" s="49"/>
      <c r="AY84" s="49"/>
      <c r="AZ84" s="49"/>
      <c r="BA84" s="6"/>
      <c r="BB84" s="64" t="s">
        <v>59</v>
      </c>
      <c r="BC84" s="65">
        <f>100000/30/8</f>
        <v>416.66666666666669</v>
      </c>
      <c r="BD84" s="66" t="e">
        <f t="shared" si="228"/>
        <v>#DIV/0!</v>
      </c>
      <c r="BE84" s="6"/>
      <c r="BF84" s="6"/>
      <c r="BG84" s="6"/>
      <c r="BH84" s="6"/>
      <c r="BI84" s="6"/>
      <c r="BJ84" s="24"/>
    </row>
    <row r="85" spans="2:62" ht="15.75" customHeight="1" outlineLevel="1">
      <c r="B85" s="18"/>
      <c r="C85" s="9">
        <f t="shared" si="229"/>
        <v>11</v>
      </c>
      <c r="D85" s="59" t="str">
        <f t="shared" ref="D85:J85" si="233">+D25</f>
        <v>Transportes</v>
      </c>
      <c r="E85" s="32">
        <f t="shared" si="233"/>
        <v>0</v>
      </c>
      <c r="F85" s="32">
        <f t="shared" si="233"/>
        <v>0</v>
      </c>
      <c r="G85" s="32">
        <f t="shared" si="233"/>
        <v>500</v>
      </c>
      <c r="H85" s="32">
        <f t="shared" si="233"/>
        <v>500</v>
      </c>
      <c r="I85" s="32">
        <f t="shared" si="233"/>
        <v>500</v>
      </c>
      <c r="J85" s="32">
        <f t="shared" si="233"/>
        <v>1500</v>
      </c>
      <c r="K85" s="33"/>
      <c r="L85" s="49"/>
      <c r="M85" s="6"/>
      <c r="N85" s="6"/>
      <c r="O85" s="6"/>
      <c r="P85" s="49"/>
      <c r="Q85" s="49"/>
      <c r="R85" s="49"/>
      <c r="S85" s="49"/>
      <c r="T85" s="49"/>
      <c r="U85" s="6"/>
      <c r="V85" s="6"/>
      <c r="W85" s="6"/>
      <c r="X85" s="6"/>
      <c r="Y85" s="6"/>
      <c r="Z85" s="6"/>
      <c r="AA85" s="6"/>
      <c r="AB85" s="6"/>
      <c r="AC85" s="6"/>
      <c r="AD85" s="19"/>
      <c r="AH85" s="20"/>
      <c r="AI85" s="9">
        <f t="shared" si="231"/>
        <v>3</v>
      </c>
      <c r="AJ85" s="35" t="s">
        <v>60</v>
      </c>
      <c r="AK85" s="42"/>
      <c r="AL85" s="42"/>
      <c r="AM85" s="42"/>
      <c r="AN85" s="42"/>
      <c r="AO85" s="42">
        <v>22000</v>
      </c>
      <c r="AP85" s="42">
        <f t="shared" si="226"/>
        <v>22000</v>
      </c>
      <c r="AQ85" s="33">
        <f t="shared" si="227"/>
        <v>0.58201058201058198</v>
      </c>
      <c r="AR85" s="49"/>
      <c r="AS85" s="6"/>
      <c r="AT85" s="6"/>
      <c r="AU85" s="6"/>
      <c r="AV85" s="49"/>
      <c r="AW85" s="49"/>
      <c r="AX85" s="49"/>
      <c r="AY85" s="49"/>
      <c r="AZ85" s="49"/>
      <c r="BA85" s="6"/>
      <c r="BB85" s="6" t="s">
        <v>62</v>
      </c>
      <c r="BC85" s="6">
        <v>21</v>
      </c>
      <c r="BD85" s="6"/>
      <c r="BE85" s="6"/>
      <c r="BF85" s="6"/>
      <c r="BG85" s="6"/>
      <c r="BH85" s="6"/>
      <c r="BI85" s="6"/>
      <c r="BJ85" s="24"/>
    </row>
    <row r="86" spans="2:62" ht="15.75" customHeight="1">
      <c r="B86" s="18"/>
      <c r="C86" s="9"/>
      <c r="D86" s="25" t="s">
        <v>63</v>
      </c>
      <c r="E86" s="46">
        <f t="shared" ref="E86:J86" si="234">SUM(E83:E85)</f>
        <v>8500</v>
      </c>
      <c r="F86" s="47">
        <f t="shared" si="234"/>
        <v>3500</v>
      </c>
      <c r="G86" s="47">
        <f t="shared" si="234"/>
        <v>4000</v>
      </c>
      <c r="H86" s="47">
        <f t="shared" si="234"/>
        <v>4000</v>
      </c>
      <c r="I86" s="47">
        <f t="shared" si="234"/>
        <v>500</v>
      </c>
      <c r="J86" s="48">
        <f t="shared" si="234"/>
        <v>20500</v>
      </c>
      <c r="K86" s="67"/>
      <c r="L86" s="49"/>
      <c r="M86" s="49"/>
      <c r="N86" s="49"/>
      <c r="O86" s="49"/>
      <c r="P86" s="49"/>
      <c r="Q86" s="49"/>
      <c r="R86" s="49"/>
      <c r="S86" s="49"/>
      <c r="T86" s="49"/>
      <c r="U86" s="6"/>
      <c r="V86" s="6"/>
      <c r="W86" s="6"/>
      <c r="X86" s="6"/>
      <c r="Y86" s="6"/>
      <c r="Z86" s="6"/>
      <c r="AA86" s="6"/>
      <c r="AB86" s="6"/>
      <c r="AC86" s="6"/>
      <c r="AD86" s="19"/>
      <c r="AH86" s="20"/>
      <c r="AI86" s="9"/>
      <c r="AJ86" s="25" t="s">
        <v>63</v>
      </c>
      <c r="AK86" s="46">
        <f t="shared" ref="AK86:AP86" si="235">SUM(AK83:AK85)</f>
        <v>0</v>
      </c>
      <c r="AL86" s="47">
        <f t="shared" si="235"/>
        <v>9200</v>
      </c>
      <c r="AM86" s="47">
        <f t="shared" si="235"/>
        <v>1200</v>
      </c>
      <c r="AN86" s="47">
        <f t="shared" si="235"/>
        <v>1200</v>
      </c>
      <c r="AO86" s="47">
        <f t="shared" si="235"/>
        <v>23200</v>
      </c>
      <c r="AP86" s="48">
        <f t="shared" si="235"/>
        <v>34800</v>
      </c>
      <c r="AQ86" s="67">
        <f t="shared" si="227"/>
        <v>0.92063492063492058</v>
      </c>
      <c r="AR86" s="257" t="s">
        <v>119</v>
      </c>
      <c r="AS86" s="49"/>
      <c r="AT86" s="49"/>
      <c r="AU86" s="49"/>
      <c r="AV86" s="49"/>
      <c r="AW86" s="49"/>
      <c r="AX86" s="49"/>
      <c r="AY86" s="49"/>
      <c r="AZ86" s="49"/>
      <c r="BA86" s="6"/>
      <c r="BB86" s="6"/>
      <c r="BC86" s="6"/>
      <c r="BD86" s="6"/>
      <c r="BE86" s="6"/>
      <c r="BF86" s="6"/>
      <c r="BG86" s="6"/>
      <c r="BH86" s="6"/>
      <c r="BI86" s="6"/>
      <c r="BJ86" s="24"/>
    </row>
    <row r="87" spans="2:62" ht="15.75" customHeight="1">
      <c r="B87" s="18"/>
      <c r="C87" s="9"/>
      <c r="D87" s="6"/>
      <c r="E87" s="51"/>
      <c r="F87" s="51"/>
      <c r="G87" s="51"/>
      <c r="H87" s="51"/>
      <c r="I87" s="51"/>
      <c r="J87" s="51"/>
      <c r="K87" s="49"/>
      <c r="L87" s="49"/>
      <c r="M87" s="49"/>
      <c r="N87" s="49"/>
      <c r="O87" s="49"/>
      <c r="P87" s="49"/>
      <c r="Q87" s="49"/>
      <c r="R87" s="49"/>
      <c r="S87" s="49"/>
      <c r="T87" s="49"/>
      <c r="U87" s="6"/>
      <c r="V87" s="6"/>
      <c r="W87" s="6"/>
      <c r="X87" s="6"/>
      <c r="Y87" s="6"/>
      <c r="Z87" s="6"/>
      <c r="AA87" s="6"/>
      <c r="AB87" s="6"/>
      <c r="AC87" s="6"/>
      <c r="AD87" s="19"/>
      <c r="AH87" s="20"/>
      <c r="AI87" s="9"/>
      <c r="AJ87" s="6"/>
      <c r="AK87" s="55">
        <f t="shared" ref="AK87:AP87" si="236">+AK86/$AP$26</f>
        <v>0</v>
      </c>
      <c r="AL87" s="51">
        <f t="shared" si="236"/>
        <v>0.24338624338624337</v>
      </c>
      <c r="AM87" s="51">
        <f t="shared" si="236"/>
        <v>3.1746031746031744E-2</v>
      </c>
      <c r="AN87" s="51">
        <f t="shared" si="236"/>
        <v>3.1746031746031744E-2</v>
      </c>
      <c r="AO87" s="51">
        <f t="shared" si="236"/>
        <v>0.61375661375661372</v>
      </c>
      <c r="AP87" s="51">
        <f t="shared" si="236"/>
        <v>0.92063492063492058</v>
      </c>
      <c r="AQ87" s="49"/>
      <c r="AR87" s="258"/>
      <c r="AS87" s="150" t="s">
        <v>127</v>
      </c>
      <c r="AT87" s="49"/>
      <c r="AU87" s="49"/>
      <c r="AV87" s="49"/>
      <c r="AW87" s="49"/>
      <c r="AX87" s="49"/>
      <c r="AY87" s="49"/>
      <c r="AZ87" s="49"/>
      <c r="BA87" s="6"/>
      <c r="BB87" s="22" t="s">
        <v>128</v>
      </c>
      <c r="BC87" s="6"/>
      <c r="BD87" s="6"/>
      <c r="BE87" s="6"/>
      <c r="BF87" s="6"/>
      <c r="BG87" s="6"/>
      <c r="BH87" s="6"/>
      <c r="BI87" s="6"/>
      <c r="BJ87" s="24"/>
    </row>
    <row r="88" spans="2:62" ht="15.75" customHeight="1">
      <c r="B88" s="18"/>
      <c r="C88" s="9"/>
      <c r="D88" s="6"/>
      <c r="E88" s="6"/>
      <c r="F88" s="6"/>
      <c r="G88" s="6"/>
      <c r="H88" s="6"/>
      <c r="I88" s="6"/>
      <c r="J88" s="6"/>
      <c r="K88" s="6"/>
      <c r="L88" s="6"/>
      <c r="M88" s="6"/>
      <c r="N88" s="6"/>
      <c r="O88" s="6"/>
      <c r="P88" s="6"/>
      <c r="Q88" s="6"/>
      <c r="R88" s="151" t="s">
        <v>129</v>
      </c>
      <c r="S88" s="6"/>
      <c r="T88" s="6"/>
      <c r="U88" s="6"/>
      <c r="V88" s="6"/>
      <c r="W88" s="6"/>
      <c r="X88" s="6"/>
      <c r="Y88" s="6"/>
      <c r="Z88" s="6"/>
      <c r="AA88" s="6"/>
      <c r="AB88" s="6"/>
      <c r="AC88" s="6"/>
      <c r="AD88" s="19"/>
      <c r="AH88" s="20"/>
      <c r="AI88" s="9"/>
      <c r="AJ88" s="6"/>
      <c r="AK88" s="149" t="s">
        <v>130</v>
      </c>
      <c r="AL88" s="6"/>
      <c r="AM88" s="6"/>
      <c r="AN88" s="6"/>
      <c r="AO88" s="6"/>
      <c r="AP88" s="6"/>
      <c r="AQ88" s="6"/>
      <c r="AR88" s="6"/>
      <c r="AS88" s="22" t="s">
        <v>131</v>
      </c>
      <c r="AT88" s="6"/>
      <c r="AU88" s="265" t="s">
        <v>132</v>
      </c>
      <c r="AV88" s="258"/>
      <c r="AW88" s="258"/>
      <c r="AX88" s="258"/>
      <c r="AY88" s="258"/>
      <c r="AZ88" s="258"/>
      <c r="BA88" s="6"/>
      <c r="BB88" s="150" t="s">
        <v>133</v>
      </c>
      <c r="BC88" s="6"/>
      <c r="BD88" s="6"/>
      <c r="BE88" s="6"/>
      <c r="BF88" s="6"/>
      <c r="BG88" s="6"/>
      <c r="BH88" s="6"/>
      <c r="BI88" s="6"/>
      <c r="BJ88" s="24"/>
    </row>
    <row r="89" spans="2:62" ht="15.75" customHeight="1">
      <c r="B89" s="18"/>
      <c r="C89" s="152" t="s">
        <v>134</v>
      </c>
      <c r="D89" s="153" t="s">
        <v>135</v>
      </c>
      <c r="E89" s="6"/>
      <c r="F89" s="6"/>
      <c r="G89" s="6"/>
      <c r="H89" s="6"/>
      <c r="I89" s="6"/>
      <c r="J89" s="6"/>
      <c r="K89" s="6"/>
      <c r="L89" s="154" t="s">
        <v>136</v>
      </c>
      <c r="M89" s="25" t="s">
        <v>137</v>
      </c>
      <c r="N89" s="6"/>
      <c r="O89" s="6"/>
      <c r="P89" s="6"/>
      <c r="Q89" s="6"/>
      <c r="R89" s="6"/>
      <c r="S89" s="6"/>
      <c r="T89" s="6"/>
      <c r="U89" s="22" t="s">
        <v>138</v>
      </c>
      <c r="V89" s="25" t="s">
        <v>139</v>
      </c>
      <c r="W89" s="6"/>
      <c r="X89" s="6"/>
      <c r="Y89" s="6"/>
      <c r="Z89" s="6"/>
      <c r="AA89" s="6"/>
      <c r="AB89" s="6"/>
      <c r="AC89" s="6"/>
      <c r="AD89" s="19"/>
      <c r="AH89" s="20"/>
      <c r="AI89" s="9"/>
      <c r="AJ89" s="25" t="s">
        <v>140</v>
      </c>
      <c r="AK89" s="6"/>
      <c r="AL89" s="6"/>
      <c r="AM89" s="6"/>
      <c r="AN89" s="6"/>
      <c r="AO89" s="6"/>
      <c r="AP89" s="6"/>
      <c r="AQ89" s="6"/>
      <c r="AR89" s="6"/>
      <c r="AS89" s="27" t="s">
        <v>137</v>
      </c>
      <c r="AT89" s="6"/>
      <c r="AU89" s="258"/>
      <c r="AV89" s="258"/>
      <c r="AW89" s="258"/>
      <c r="AX89" s="258"/>
      <c r="AY89" s="258"/>
      <c r="AZ89" s="258"/>
      <c r="BA89" s="6"/>
      <c r="BB89" s="27" t="s">
        <v>78</v>
      </c>
      <c r="BC89" s="6"/>
      <c r="BD89" s="6"/>
      <c r="BE89" s="6"/>
      <c r="BF89" s="6"/>
      <c r="BG89" s="6"/>
      <c r="BH89" s="6"/>
      <c r="BI89" s="6"/>
      <c r="BJ89" s="24"/>
    </row>
    <row r="90" spans="2:62" ht="15.75" customHeight="1">
      <c r="B90" s="18"/>
      <c r="C90" s="9"/>
      <c r="D90" s="29"/>
      <c r="E90" s="30" t="s">
        <v>22</v>
      </c>
      <c r="F90" s="30" t="s">
        <v>23</v>
      </c>
      <c r="G90" s="30" t="s">
        <v>24</v>
      </c>
      <c r="H90" s="30" t="s">
        <v>25</v>
      </c>
      <c r="I90" s="30" t="s">
        <v>26</v>
      </c>
      <c r="J90" s="30" t="s">
        <v>27</v>
      </c>
      <c r="K90" s="25"/>
      <c r="L90" s="25"/>
      <c r="M90" s="29"/>
      <c r="N90" s="30" t="s">
        <v>22</v>
      </c>
      <c r="O90" s="30" t="s">
        <v>23</v>
      </c>
      <c r="P90" s="30" t="s">
        <v>24</v>
      </c>
      <c r="Q90" s="30" t="s">
        <v>25</v>
      </c>
      <c r="R90" s="30" t="s">
        <v>26</v>
      </c>
      <c r="S90" s="30" t="s">
        <v>27</v>
      </c>
      <c r="T90" s="30"/>
      <c r="U90" s="6"/>
      <c r="V90" s="29"/>
      <c r="W90" s="30" t="s">
        <v>22</v>
      </c>
      <c r="X90" s="30" t="s">
        <v>23</v>
      </c>
      <c r="Y90" s="30" t="s">
        <v>24</v>
      </c>
      <c r="Z90" s="30" t="s">
        <v>25</v>
      </c>
      <c r="AA90" s="30" t="s">
        <v>26</v>
      </c>
      <c r="AB90" s="30" t="s">
        <v>27</v>
      </c>
      <c r="AC90" s="6"/>
      <c r="AD90" s="19"/>
      <c r="AH90" s="20"/>
      <c r="AI90" s="9"/>
      <c r="AJ90" s="146" t="s">
        <v>141</v>
      </c>
      <c r="AK90" s="30" t="s">
        <v>22</v>
      </c>
      <c r="AL90" s="30" t="s">
        <v>23</v>
      </c>
      <c r="AM90" s="30" t="s">
        <v>24</v>
      </c>
      <c r="AN90" s="30" t="s">
        <v>25</v>
      </c>
      <c r="AO90" s="30" t="s">
        <v>26</v>
      </c>
      <c r="AP90" s="30" t="s">
        <v>27</v>
      </c>
      <c r="AQ90" s="25"/>
      <c r="AR90" s="25"/>
      <c r="AS90" s="29"/>
      <c r="AT90" s="30" t="s">
        <v>22</v>
      </c>
      <c r="AU90" s="30" t="s">
        <v>23</v>
      </c>
      <c r="AV90" s="30" t="s">
        <v>24</v>
      </c>
      <c r="AW90" s="30" t="s">
        <v>25</v>
      </c>
      <c r="AX90" s="30" t="s">
        <v>26</v>
      </c>
      <c r="AY90" s="30" t="s">
        <v>27</v>
      </c>
      <c r="AZ90" s="30"/>
      <c r="BA90" s="6"/>
      <c r="BB90" s="29"/>
      <c r="BC90" s="30" t="s">
        <v>22</v>
      </c>
      <c r="BD90" s="30" t="s">
        <v>23</v>
      </c>
      <c r="BE90" s="30" t="s">
        <v>24</v>
      </c>
      <c r="BF90" s="30" t="s">
        <v>25</v>
      </c>
      <c r="BG90" s="30" t="s">
        <v>26</v>
      </c>
      <c r="BH90" s="30" t="s">
        <v>27</v>
      </c>
      <c r="BI90" s="6"/>
      <c r="BJ90" s="24"/>
    </row>
    <row r="91" spans="2:62" ht="15.75" customHeight="1" outlineLevel="1">
      <c r="B91" s="18"/>
      <c r="C91" s="70">
        <f t="shared" ref="C91:C95" si="237">+C70</f>
        <v>1</v>
      </c>
      <c r="D91" s="31" t="s">
        <v>28</v>
      </c>
      <c r="E91" s="32">
        <f t="shared" ref="E91:J91" si="238">E70</f>
        <v>10808.640000000001</v>
      </c>
      <c r="F91" s="32">
        <f t="shared" si="238"/>
        <v>7205.76</v>
      </c>
      <c r="G91" s="32">
        <f t="shared" si="238"/>
        <v>0</v>
      </c>
      <c r="H91" s="32">
        <f t="shared" si="238"/>
        <v>0</v>
      </c>
      <c r="I91" s="32">
        <f t="shared" si="238"/>
        <v>0</v>
      </c>
      <c r="J91" s="32">
        <f t="shared" si="238"/>
        <v>18014.400000000001</v>
      </c>
      <c r="K91" s="33"/>
      <c r="L91" s="70">
        <f t="shared" ref="L91:L95" si="239">+L70</f>
        <v>1</v>
      </c>
      <c r="M91" s="31" t="s">
        <v>28</v>
      </c>
      <c r="N91" s="72">
        <f t="shared" ref="N91:R91" si="240">E91/$J$42</f>
        <v>0.21547895775602563</v>
      </c>
      <c r="O91" s="72">
        <f t="shared" si="240"/>
        <v>0.14365263850401708</v>
      </c>
      <c r="P91" s="72">
        <f t="shared" si="240"/>
        <v>0</v>
      </c>
      <c r="Q91" s="72">
        <f t="shared" si="240"/>
        <v>0</v>
      </c>
      <c r="R91" s="72">
        <f t="shared" si="240"/>
        <v>0</v>
      </c>
      <c r="S91" s="72">
        <f t="shared" ref="S91:S101" si="241">SUM(N91:R91)</f>
        <v>0.35913159626004271</v>
      </c>
      <c r="T91" s="73"/>
      <c r="U91" s="70">
        <f t="shared" ref="U91:U95" si="242">+U70</f>
        <v>1</v>
      </c>
      <c r="V91" s="31" t="s">
        <v>28</v>
      </c>
      <c r="W91" s="72">
        <f t="shared" ref="W91:W101" si="243">E91/J31</f>
        <v>3.1166782006920419</v>
      </c>
      <c r="X91" s="72">
        <f t="shared" ref="X91:X101" si="244">F91/J31</f>
        <v>2.0777854671280278</v>
      </c>
      <c r="Y91" s="72">
        <f t="shared" ref="Y91:Y101" si="245">G91/J31</f>
        <v>0</v>
      </c>
      <c r="Z91" s="72">
        <f t="shared" ref="Z91:Z101" si="246">H91/J31</f>
        <v>0</v>
      </c>
      <c r="AA91" s="72">
        <f t="shared" ref="AA91:AA101" si="247">I91/J31</f>
        <v>0</v>
      </c>
      <c r="AB91" s="72">
        <f t="shared" ref="AB91:AB101" si="248">SUM(W91:AA91)</f>
        <v>5.1944636678200702</v>
      </c>
      <c r="AC91" s="49"/>
      <c r="AD91" s="19"/>
      <c r="AH91" s="20"/>
      <c r="AI91" s="70">
        <f t="shared" ref="AI91:AO91" si="249">+AI70</f>
        <v>1</v>
      </c>
      <c r="AJ91" s="29" t="str">
        <f t="shared" si="249"/>
        <v>Análisis Factibilidad, Planes y Req</v>
      </c>
      <c r="AK91" s="32">
        <f t="shared" si="249"/>
        <v>16666.666666666668</v>
      </c>
      <c r="AL91" s="32" t="str">
        <f t="shared" si="249"/>
        <v>Se multiplica el Número Horas X costo x hora. Sumandose ambos cálculos (programadores senior &amp; junior)</v>
      </c>
      <c r="AM91" s="32">
        <f t="shared" si="249"/>
        <v>0</v>
      </c>
      <c r="AN91" s="32">
        <f t="shared" si="249"/>
        <v>0</v>
      </c>
      <c r="AO91" s="32">
        <f t="shared" si="249"/>
        <v>0</v>
      </c>
      <c r="AP91" s="32">
        <f t="shared" ref="AP91:AP97" si="250">SUM(AK91:AO91)</f>
        <v>16666.666666666668</v>
      </c>
      <c r="AQ91" s="38">
        <f t="shared" ref="AQ91:AQ97" si="251">+AP91/$AP$42</f>
        <v>7.4889537931550954E-2</v>
      </c>
      <c r="AR91" s="264" t="s">
        <v>118</v>
      </c>
      <c r="AS91" s="71" t="str">
        <f t="shared" ref="AS91:AS97" si="252">+AJ91</f>
        <v>Análisis Factibilidad, Planes y Req</v>
      </c>
      <c r="AT91" s="78">
        <f t="shared" ref="AT91:AT92" si="253">+AK91/$AP$42</f>
        <v>7.4889537931550954E-2</v>
      </c>
      <c r="AU91" s="155"/>
      <c r="AV91" s="72"/>
      <c r="AW91" s="72"/>
      <c r="AX91" s="72"/>
      <c r="AY91" s="72">
        <f t="shared" ref="AY91:AY97" si="254">+AP91/$J$42</f>
        <v>0.33226344504030358</v>
      </c>
      <c r="AZ91" s="73"/>
      <c r="BA91" s="6"/>
      <c r="BB91" s="71" t="str">
        <f t="shared" ref="BB91:BB97" si="255">+AS91</f>
        <v>Análisis Factibilidad, Planes y Req</v>
      </c>
      <c r="BC91" s="79">
        <f>+AK91/$AP31</f>
        <v>1</v>
      </c>
      <c r="BD91" s="156" t="s">
        <v>142</v>
      </c>
      <c r="BE91" s="75"/>
      <c r="BF91" s="75"/>
      <c r="BG91" s="75"/>
      <c r="BH91" s="157">
        <f t="shared" ref="BH91:BH97" si="256">SUM(BC91:BG91)</f>
        <v>1</v>
      </c>
      <c r="BI91" s="279" t="s">
        <v>143</v>
      </c>
      <c r="BJ91" s="277"/>
    </row>
    <row r="92" spans="2:62" ht="15.75" customHeight="1" outlineLevel="1">
      <c r="B92" s="18"/>
      <c r="C92" s="70">
        <f t="shared" si="237"/>
        <v>2</v>
      </c>
      <c r="D92" s="31" t="s">
        <v>31</v>
      </c>
      <c r="E92" s="32">
        <f t="shared" ref="E92:J92" si="257">E71</f>
        <v>9007.2000000000007</v>
      </c>
      <c r="F92" s="32">
        <f t="shared" si="257"/>
        <v>13510.8</v>
      </c>
      <c r="G92" s="32">
        <f t="shared" si="257"/>
        <v>0</v>
      </c>
      <c r="H92" s="32">
        <f t="shared" si="257"/>
        <v>0</v>
      </c>
      <c r="I92" s="32">
        <f t="shared" si="257"/>
        <v>0</v>
      </c>
      <c r="J92" s="32">
        <f t="shared" si="257"/>
        <v>22518</v>
      </c>
      <c r="K92" s="33"/>
      <c r="L92" s="70">
        <f t="shared" si="239"/>
        <v>2</v>
      </c>
      <c r="M92" s="31" t="s">
        <v>31</v>
      </c>
      <c r="N92" s="72">
        <f t="shared" ref="N92:R92" si="258">E92/$J$42</f>
        <v>0.17956579813002135</v>
      </c>
      <c r="O92" s="72">
        <f t="shared" si="258"/>
        <v>0.26934869719503196</v>
      </c>
      <c r="P92" s="72">
        <f t="shared" si="258"/>
        <v>0</v>
      </c>
      <c r="Q92" s="72">
        <f t="shared" si="258"/>
        <v>0</v>
      </c>
      <c r="R92" s="72">
        <f t="shared" si="258"/>
        <v>0</v>
      </c>
      <c r="S92" s="72">
        <f t="shared" si="241"/>
        <v>0.44891449532505334</v>
      </c>
      <c r="T92" s="73"/>
      <c r="U92" s="70">
        <f t="shared" si="242"/>
        <v>2</v>
      </c>
      <c r="V92" s="31" t="s">
        <v>31</v>
      </c>
      <c r="W92" s="72">
        <f t="shared" si="243"/>
        <v>3.1782639378969657</v>
      </c>
      <c r="X92" s="72">
        <f t="shared" si="244"/>
        <v>4.7673959068454481</v>
      </c>
      <c r="Y92" s="72">
        <f t="shared" si="245"/>
        <v>0</v>
      </c>
      <c r="Z92" s="72">
        <f t="shared" si="246"/>
        <v>0</v>
      </c>
      <c r="AA92" s="72">
        <f t="shared" si="247"/>
        <v>0</v>
      </c>
      <c r="AB92" s="72">
        <f t="shared" si="248"/>
        <v>7.9456598447424138</v>
      </c>
      <c r="AC92" s="49"/>
      <c r="AD92" s="19"/>
      <c r="AH92" s="20"/>
      <c r="AI92" s="70">
        <f t="shared" ref="AI92:AO92" si="259">+AI74</f>
        <v>5</v>
      </c>
      <c r="AJ92" s="29" t="str">
        <f t="shared" si="259"/>
        <v>Go Life</v>
      </c>
      <c r="AK92" s="32">
        <f t="shared" si="259"/>
        <v>0</v>
      </c>
      <c r="AL92" s="32">
        <f t="shared" si="259"/>
        <v>0</v>
      </c>
      <c r="AM92" s="32">
        <f t="shared" si="259"/>
        <v>0</v>
      </c>
      <c r="AN92" s="32">
        <f t="shared" si="259"/>
        <v>0</v>
      </c>
      <c r="AO92" s="32">
        <f t="shared" si="259"/>
        <v>14250</v>
      </c>
      <c r="AP92" s="32">
        <f t="shared" si="250"/>
        <v>14250</v>
      </c>
      <c r="AQ92" s="33">
        <f t="shared" si="251"/>
        <v>6.4030554931476066E-2</v>
      </c>
      <c r="AR92" s="258"/>
      <c r="AS92" s="71" t="str">
        <f t="shared" si="252"/>
        <v>Go Life</v>
      </c>
      <c r="AT92" s="72">
        <f t="shared" si="253"/>
        <v>0</v>
      </c>
      <c r="AU92" s="72">
        <f t="shared" ref="AU92:AU93" si="260">+AL92/$AP$42</f>
        <v>0</v>
      </c>
      <c r="AV92" s="72"/>
      <c r="AW92" s="72"/>
      <c r="AX92" s="72"/>
      <c r="AY92" s="72">
        <f t="shared" si="254"/>
        <v>0.28408524550945952</v>
      </c>
      <c r="AZ92" s="73"/>
      <c r="BA92" s="6"/>
      <c r="BB92" s="71" t="str">
        <f t="shared" si="255"/>
        <v>Go Life</v>
      </c>
      <c r="BC92" s="81">
        <f t="shared" ref="BC92:BD92" si="261">+AK92/$AP$32</f>
        <v>0</v>
      </c>
      <c r="BD92" s="72">
        <f t="shared" si="261"/>
        <v>0</v>
      </c>
      <c r="BE92" s="72"/>
      <c r="BF92" s="72"/>
      <c r="BG92" s="72"/>
      <c r="BH92" s="83">
        <f t="shared" si="256"/>
        <v>0</v>
      </c>
      <c r="BI92" s="280"/>
      <c r="BJ92" s="277"/>
    </row>
    <row r="93" spans="2:62" ht="15.75" customHeight="1" outlineLevel="1">
      <c r="B93" s="18"/>
      <c r="C93" s="70">
        <f t="shared" si="237"/>
        <v>3</v>
      </c>
      <c r="D93" s="31" t="s">
        <v>33</v>
      </c>
      <c r="E93" s="32">
        <f t="shared" ref="E93:J93" si="262">E72</f>
        <v>0</v>
      </c>
      <c r="F93" s="32">
        <f t="shared" si="262"/>
        <v>9811.8000000000011</v>
      </c>
      <c r="G93" s="32">
        <f t="shared" si="262"/>
        <v>49059</v>
      </c>
      <c r="H93" s="32">
        <f t="shared" si="262"/>
        <v>34341.299999999996</v>
      </c>
      <c r="I93" s="32">
        <f t="shared" si="262"/>
        <v>4905.9000000000005</v>
      </c>
      <c r="J93" s="32">
        <f t="shared" si="262"/>
        <v>98118</v>
      </c>
      <c r="K93" s="33"/>
      <c r="L93" s="70">
        <f t="shared" si="239"/>
        <v>3</v>
      </c>
      <c r="M93" s="31" t="s">
        <v>33</v>
      </c>
      <c r="N93" s="72">
        <f t="shared" ref="N93:R93" si="263">E93/$J$42</f>
        <v>0</v>
      </c>
      <c r="O93" s="72">
        <f t="shared" si="263"/>
        <v>0.19560614820278704</v>
      </c>
      <c r="P93" s="72">
        <f t="shared" si="263"/>
        <v>0.97803074101393517</v>
      </c>
      <c r="Q93" s="72">
        <f t="shared" si="263"/>
        <v>0.68462151870975452</v>
      </c>
      <c r="R93" s="72">
        <f t="shared" si="263"/>
        <v>9.7803074101393522E-2</v>
      </c>
      <c r="S93" s="72">
        <f t="shared" si="241"/>
        <v>1.9560614820278703</v>
      </c>
      <c r="T93" s="73"/>
      <c r="U93" s="70">
        <f t="shared" si="242"/>
        <v>3</v>
      </c>
      <c r="V93" s="31" t="s">
        <v>33</v>
      </c>
      <c r="W93" s="72">
        <f t="shared" si="243"/>
        <v>0</v>
      </c>
      <c r="X93" s="72">
        <f t="shared" si="244"/>
        <v>0.91681928611474506</v>
      </c>
      <c r="Y93" s="72">
        <f t="shared" si="245"/>
        <v>4.5840964305737248</v>
      </c>
      <c r="Z93" s="72">
        <f t="shared" si="246"/>
        <v>3.2088675014016066</v>
      </c>
      <c r="AA93" s="72">
        <f t="shared" si="247"/>
        <v>0.45840964305737253</v>
      </c>
      <c r="AB93" s="72">
        <f t="shared" si="248"/>
        <v>9.1681928611474479</v>
      </c>
      <c r="AC93" s="49"/>
      <c r="AD93" s="19"/>
      <c r="AH93" s="20"/>
      <c r="AI93" s="70">
        <f t="shared" ref="AI93:AO93" si="264">+AI75</f>
        <v>0</v>
      </c>
      <c r="AJ93" s="29">
        <f t="shared" si="264"/>
        <v>0</v>
      </c>
      <c r="AK93" s="32">
        <f t="shared" si="264"/>
        <v>0</v>
      </c>
      <c r="AL93" s="32">
        <f t="shared" si="264"/>
        <v>0</v>
      </c>
      <c r="AM93" s="32">
        <f t="shared" si="264"/>
        <v>0</v>
      </c>
      <c r="AN93" s="32">
        <f t="shared" si="264"/>
        <v>0</v>
      </c>
      <c r="AO93" s="32">
        <f t="shared" si="264"/>
        <v>0</v>
      </c>
      <c r="AP93" s="32">
        <f t="shared" si="250"/>
        <v>0</v>
      </c>
      <c r="AQ93" s="33">
        <f t="shared" si="251"/>
        <v>0</v>
      </c>
      <c r="AR93" s="71"/>
      <c r="AS93" s="71">
        <f t="shared" si="252"/>
        <v>0</v>
      </c>
      <c r="AT93" s="72"/>
      <c r="AU93" s="72">
        <f t="shared" si="260"/>
        <v>0</v>
      </c>
      <c r="AV93" s="72">
        <f t="shared" ref="AV93:AX93" si="265">+AM93/$AP$42</f>
        <v>0</v>
      </c>
      <c r="AW93" s="72">
        <f t="shared" si="265"/>
        <v>0</v>
      </c>
      <c r="AX93" s="72">
        <f t="shared" si="265"/>
        <v>0</v>
      </c>
      <c r="AY93" s="72">
        <f t="shared" si="254"/>
        <v>0</v>
      </c>
      <c r="AZ93" s="73"/>
      <c r="BA93" s="6"/>
      <c r="BB93" s="71">
        <f t="shared" si="255"/>
        <v>0</v>
      </c>
      <c r="BC93" s="81"/>
      <c r="BD93" s="72">
        <f t="shared" ref="BD93:BG93" si="266">+AL93/$AP$33</f>
        <v>0</v>
      </c>
      <c r="BE93" s="72">
        <f t="shared" si="266"/>
        <v>0</v>
      </c>
      <c r="BF93" s="72">
        <f t="shared" si="266"/>
        <v>0</v>
      </c>
      <c r="BG93" s="72">
        <f t="shared" si="266"/>
        <v>0</v>
      </c>
      <c r="BH93" s="83">
        <f t="shared" si="256"/>
        <v>0</v>
      </c>
      <c r="BI93" s="280"/>
      <c r="BJ93" s="277"/>
    </row>
    <row r="94" spans="2:62" ht="15.75" customHeight="1" outlineLevel="1">
      <c r="B94" s="18"/>
      <c r="C94" s="70">
        <f t="shared" si="237"/>
        <v>4</v>
      </c>
      <c r="D94" s="41" t="s">
        <v>34</v>
      </c>
      <c r="E94" s="32">
        <f t="shared" ref="E94:J94" si="267">E73</f>
        <v>0</v>
      </c>
      <c r="F94" s="32">
        <f t="shared" si="267"/>
        <v>0</v>
      </c>
      <c r="G94" s="32">
        <f t="shared" si="267"/>
        <v>12601.44</v>
      </c>
      <c r="H94" s="32">
        <f t="shared" si="267"/>
        <v>0</v>
      </c>
      <c r="I94" s="32">
        <f t="shared" si="267"/>
        <v>0</v>
      </c>
      <c r="J94" s="32">
        <f t="shared" si="267"/>
        <v>12601.44</v>
      </c>
      <c r="K94" s="33"/>
      <c r="L94" s="70">
        <f t="shared" si="239"/>
        <v>4</v>
      </c>
      <c r="M94" s="41" t="s">
        <v>34</v>
      </c>
      <c r="N94" s="72">
        <f t="shared" ref="N94:R94" si="268">E94/$J$42</f>
        <v>0</v>
      </c>
      <c r="O94" s="72">
        <f t="shared" si="268"/>
        <v>0</v>
      </c>
      <c r="P94" s="72">
        <f t="shared" si="268"/>
        <v>0.25121987201212098</v>
      </c>
      <c r="Q94" s="72">
        <f t="shared" si="268"/>
        <v>0</v>
      </c>
      <c r="R94" s="72">
        <f t="shared" si="268"/>
        <v>0</v>
      </c>
      <c r="S94" s="72">
        <f t="shared" si="241"/>
        <v>0.25121987201212098</v>
      </c>
      <c r="T94" s="73"/>
      <c r="U94" s="70">
        <f t="shared" si="242"/>
        <v>4</v>
      </c>
      <c r="V94" s="41" t="s">
        <v>34</v>
      </c>
      <c r="W94" s="72">
        <f t="shared" si="243"/>
        <v>0</v>
      </c>
      <c r="X94" s="72">
        <f t="shared" si="244"/>
        <v>0</v>
      </c>
      <c r="Y94" s="72">
        <f t="shared" si="245"/>
        <v>2.053689700130378</v>
      </c>
      <c r="Z94" s="72">
        <f t="shared" si="246"/>
        <v>0</v>
      </c>
      <c r="AA94" s="72">
        <f t="shared" si="247"/>
        <v>0</v>
      </c>
      <c r="AB94" s="72">
        <f t="shared" si="248"/>
        <v>2.053689700130378</v>
      </c>
      <c r="AC94" s="49"/>
      <c r="AD94" s="19"/>
      <c r="AH94" s="20"/>
      <c r="AI94" s="70">
        <f t="shared" ref="AI94:AO94" si="269">+AI76</f>
        <v>0</v>
      </c>
      <c r="AJ94" s="29">
        <f t="shared" si="269"/>
        <v>0</v>
      </c>
      <c r="AK94" s="32">
        <f t="shared" si="269"/>
        <v>0</v>
      </c>
      <c r="AL94" s="32">
        <f t="shared" si="269"/>
        <v>0</v>
      </c>
      <c r="AM94" s="32">
        <f t="shared" si="269"/>
        <v>0</v>
      </c>
      <c r="AN94" s="32">
        <f t="shared" si="269"/>
        <v>0</v>
      </c>
      <c r="AO94" s="32">
        <f t="shared" si="269"/>
        <v>0</v>
      </c>
      <c r="AP94" s="32">
        <f t="shared" si="250"/>
        <v>0</v>
      </c>
      <c r="AQ94" s="33">
        <f t="shared" si="251"/>
        <v>0</v>
      </c>
      <c r="AR94" s="71"/>
      <c r="AS94" s="71">
        <f t="shared" si="252"/>
        <v>0</v>
      </c>
      <c r="AT94" s="72"/>
      <c r="AU94" s="72"/>
      <c r="AV94" s="72"/>
      <c r="AW94" s="72"/>
      <c r="AX94" s="72">
        <f t="shared" ref="AX94:AX95" si="270">+AO94/$AP$42</f>
        <v>0</v>
      </c>
      <c r="AY94" s="72">
        <f t="shared" si="254"/>
        <v>0</v>
      </c>
      <c r="AZ94" s="73"/>
      <c r="BA94" s="6"/>
      <c r="BB94" s="71">
        <f t="shared" si="255"/>
        <v>0</v>
      </c>
      <c r="BC94" s="81"/>
      <c r="BD94" s="72"/>
      <c r="BE94" s="72"/>
      <c r="BF94" s="72"/>
      <c r="BG94" s="72">
        <f>+AO94/$AP$34</f>
        <v>0</v>
      </c>
      <c r="BH94" s="83">
        <f t="shared" si="256"/>
        <v>0</v>
      </c>
      <c r="BI94" s="280"/>
      <c r="BJ94" s="277"/>
    </row>
    <row r="95" spans="2:62" ht="15.75" customHeight="1" outlineLevel="1">
      <c r="B95" s="18"/>
      <c r="C95" s="70">
        <f t="shared" si="237"/>
        <v>5</v>
      </c>
      <c r="D95" s="31" t="s">
        <v>36</v>
      </c>
      <c r="E95" s="32">
        <f t="shared" ref="E95:J95" si="271">E74</f>
        <v>0</v>
      </c>
      <c r="F95" s="32">
        <f t="shared" si="271"/>
        <v>0</v>
      </c>
      <c r="G95" s="32">
        <f t="shared" si="271"/>
        <v>8407.3680000000022</v>
      </c>
      <c r="H95" s="32">
        <f t="shared" si="271"/>
        <v>16814.736000000004</v>
      </c>
      <c r="I95" s="32">
        <f t="shared" si="271"/>
        <v>16814.736000000004</v>
      </c>
      <c r="J95" s="32">
        <f t="shared" si="271"/>
        <v>42036.840000000011</v>
      </c>
      <c r="K95" s="33"/>
      <c r="L95" s="70">
        <f t="shared" si="239"/>
        <v>5</v>
      </c>
      <c r="M95" s="31" t="s">
        <v>36</v>
      </c>
      <c r="N95" s="72">
        <f t="shared" ref="N95:R95" si="272">E95/$J$42</f>
        <v>0</v>
      </c>
      <c r="O95" s="72">
        <f t="shared" si="272"/>
        <v>0</v>
      </c>
      <c r="P95" s="72">
        <f t="shared" si="272"/>
        <v>0.16760766332409646</v>
      </c>
      <c r="Q95" s="72">
        <f t="shared" si="272"/>
        <v>0.33521532664819292</v>
      </c>
      <c r="R95" s="72">
        <f t="shared" si="272"/>
        <v>0.33521532664819292</v>
      </c>
      <c r="S95" s="72">
        <f t="shared" si="241"/>
        <v>0.83803831662048234</v>
      </c>
      <c r="T95" s="73"/>
      <c r="U95" s="70">
        <f t="shared" si="242"/>
        <v>5</v>
      </c>
      <c r="V95" s="31" t="s">
        <v>36</v>
      </c>
      <c r="W95" s="72">
        <f t="shared" si="243"/>
        <v>0</v>
      </c>
      <c r="X95" s="72">
        <f t="shared" si="244"/>
        <v>0</v>
      </c>
      <c r="Y95" s="72">
        <f t="shared" si="245"/>
        <v>2.7103056092843336</v>
      </c>
      <c r="Z95" s="72">
        <f t="shared" si="246"/>
        <v>5.4206112185686672</v>
      </c>
      <c r="AA95" s="72">
        <f t="shared" si="247"/>
        <v>5.4206112185686672</v>
      </c>
      <c r="AB95" s="72">
        <f t="shared" si="248"/>
        <v>13.551528046421669</v>
      </c>
      <c r="AC95" s="49"/>
      <c r="AD95" s="19"/>
      <c r="AH95" s="20"/>
      <c r="AI95" s="70">
        <f t="shared" ref="AI95:AO95" si="273">+AI77</f>
        <v>0</v>
      </c>
      <c r="AJ95" s="29">
        <f t="shared" si="273"/>
        <v>0</v>
      </c>
      <c r="AK95" s="32">
        <f t="shared" si="273"/>
        <v>0</v>
      </c>
      <c r="AL95" s="32">
        <f t="shared" si="273"/>
        <v>0</v>
      </c>
      <c r="AM95" s="32">
        <f t="shared" si="273"/>
        <v>0</v>
      </c>
      <c r="AN95" s="32">
        <f t="shared" si="273"/>
        <v>0</v>
      </c>
      <c r="AO95" s="32">
        <f t="shared" si="273"/>
        <v>0</v>
      </c>
      <c r="AP95" s="32">
        <f t="shared" si="250"/>
        <v>0</v>
      </c>
      <c r="AQ95" s="33">
        <f t="shared" si="251"/>
        <v>0</v>
      </c>
      <c r="AR95" s="71"/>
      <c r="AS95" s="71">
        <f t="shared" si="252"/>
        <v>0</v>
      </c>
      <c r="AT95" s="72"/>
      <c r="AU95" s="72"/>
      <c r="AV95" s="72"/>
      <c r="AW95" s="72"/>
      <c r="AX95" s="72">
        <f t="shared" si="270"/>
        <v>0</v>
      </c>
      <c r="AY95" s="72">
        <f t="shared" si="254"/>
        <v>0</v>
      </c>
      <c r="AZ95" s="73"/>
      <c r="BA95" s="6"/>
      <c r="BB95" s="71">
        <f t="shared" si="255"/>
        <v>0</v>
      </c>
      <c r="BC95" s="81"/>
      <c r="BD95" s="72"/>
      <c r="BE95" s="72"/>
      <c r="BF95" s="72"/>
      <c r="BG95" s="72">
        <f>+AO95/$AP$35</f>
        <v>0</v>
      </c>
      <c r="BH95" s="83">
        <f t="shared" si="256"/>
        <v>0</v>
      </c>
      <c r="BI95" s="280"/>
      <c r="BJ95" s="277"/>
    </row>
    <row r="96" spans="2:62" ht="15.75" customHeight="1" outlineLevel="1">
      <c r="B96" s="18"/>
      <c r="C96" s="70">
        <v>6</v>
      </c>
      <c r="D96" s="31" t="s">
        <v>38</v>
      </c>
      <c r="E96" s="32">
        <f t="shared" ref="E96:J96" si="274">E75</f>
        <v>0</v>
      </c>
      <c r="F96" s="32">
        <f t="shared" si="274"/>
        <v>0</v>
      </c>
      <c r="G96" s="32">
        <f t="shared" si="274"/>
        <v>0</v>
      </c>
      <c r="H96" s="32">
        <f t="shared" si="274"/>
        <v>23655.887999999999</v>
      </c>
      <c r="I96" s="32">
        <f t="shared" si="274"/>
        <v>15770.592000000004</v>
      </c>
      <c r="J96" s="32">
        <f t="shared" si="274"/>
        <v>39426.480000000003</v>
      </c>
      <c r="K96" s="33"/>
      <c r="L96" s="70">
        <v>6</v>
      </c>
      <c r="M96" s="31" t="s">
        <v>38</v>
      </c>
      <c r="N96" s="72">
        <f t="shared" ref="N96:R96" si="275">E96/$J$42</f>
        <v>0</v>
      </c>
      <c r="O96" s="72">
        <f t="shared" si="275"/>
        <v>0</v>
      </c>
      <c r="P96" s="72">
        <f t="shared" si="275"/>
        <v>0</v>
      </c>
      <c r="Q96" s="72">
        <f t="shared" si="275"/>
        <v>0.47159921054205456</v>
      </c>
      <c r="R96" s="72">
        <f t="shared" si="275"/>
        <v>0.31439947369470311</v>
      </c>
      <c r="S96" s="72">
        <f t="shared" si="241"/>
        <v>0.78599868423675767</v>
      </c>
      <c r="T96" s="73"/>
      <c r="U96" s="70">
        <v>6</v>
      </c>
      <c r="V96" s="31" t="s">
        <v>38</v>
      </c>
      <c r="W96" s="72">
        <f t="shared" si="243"/>
        <v>0</v>
      </c>
      <c r="X96" s="72">
        <f t="shared" si="244"/>
        <v>0</v>
      </c>
      <c r="Y96" s="72">
        <f t="shared" si="245"/>
        <v>0</v>
      </c>
      <c r="Z96" s="72">
        <f t="shared" si="246"/>
        <v>11.439017408123791</v>
      </c>
      <c r="AA96" s="72">
        <f t="shared" si="247"/>
        <v>7.6260116054158624</v>
      </c>
      <c r="AB96" s="72">
        <f t="shared" si="248"/>
        <v>19.065029013539654</v>
      </c>
      <c r="AC96" s="49"/>
      <c r="AD96" s="19"/>
      <c r="AH96" s="20"/>
      <c r="AI96" s="70">
        <f t="shared" ref="AI96:AO96" si="276">+AI83</f>
        <v>1</v>
      </c>
      <c r="AJ96" s="29" t="str">
        <f t="shared" si="276"/>
        <v>Infraestructura (SW)</v>
      </c>
      <c r="AK96" s="32">
        <f t="shared" si="276"/>
        <v>0</v>
      </c>
      <c r="AL96" s="32">
        <f t="shared" si="276"/>
        <v>8000</v>
      </c>
      <c r="AM96" s="32">
        <f t="shared" si="276"/>
        <v>0</v>
      </c>
      <c r="AN96" s="32">
        <f t="shared" si="276"/>
        <v>0</v>
      </c>
      <c r="AO96" s="32">
        <f t="shared" si="276"/>
        <v>0</v>
      </c>
      <c r="AP96" s="32">
        <f t="shared" si="250"/>
        <v>8000</v>
      </c>
      <c r="AQ96" s="33">
        <f t="shared" si="251"/>
        <v>3.5946978207144459E-2</v>
      </c>
      <c r="AR96" s="71"/>
      <c r="AS96" s="71" t="str">
        <f t="shared" si="252"/>
        <v>Infraestructura (SW)</v>
      </c>
      <c r="AT96" s="72"/>
      <c r="AU96" s="72">
        <f t="shared" ref="AU96:AU97" si="277">+AL96/$AP$42</f>
        <v>3.5946978207144459E-2</v>
      </c>
      <c r="AV96" s="72"/>
      <c r="AW96" s="72"/>
      <c r="AX96" s="72"/>
      <c r="AY96" s="72">
        <f t="shared" si="254"/>
        <v>0.15948645361934571</v>
      </c>
      <c r="AZ96" s="73"/>
      <c r="BA96" s="6"/>
      <c r="BB96" s="71" t="str">
        <f t="shared" si="255"/>
        <v>Infraestructura (SW)</v>
      </c>
      <c r="BC96" s="81"/>
      <c r="BD96" s="72">
        <f>+AL96/$AP$36</f>
        <v>1</v>
      </c>
      <c r="BE96" s="72"/>
      <c r="BF96" s="72"/>
      <c r="BG96" s="72"/>
      <c r="BH96" s="83">
        <f t="shared" si="256"/>
        <v>1</v>
      </c>
      <c r="BI96" s="280"/>
      <c r="BJ96" s="277"/>
    </row>
    <row r="97" spans="2:62" ht="15.75" customHeight="1" outlineLevel="1">
      <c r="B97" s="18"/>
      <c r="C97" s="70">
        <v>7</v>
      </c>
      <c r="D97" s="31" t="s">
        <v>37</v>
      </c>
      <c r="E97" s="32">
        <f t="shared" ref="E97:J97" si="278">E76</f>
        <v>0</v>
      </c>
      <c r="F97" s="32">
        <f t="shared" si="278"/>
        <v>0</v>
      </c>
      <c r="G97" s="32">
        <f t="shared" si="278"/>
        <v>0</v>
      </c>
      <c r="H97" s="32">
        <f t="shared" si="278"/>
        <v>0</v>
      </c>
      <c r="I97" s="32">
        <f t="shared" si="278"/>
        <v>13520.52</v>
      </c>
      <c r="J97" s="32">
        <f t="shared" si="278"/>
        <v>13520.52</v>
      </c>
      <c r="K97" s="33"/>
      <c r="L97" s="70">
        <v>7</v>
      </c>
      <c r="M97" s="31" t="s">
        <v>37</v>
      </c>
      <c r="N97" s="72">
        <f t="shared" ref="N97:R97" si="279">E97/$J$42</f>
        <v>0</v>
      </c>
      <c r="O97" s="72">
        <f t="shared" si="279"/>
        <v>0</v>
      </c>
      <c r="P97" s="72">
        <f t="shared" si="279"/>
        <v>0</v>
      </c>
      <c r="Q97" s="72">
        <f t="shared" si="279"/>
        <v>0</v>
      </c>
      <c r="R97" s="72">
        <f t="shared" si="279"/>
        <v>0.26954247323617953</v>
      </c>
      <c r="S97" s="72">
        <f t="shared" si="241"/>
        <v>0.26954247323617953</v>
      </c>
      <c r="T97" s="73"/>
      <c r="U97" s="70">
        <v>7</v>
      </c>
      <c r="V97" s="31" t="s">
        <v>37</v>
      </c>
      <c r="W97" s="72">
        <f t="shared" si="243"/>
        <v>0</v>
      </c>
      <c r="X97" s="72">
        <f t="shared" si="244"/>
        <v>0</v>
      </c>
      <c r="Y97" s="72">
        <f t="shared" si="245"/>
        <v>0</v>
      </c>
      <c r="Z97" s="72">
        <f t="shared" si="246"/>
        <v>0</v>
      </c>
      <c r="AA97" s="72">
        <f t="shared" si="247"/>
        <v>21.913322528363047</v>
      </c>
      <c r="AB97" s="72">
        <f t="shared" si="248"/>
        <v>21.913322528363047</v>
      </c>
      <c r="AC97" s="49"/>
      <c r="AD97" s="19"/>
      <c r="AH97" s="20"/>
      <c r="AI97" s="70">
        <f t="shared" ref="AI97:AO97" si="280">+AI84</f>
        <v>2</v>
      </c>
      <c r="AJ97" s="29" t="str">
        <f t="shared" si="280"/>
        <v>Costos Fijos (Luz, Agua, servicios)</v>
      </c>
      <c r="AK97" s="32">
        <f t="shared" si="280"/>
        <v>0</v>
      </c>
      <c r="AL97" s="32">
        <f t="shared" si="280"/>
        <v>1200</v>
      </c>
      <c r="AM97" s="32">
        <f t="shared" si="280"/>
        <v>1200</v>
      </c>
      <c r="AN97" s="32">
        <f t="shared" si="280"/>
        <v>1200</v>
      </c>
      <c r="AO97" s="32">
        <f t="shared" si="280"/>
        <v>1200</v>
      </c>
      <c r="AP97" s="32">
        <f t="shared" si="250"/>
        <v>4800</v>
      </c>
      <c r="AQ97" s="33">
        <f t="shared" si="251"/>
        <v>2.1568186924286675E-2</v>
      </c>
      <c r="AR97" s="71"/>
      <c r="AS97" s="71" t="str">
        <f t="shared" si="252"/>
        <v>Costos Fijos (Luz, Agua, servicios)</v>
      </c>
      <c r="AT97" s="72"/>
      <c r="AU97" s="72">
        <f t="shared" si="277"/>
        <v>5.3920467310716686E-3</v>
      </c>
      <c r="AV97" s="72">
        <f t="shared" ref="AV97:AX97" si="281">+AM97/$AP$42</f>
        <v>5.3920467310716686E-3</v>
      </c>
      <c r="AW97" s="72">
        <f t="shared" si="281"/>
        <v>5.3920467310716686E-3</v>
      </c>
      <c r="AX97" s="72">
        <f t="shared" si="281"/>
        <v>5.3920467310716686E-3</v>
      </c>
      <c r="AY97" s="72">
        <f t="shared" si="254"/>
        <v>9.569187217160742E-2</v>
      </c>
      <c r="AZ97" s="73"/>
      <c r="BA97" s="6"/>
      <c r="BB97" s="71" t="str">
        <f t="shared" si="255"/>
        <v>Costos Fijos (Luz, Agua, servicios)</v>
      </c>
      <c r="BC97" s="81"/>
      <c r="BD97" s="72">
        <f t="shared" ref="BD97:BG97" si="282">+AL97/$AP$37</f>
        <v>0.25</v>
      </c>
      <c r="BE97" s="72">
        <f t="shared" si="282"/>
        <v>0.25</v>
      </c>
      <c r="BF97" s="72">
        <f t="shared" si="282"/>
        <v>0.25</v>
      </c>
      <c r="BG97" s="72">
        <f t="shared" si="282"/>
        <v>0.25</v>
      </c>
      <c r="BH97" s="83">
        <f t="shared" si="256"/>
        <v>1</v>
      </c>
      <c r="BI97" s="280"/>
      <c r="BJ97" s="277"/>
    </row>
    <row r="98" spans="2:62" ht="15.75" customHeight="1" outlineLevel="1">
      <c r="B98" s="18"/>
      <c r="C98" s="70">
        <v>8</v>
      </c>
      <c r="D98" s="41" t="s">
        <v>39</v>
      </c>
      <c r="E98" s="32">
        <f t="shared" ref="E98:J98" si="283">E77</f>
        <v>0</v>
      </c>
      <c r="F98" s="32">
        <f t="shared" si="283"/>
        <v>0</v>
      </c>
      <c r="G98" s="32">
        <f t="shared" si="283"/>
        <v>0</v>
      </c>
      <c r="H98" s="32">
        <f t="shared" si="283"/>
        <v>0</v>
      </c>
      <c r="I98" s="32">
        <f t="shared" si="283"/>
        <v>6480.0000000000009</v>
      </c>
      <c r="J98" s="32">
        <f t="shared" si="283"/>
        <v>6480.0000000000009</v>
      </c>
      <c r="K98" s="33"/>
      <c r="L98" s="70">
        <v>8</v>
      </c>
      <c r="M98" s="41" t="s">
        <v>39</v>
      </c>
      <c r="N98" s="72">
        <f t="shared" ref="N98:R98" si="284">E98/$J$42</f>
        <v>0</v>
      </c>
      <c r="O98" s="72">
        <f t="shared" si="284"/>
        <v>0</v>
      </c>
      <c r="P98" s="72">
        <f t="shared" si="284"/>
        <v>0</v>
      </c>
      <c r="Q98" s="72">
        <f t="shared" si="284"/>
        <v>0</v>
      </c>
      <c r="R98" s="72">
        <f t="shared" si="284"/>
        <v>0.12918402743167004</v>
      </c>
      <c r="S98" s="72">
        <f t="shared" si="241"/>
        <v>0.12918402743167004</v>
      </c>
      <c r="T98" s="73"/>
      <c r="U98" s="70">
        <v>8</v>
      </c>
      <c r="V98" s="41" t="s">
        <v>39</v>
      </c>
      <c r="W98" s="72">
        <f t="shared" si="243"/>
        <v>0</v>
      </c>
      <c r="X98" s="72">
        <f t="shared" si="244"/>
        <v>0</v>
      </c>
      <c r="Y98" s="72">
        <f t="shared" si="245"/>
        <v>0</v>
      </c>
      <c r="Z98" s="72">
        <f t="shared" si="246"/>
        <v>0</v>
      </c>
      <c r="AA98" s="72">
        <f t="shared" si="247"/>
        <v>5.2512155591572132</v>
      </c>
      <c r="AB98" s="72">
        <f t="shared" si="248"/>
        <v>5.2512155591572132</v>
      </c>
      <c r="AC98" s="49"/>
      <c r="AD98" s="19"/>
      <c r="AH98" s="20"/>
      <c r="AI98" s="70"/>
      <c r="AJ98" s="29"/>
      <c r="AK98" s="42"/>
      <c r="AL98" s="42"/>
      <c r="AM98" s="42"/>
      <c r="AN98" s="42"/>
      <c r="AO98" s="42"/>
      <c r="AP98" s="42"/>
      <c r="AQ98" s="33"/>
      <c r="AR98" s="71"/>
      <c r="AS98" s="71"/>
      <c r="AT98" s="86"/>
      <c r="AU98" s="86"/>
      <c r="AV98" s="86"/>
      <c r="AW98" s="86"/>
      <c r="AX98" s="72"/>
      <c r="AY98" s="86"/>
      <c r="AZ98" s="73"/>
      <c r="BA98" s="6"/>
      <c r="BB98" s="71"/>
      <c r="BC98" s="158"/>
      <c r="BD98" s="86"/>
      <c r="BE98" s="86"/>
      <c r="BF98" s="86"/>
      <c r="BG98" s="86"/>
      <c r="BH98" s="159"/>
      <c r="BI98" s="49"/>
      <c r="BJ98" s="24"/>
    </row>
    <row r="99" spans="2:62" ht="15.75" customHeight="1" outlineLevel="1">
      <c r="B99" s="18"/>
      <c r="C99" s="70">
        <v>9</v>
      </c>
      <c r="D99" s="59" t="s">
        <v>53</v>
      </c>
      <c r="E99" s="42">
        <f t="shared" ref="E99:J99" si="285">E83</f>
        <v>5000</v>
      </c>
      <c r="F99" s="42">
        <f t="shared" si="285"/>
        <v>0</v>
      </c>
      <c r="G99" s="42">
        <f t="shared" si="285"/>
        <v>0</v>
      </c>
      <c r="H99" s="42">
        <f t="shared" si="285"/>
        <v>0</v>
      </c>
      <c r="I99" s="42">
        <f t="shared" si="285"/>
        <v>0</v>
      </c>
      <c r="J99" s="42">
        <f t="shared" si="285"/>
        <v>5000</v>
      </c>
      <c r="K99" s="33"/>
      <c r="L99" s="70">
        <v>9</v>
      </c>
      <c r="M99" s="59" t="s">
        <v>53</v>
      </c>
      <c r="N99" s="72">
        <f t="shared" ref="N99:R99" si="286">E99/$J$42</f>
        <v>9.9679033512091064E-2</v>
      </c>
      <c r="O99" s="72">
        <f t="shared" si="286"/>
        <v>0</v>
      </c>
      <c r="P99" s="72">
        <f t="shared" si="286"/>
        <v>0</v>
      </c>
      <c r="Q99" s="72">
        <f t="shared" si="286"/>
        <v>0</v>
      </c>
      <c r="R99" s="72">
        <f t="shared" si="286"/>
        <v>0</v>
      </c>
      <c r="S99" s="72">
        <f t="shared" si="241"/>
        <v>9.9679033512091064E-2</v>
      </c>
      <c r="T99" s="73"/>
      <c r="U99" s="70">
        <v>9</v>
      </c>
      <c r="V99" s="59" t="s">
        <v>53</v>
      </c>
      <c r="W99" s="72">
        <f t="shared" si="243"/>
        <v>1</v>
      </c>
      <c r="X99" s="72">
        <f t="shared" si="244"/>
        <v>0</v>
      </c>
      <c r="Y99" s="72">
        <f t="shared" si="245"/>
        <v>0</v>
      </c>
      <c r="Z99" s="72">
        <f t="shared" si="246"/>
        <v>0</v>
      </c>
      <c r="AA99" s="72">
        <f t="shared" si="247"/>
        <v>0</v>
      </c>
      <c r="AB99" s="72">
        <f t="shared" si="248"/>
        <v>1</v>
      </c>
      <c r="AC99" s="49"/>
      <c r="AD99" s="19"/>
      <c r="AH99" s="20"/>
      <c r="AI99" s="70"/>
      <c r="AJ99" s="29"/>
      <c r="AK99" s="42"/>
      <c r="AL99" s="42"/>
      <c r="AM99" s="42"/>
      <c r="AN99" s="42"/>
      <c r="AO99" s="42"/>
      <c r="AP99" s="42"/>
      <c r="AQ99" s="33"/>
      <c r="AR99" s="71"/>
      <c r="AS99" s="71"/>
      <c r="AT99" s="86"/>
      <c r="AU99" s="86"/>
      <c r="AV99" s="86"/>
      <c r="AW99" s="86"/>
      <c r="AX99" s="72"/>
      <c r="AY99" s="86"/>
      <c r="AZ99" s="73"/>
      <c r="BA99" s="6"/>
      <c r="BB99" s="71"/>
      <c r="BC99" s="158"/>
      <c r="BD99" s="86"/>
      <c r="BE99" s="86"/>
      <c r="BF99" s="86"/>
      <c r="BG99" s="86"/>
      <c r="BH99" s="159"/>
      <c r="BI99" s="49"/>
      <c r="BJ99" s="24"/>
    </row>
    <row r="100" spans="2:62" ht="15.75" customHeight="1" outlineLevel="1">
      <c r="B100" s="18"/>
      <c r="C100" s="70">
        <v>10</v>
      </c>
      <c r="D100" s="59" t="s">
        <v>56</v>
      </c>
      <c r="E100" s="42">
        <f t="shared" ref="E100:J100" si="287">E84</f>
        <v>3500</v>
      </c>
      <c r="F100" s="42">
        <f t="shared" si="287"/>
        <v>3500</v>
      </c>
      <c r="G100" s="42">
        <f t="shared" si="287"/>
        <v>3500</v>
      </c>
      <c r="H100" s="42">
        <f t="shared" si="287"/>
        <v>3500</v>
      </c>
      <c r="I100" s="42">
        <f t="shared" si="287"/>
        <v>0</v>
      </c>
      <c r="J100" s="42">
        <f t="shared" si="287"/>
        <v>14000</v>
      </c>
      <c r="K100" s="33"/>
      <c r="L100" s="70">
        <v>10</v>
      </c>
      <c r="M100" s="59" t="s">
        <v>56</v>
      </c>
      <c r="N100" s="72">
        <f t="shared" ref="N100:R100" si="288">E100/$J$42</f>
        <v>6.9775323458463753E-2</v>
      </c>
      <c r="O100" s="72">
        <f t="shared" si="288"/>
        <v>6.9775323458463753E-2</v>
      </c>
      <c r="P100" s="72">
        <f t="shared" si="288"/>
        <v>6.9775323458463753E-2</v>
      </c>
      <c r="Q100" s="72">
        <f t="shared" si="288"/>
        <v>6.9775323458463753E-2</v>
      </c>
      <c r="R100" s="72">
        <f t="shared" si="288"/>
        <v>0</v>
      </c>
      <c r="S100" s="72">
        <f t="shared" si="241"/>
        <v>0.27910129383385501</v>
      </c>
      <c r="T100" s="73"/>
      <c r="U100" s="70">
        <v>10</v>
      </c>
      <c r="V100" s="59" t="s">
        <v>56</v>
      </c>
      <c r="W100" s="72">
        <f t="shared" si="243"/>
        <v>0.25</v>
      </c>
      <c r="X100" s="72">
        <f t="shared" si="244"/>
        <v>0.25</v>
      </c>
      <c r="Y100" s="72">
        <f t="shared" si="245"/>
        <v>0.25</v>
      </c>
      <c r="Z100" s="72">
        <f t="shared" si="246"/>
        <v>0.25</v>
      </c>
      <c r="AA100" s="72">
        <f t="shared" si="247"/>
        <v>0</v>
      </c>
      <c r="AB100" s="72">
        <f t="shared" si="248"/>
        <v>1</v>
      </c>
      <c r="AC100" s="49"/>
      <c r="AD100" s="19"/>
      <c r="AH100" s="20"/>
      <c r="AI100" s="70"/>
      <c r="AJ100" s="29"/>
      <c r="AK100" s="42"/>
      <c r="AL100" s="42"/>
      <c r="AM100" s="42"/>
      <c r="AN100" s="42"/>
      <c r="AO100" s="42"/>
      <c r="AP100" s="42"/>
      <c r="AQ100" s="33"/>
      <c r="AR100" s="71"/>
      <c r="AS100" s="71"/>
      <c r="AT100" s="86"/>
      <c r="AU100" s="86"/>
      <c r="AV100" s="86"/>
      <c r="AW100" s="86"/>
      <c r="AX100" s="72"/>
      <c r="AY100" s="86"/>
      <c r="AZ100" s="73"/>
      <c r="BA100" s="6"/>
      <c r="BB100" s="71"/>
      <c r="BC100" s="158"/>
      <c r="BD100" s="86"/>
      <c r="BE100" s="86"/>
      <c r="BF100" s="86"/>
      <c r="BG100" s="86"/>
      <c r="BH100" s="159"/>
      <c r="BI100" s="49"/>
      <c r="BJ100" s="24"/>
    </row>
    <row r="101" spans="2:62" ht="15.75" customHeight="1" outlineLevel="1">
      <c r="B101" s="18"/>
      <c r="C101" s="70">
        <v>11</v>
      </c>
      <c r="D101" s="59" t="s">
        <v>60</v>
      </c>
      <c r="E101" s="42">
        <f t="shared" ref="E101:J101" si="289">E85</f>
        <v>0</v>
      </c>
      <c r="F101" s="42">
        <f t="shared" si="289"/>
        <v>0</v>
      </c>
      <c r="G101" s="42">
        <f t="shared" si="289"/>
        <v>500</v>
      </c>
      <c r="H101" s="42">
        <f t="shared" si="289"/>
        <v>500</v>
      </c>
      <c r="I101" s="42">
        <f t="shared" si="289"/>
        <v>500</v>
      </c>
      <c r="J101" s="42">
        <f t="shared" si="289"/>
        <v>1500</v>
      </c>
      <c r="K101" s="33"/>
      <c r="L101" s="70">
        <v>11</v>
      </c>
      <c r="M101" s="59" t="s">
        <v>60</v>
      </c>
      <c r="N101" s="72">
        <f t="shared" ref="N101:R101" si="290">E101/$J$42</f>
        <v>0</v>
      </c>
      <c r="O101" s="72">
        <f t="shared" si="290"/>
        <v>0</v>
      </c>
      <c r="P101" s="72">
        <f t="shared" si="290"/>
        <v>9.9679033512091071E-3</v>
      </c>
      <c r="Q101" s="72">
        <f t="shared" si="290"/>
        <v>9.9679033512091071E-3</v>
      </c>
      <c r="R101" s="72">
        <f t="shared" si="290"/>
        <v>9.9679033512091071E-3</v>
      </c>
      <c r="S101" s="72">
        <f t="shared" si="241"/>
        <v>2.9903710053627321E-2</v>
      </c>
      <c r="T101" s="73"/>
      <c r="U101" s="70">
        <v>11</v>
      </c>
      <c r="V101" s="59" t="s">
        <v>60</v>
      </c>
      <c r="W101" s="72">
        <f t="shared" si="243"/>
        <v>0</v>
      </c>
      <c r="X101" s="72">
        <f t="shared" si="244"/>
        <v>0</v>
      </c>
      <c r="Y101" s="72">
        <f t="shared" si="245"/>
        <v>0.5</v>
      </c>
      <c r="Z101" s="72">
        <f t="shared" si="246"/>
        <v>0.5</v>
      </c>
      <c r="AA101" s="72">
        <f t="shared" si="247"/>
        <v>0.5</v>
      </c>
      <c r="AB101" s="86">
        <f t="shared" si="248"/>
        <v>1.5</v>
      </c>
      <c r="AC101" s="49"/>
      <c r="AD101" s="19"/>
      <c r="AH101" s="20"/>
      <c r="AI101" s="70">
        <f t="shared" ref="AI101:AM101" si="291">+AI85</f>
        <v>3</v>
      </c>
      <c r="AJ101" s="29" t="str">
        <f t="shared" si="291"/>
        <v>Mercadotécnia</v>
      </c>
      <c r="AK101" s="42">
        <f t="shared" si="291"/>
        <v>0</v>
      </c>
      <c r="AL101" s="42">
        <f t="shared" si="291"/>
        <v>0</v>
      </c>
      <c r="AM101" s="42">
        <f t="shared" si="291"/>
        <v>0</v>
      </c>
      <c r="AN101" s="42">
        <v>0</v>
      </c>
      <c r="AO101" s="42">
        <f>+AO85</f>
        <v>22000</v>
      </c>
      <c r="AP101" s="42">
        <f>SUM(AK101:AO101)</f>
        <v>22000</v>
      </c>
      <c r="AQ101" s="33">
        <f t="shared" ref="AQ101:AQ102" si="292">+AP101/$AP$42</f>
        <v>9.8854190069647255E-2</v>
      </c>
      <c r="AR101" s="71"/>
      <c r="AS101" s="71" t="str">
        <f t="shared" ref="AS101:AS102" si="293">+AJ101</f>
        <v>Mercadotécnia</v>
      </c>
      <c r="AT101" s="86"/>
      <c r="AU101" s="86"/>
      <c r="AV101" s="86"/>
      <c r="AW101" s="86"/>
      <c r="AX101" s="72">
        <f>+AO101/$AP$42</f>
        <v>9.8854190069647255E-2</v>
      </c>
      <c r="AY101" s="86">
        <f>+AP101/$J$42</f>
        <v>0.43858774745320067</v>
      </c>
      <c r="AZ101" s="73"/>
      <c r="BA101" s="6"/>
      <c r="BB101" s="71" t="str">
        <f>+AS101</f>
        <v>Mercadotécnia</v>
      </c>
      <c r="BC101" s="87"/>
      <c r="BD101" s="88"/>
      <c r="BE101" s="88"/>
      <c r="BF101" s="88"/>
      <c r="BG101" s="88">
        <f>+AO101/$AP$38</f>
        <v>1.1000000000000001</v>
      </c>
      <c r="BH101" s="89">
        <f>SUM(BC101:BG101)</f>
        <v>1.1000000000000001</v>
      </c>
      <c r="BI101" s="49"/>
      <c r="BJ101" s="24"/>
    </row>
    <row r="102" spans="2:62" ht="15.75" customHeight="1">
      <c r="B102" s="18"/>
      <c r="C102" s="9"/>
      <c r="D102" s="153" t="s">
        <v>144</v>
      </c>
      <c r="E102" s="46">
        <f t="shared" ref="E102:J102" si="294">SUM(E91:E101)</f>
        <v>28315.840000000004</v>
      </c>
      <c r="F102" s="47">
        <f t="shared" si="294"/>
        <v>34028.36</v>
      </c>
      <c r="G102" s="47">
        <f t="shared" si="294"/>
        <v>74067.808000000005</v>
      </c>
      <c r="H102" s="47">
        <f t="shared" si="294"/>
        <v>78811.923999999999</v>
      </c>
      <c r="I102" s="47">
        <f t="shared" si="294"/>
        <v>57991.748000000007</v>
      </c>
      <c r="J102" s="48">
        <f t="shared" si="294"/>
        <v>273215.68</v>
      </c>
      <c r="K102" s="67"/>
      <c r="L102" s="70"/>
      <c r="M102" s="153" t="s">
        <v>144</v>
      </c>
      <c r="N102" s="97">
        <f t="shared" ref="N102:S102" si="295">SUM(N91:N101)</f>
        <v>0.56449911285660181</v>
      </c>
      <c r="O102" s="102">
        <f t="shared" si="295"/>
        <v>0.67838280736029977</v>
      </c>
      <c r="P102" s="102">
        <f t="shared" si="295"/>
        <v>1.4766015031598252</v>
      </c>
      <c r="Q102" s="102">
        <f t="shared" si="295"/>
        <v>1.5711792827096747</v>
      </c>
      <c r="R102" s="102">
        <f t="shared" si="295"/>
        <v>1.156112278463348</v>
      </c>
      <c r="S102" s="98">
        <f t="shared" si="295"/>
        <v>5.4467749845497497</v>
      </c>
      <c r="T102" s="99"/>
      <c r="U102" s="6"/>
      <c r="V102" s="153"/>
      <c r="W102" s="6"/>
      <c r="X102" s="6"/>
      <c r="Y102" s="6"/>
      <c r="Z102" s="6"/>
      <c r="AA102" s="6"/>
      <c r="AB102" s="6"/>
      <c r="AC102" s="49"/>
      <c r="AD102" s="19"/>
      <c r="AH102" s="20"/>
      <c r="AI102" s="9"/>
      <c r="AJ102" s="25" t="s">
        <v>145</v>
      </c>
      <c r="AK102" s="46">
        <f t="shared" ref="AK102:AP102" si="296">SUM(AK91:AK101)</f>
        <v>16666.666666666668</v>
      </c>
      <c r="AL102" s="47">
        <f t="shared" si="296"/>
        <v>9200</v>
      </c>
      <c r="AM102" s="47">
        <f t="shared" si="296"/>
        <v>1200</v>
      </c>
      <c r="AN102" s="47">
        <f t="shared" si="296"/>
        <v>1200</v>
      </c>
      <c r="AO102" s="47">
        <f t="shared" si="296"/>
        <v>37450</v>
      </c>
      <c r="AP102" s="48">
        <f t="shared" si="296"/>
        <v>65716.666666666672</v>
      </c>
      <c r="AQ102" s="67">
        <f t="shared" si="292"/>
        <v>0.29528944806410545</v>
      </c>
      <c r="AR102" s="257" t="s">
        <v>119</v>
      </c>
      <c r="AS102" s="71" t="str">
        <f t="shared" si="293"/>
        <v>Total Gastos Semana 3</v>
      </c>
      <c r="AT102" s="97">
        <f t="shared" ref="AT102:AY102" si="297">SUM(AT91:AT101)</f>
        <v>7.4889537931550954E-2</v>
      </c>
      <c r="AU102" s="102">
        <f t="shared" si="297"/>
        <v>4.1339024938216125E-2</v>
      </c>
      <c r="AV102" s="102">
        <f t="shared" si="297"/>
        <v>5.3920467310716686E-3</v>
      </c>
      <c r="AW102" s="102">
        <f t="shared" si="297"/>
        <v>5.3920467310716686E-3</v>
      </c>
      <c r="AX102" s="102">
        <f t="shared" si="297"/>
        <v>0.10424623680071893</v>
      </c>
      <c r="AY102" s="160">
        <f t="shared" si="297"/>
        <v>1.3101147637939168</v>
      </c>
      <c r="AZ102" s="285" t="s">
        <v>119</v>
      </c>
      <c r="BA102" s="258"/>
      <c r="BB102" s="71"/>
      <c r="BC102" s="104" t="s">
        <v>87</v>
      </c>
      <c r="BD102" s="6"/>
      <c r="BE102" s="6"/>
      <c r="BF102" s="6"/>
      <c r="BG102" s="6"/>
      <c r="BH102" s="6"/>
      <c r="BI102" s="49"/>
      <c r="BJ102" s="24"/>
    </row>
    <row r="103" spans="2:62" ht="15.75" customHeight="1">
      <c r="B103" s="18"/>
      <c r="C103" s="9"/>
      <c r="D103" s="25"/>
      <c r="E103" s="51"/>
      <c r="F103" s="51"/>
      <c r="G103" s="51"/>
      <c r="H103" s="51"/>
      <c r="I103" s="51"/>
      <c r="J103" s="51"/>
      <c r="K103" s="49"/>
      <c r="L103" s="70"/>
      <c r="M103" s="49"/>
      <c r="N103" s="49"/>
      <c r="O103" s="49"/>
      <c r="P103" s="49"/>
      <c r="Q103" s="49"/>
      <c r="R103" s="49"/>
      <c r="S103" s="49"/>
      <c r="T103" s="49"/>
      <c r="U103" s="6"/>
      <c r="V103" s="6"/>
      <c r="W103" s="6"/>
      <c r="X103" s="6"/>
      <c r="Y103" s="6"/>
      <c r="Z103" s="6"/>
      <c r="AA103" s="6"/>
      <c r="AB103" s="6"/>
      <c r="AC103" s="6"/>
      <c r="AD103" s="19"/>
      <c r="AH103" s="20"/>
      <c r="AI103" s="9"/>
      <c r="AJ103" s="25"/>
      <c r="AK103" s="55">
        <f t="shared" ref="AK103:AP103" si="298">+AK102/$AP$42</f>
        <v>7.4889537931550954E-2</v>
      </c>
      <c r="AL103" s="51">
        <f t="shared" si="298"/>
        <v>4.1339024938216125E-2</v>
      </c>
      <c r="AM103" s="51">
        <f t="shared" si="298"/>
        <v>5.3920467310716686E-3</v>
      </c>
      <c r="AN103" s="51">
        <f t="shared" si="298"/>
        <v>5.3920467310716686E-3</v>
      </c>
      <c r="AO103" s="51">
        <f t="shared" si="298"/>
        <v>0.16827679173219498</v>
      </c>
      <c r="AP103" s="51">
        <f t="shared" si="298"/>
        <v>0.29528944806410545</v>
      </c>
      <c r="AQ103" s="49"/>
      <c r="AR103" s="258"/>
      <c r="AS103" s="49"/>
      <c r="AT103" s="49"/>
      <c r="AU103" s="49"/>
      <c r="AV103" s="49"/>
      <c r="AW103" s="49"/>
      <c r="AX103" s="49"/>
      <c r="AY103" s="49"/>
      <c r="AZ103" s="258"/>
      <c r="BA103" s="258"/>
      <c r="BB103" s="6"/>
      <c r="BC103" s="6"/>
      <c r="BD103" s="6"/>
      <c r="BE103" s="6"/>
      <c r="BF103" s="6"/>
      <c r="BG103" s="6"/>
      <c r="BH103" s="6"/>
      <c r="BI103" s="6"/>
      <c r="BJ103" s="24"/>
    </row>
    <row r="104" spans="2:62" ht="15.75" customHeight="1">
      <c r="B104" s="18"/>
      <c r="C104" s="9"/>
      <c r="D104" s="29"/>
      <c r="E104" s="6"/>
      <c r="F104" s="6"/>
      <c r="G104" s="6"/>
      <c r="H104" s="6"/>
      <c r="I104" s="6"/>
      <c r="J104" s="6"/>
      <c r="K104" s="6"/>
      <c r="L104" s="70"/>
      <c r="M104" s="6"/>
      <c r="N104" s="6"/>
      <c r="O104" s="6"/>
      <c r="P104" s="6"/>
      <c r="Q104" s="6"/>
      <c r="R104" s="6"/>
      <c r="S104" s="6"/>
      <c r="T104" s="6"/>
      <c r="U104" s="6"/>
      <c r="V104" s="6"/>
      <c r="W104" s="6"/>
      <c r="X104" s="6"/>
      <c r="Y104" s="6"/>
      <c r="Z104" s="6"/>
      <c r="AA104" s="6"/>
      <c r="AB104" s="6"/>
      <c r="AC104" s="6"/>
      <c r="AD104" s="19"/>
      <c r="AH104" s="20"/>
      <c r="AI104" s="9"/>
      <c r="AJ104" s="29"/>
      <c r="AK104" s="149" t="s">
        <v>130</v>
      </c>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24"/>
    </row>
    <row r="105" spans="2:62" ht="15.75" customHeight="1">
      <c r="B105" s="18"/>
      <c r="C105" s="9"/>
      <c r="D105" s="29"/>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19"/>
      <c r="AH105" s="20"/>
      <c r="AI105" s="161" t="s">
        <v>146</v>
      </c>
      <c r="AJ105" s="29"/>
      <c r="AK105" s="149"/>
      <c r="AL105" s="6"/>
      <c r="AM105" s="6"/>
      <c r="AN105" s="6"/>
      <c r="AO105" s="6"/>
      <c r="AP105" s="6"/>
      <c r="AQ105" s="6"/>
      <c r="AR105" s="6"/>
      <c r="AS105" s="22" t="s">
        <v>147</v>
      </c>
      <c r="AT105" s="6"/>
      <c r="AU105" s="6"/>
      <c r="AV105" s="6"/>
      <c r="AW105" s="6"/>
      <c r="AX105" s="6"/>
      <c r="AY105" s="6"/>
      <c r="AZ105" s="6"/>
      <c r="BA105" s="6"/>
      <c r="BB105" s="22" t="s">
        <v>148</v>
      </c>
      <c r="BC105" s="6"/>
      <c r="BD105" s="6"/>
      <c r="BE105" s="6"/>
      <c r="BF105" s="6"/>
      <c r="BG105" s="6"/>
      <c r="BH105" s="6"/>
      <c r="BI105" s="6"/>
      <c r="BJ105" s="24"/>
    </row>
    <row r="106" spans="2:62" ht="24">
      <c r="B106" s="18"/>
      <c r="C106" s="162" t="s">
        <v>149</v>
      </c>
      <c r="E106" s="6"/>
      <c r="F106" s="6"/>
      <c r="G106" s="6"/>
      <c r="H106" s="6"/>
      <c r="I106" s="6"/>
      <c r="J106" s="6"/>
      <c r="K106" s="6"/>
      <c r="L106" s="22" t="s">
        <v>150</v>
      </c>
      <c r="M106" s="25" t="s">
        <v>151</v>
      </c>
      <c r="N106" s="6"/>
      <c r="O106" s="6"/>
      <c r="P106" s="6"/>
      <c r="Q106" s="6"/>
      <c r="R106" s="6"/>
      <c r="S106" s="6"/>
      <c r="T106" s="6"/>
      <c r="U106" s="22" t="s">
        <v>152</v>
      </c>
      <c r="V106" s="25" t="s">
        <v>153</v>
      </c>
      <c r="W106" s="6"/>
      <c r="X106" s="6"/>
      <c r="Y106" s="6"/>
      <c r="Z106" s="6"/>
      <c r="AA106" s="6"/>
      <c r="AB106" s="6"/>
      <c r="AC106" s="6"/>
      <c r="AD106" s="19"/>
      <c r="AH106" s="20"/>
      <c r="AI106" s="163" t="s">
        <v>149</v>
      </c>
      <c r="AJ106" s="28"/>
      <c r="AK106" s="21" t="s">
        <v>154</v>
      </c>
      <c r="AL106" s="6"/>
      <c r="AM106" s="6"/>
      <c r="AN106" s="6"/>
      <c r="AO106" s="6"/>
      <c r="AP106" s="6"/>
      <c r="AQ106" s="6"/>
      <c r="AR106" s="6"/>
      <c r="AS106" s="27" t="s">
        <v>155</v>
      </c>
      <c r="AT106" s="21" t="s">
        <v>156</v>
      </c>
      <c r="AU106" s="6"/>
      <c r="AV106" s="6"/>
      <c r="AW106" s="6"/>
      <c r="AX106" s="6"/>
      <c r="AY106" s="6"/>
      <c r="AZ106" s="6"/>
      <c r="BA106" s="6"/>
      <c r="BB106" s="27" t="s">
        <v>78</v>
      </c>
      <c r="BC106" s="6"/>
      <c r="BD106" s="6"/>
      <c r="BE106" s="6"/>
      <c r="BF106" s="6"/>
      <c r="BG106" s="6"/>
      <c r="BH106" s="6"/>
      <c r="BI106" s="6"/>
      <c r="BJ106" s="24"/>
    </row>
    <row r="107" spans="2:62" ht="15.75" customHeight="1">
      <c r="B107" s="18"/>
      <c r="C107" s="152" t="s">
        <v>157</v>
      </c>
      <c r="D107" s="29"/>
      <c r="E107" s="30" t="s">
        <v>22</v>
      </c>
      <c r="F107" s="30" t="s">
        <v>23</v>
      </c>
      <c r="G107" s="30" t="s">
        <v>24</v>
      </c>
      <c r="H107" s="30" t="s">
        <v>25</v>
      </c>
      <c r="I107" s="30" t="s">
        <v>26</v>
      </c>
      <c r="J107" s="30" t="s">
        <v>27</v>
      </c>
      <c r="K107" s="25"/>
      <c r="L107" s="25"/>
      <c r="M107" s="29"/>
      <c r="N107" s="30" t="s">
        <v>22</v>
      </c>
      <c r="O107" s="30" t="s">
        <v>23</v>
      </c>
      <c r="P107" s="30" t="s">
        <v>24</v>
      </c>
      <c r="Q107" s="30" t="s">
        <v>25</v>
      </c>
      <c r="R107" s="30" t="s">
        <v>26</v>
      </c>
      <c r="S107" s="30" t="s">
        <v>27</v>
      </c>
      <c r="T107" s="30"/>
      <c r="U107" s="6"/>
      <c r="V107" s="29"/>
      <c r="W107" s="30" t="s">
        <v>22</v>
      </c>
      <c r="X107" s="30" t="s">
        <v>23</v>
      </c>
      <c r="Y107" s="30" t="s">
        <v>24</v>
      </c>
      <c r="Z107" s="30" t="s">
        <v>25</v>
      </c>
      <c r="AA107" s="30" t="s">
        <v>26</v>
      </c>
      <c r="AB107" s="30" t="s">
        <v>27</v>
      </c>
      <c r="AC107" s="6"/>
      <c r="AD107" s="19"/>
      <c r="AH107" s="20"/>
      <c r="AI107" s="9"/>
      <c r="AJ107" s="29"/>
      <c r="AK107" s="30" t="s">
        <v>22</v>
      </c>
      <c r="AL107" s="30" t="s">
        <v>23</v>
      </c>
      <c r="AM107" s="30" t="s">
        <v>24</v>
      </c>
      <c r="AN107" s="30" t="s">
        <v>25</v>
      </c>
      <c r="AO107" s="30" t="s">
        <v>26</v>
      </c>
      <c r="AP107" s="30" t="s">
        <v>27</v>
      </c>
      <c r="AQ107" s="25"/>
      <c r="AR107" s="25"/>
      <c r="AS107" s="29"/>
      <c r="AT107" s="30" t="s">
        <v>22</v>
      </c>
      <c r="AU107" s="30" t="s">
        <v>23</v>
      </c>
      <c r="AV107" s="30" t="s">
        <v>24</v>
      </c>
      <c r="AW107" s="30" t="s">
        <v>25</v>
      </c>
      <c r="AX107" s="30" t="s">
        <v>26</v>
      </c>
      <c r="AY107" s="30" t="s">
        <v>27</v>
      </c>
      <c r="AZ107" s="30"/>
      <c r="BA107" s="6"/>
      <c r="BB107" s="29"/>
      <c r="BC107" s="30" t="s">
        <v>22</v>
      </c>
      <c r="BD107" s="30" t="s">
        <v>23</v>
      </c>
      <c r="BE107" s="30" t="s">
        <v>24</v>
      </c>
      <c r="BF107" s="30" t="s">
        <v>25</v>
      </c>
      <c r="BG107" s="30" t="s">
        <v>26</v>
      </c>
      <c r="BH107" s="30" t="s">
        <v>27</v>
      </c>
      <c r="BI107" s="6"/>
      <c r="BJ107" s="24"/>
    </row>
    <row r="108" spans="2:62" ht="15.75" customHeight="1" outlineLevel="1">
      <c r="B108" s="18"/>
      <c r="C108" s="70">
        <f>C91</f>
        <v>1</v>
      </c>
      <c r="D108" s="31" t="s">
        <v>28</v>
      </c>
      <c r="E108" s="32">
        <f t="shared" ref="E108:I108" si="299">E31-E91</f>
        <v>-7340.6400000000012</v>
      </c>
      <c r="F108" s="32">
        <f t="shared" si="299"/>
        <v>-7205.76</v>
      </c>
      <c r="G108" s="32">
        <f t="shared" si="299"/>
        <v>0</v>
      </c>
      <c r="H108" s="32">
        <f t="shared" si="299"/>
        <v>0</v>
      </c>
      <c r="I108" s="32">
        <f t="shared" si="299"/>
        <v>0</v>
      </c>
      <c r="J108" s="32">
        <f t="shared" ref="J108:J118" si="300">SUM(E108:I108)</f>
        <v>-14546.400000000001</v>
      </c>
      <c r="K108" s="33"/>
      <c r="L108" s="70">
        <f>L91</f>
        <v>1</v>
      </c>
      <c r="M108" s="31" t="s">
        <v>28</v>
      </c>
      <c r="N108" s="72">
        <f t="shared" ref="N108:R108" si="301">-N31+N91</f>
        <v>0.14634158011203927</v>
      </c>
      <c r="O108" s="72">
        <f t="shared" si="301"/>
        <v>0.14365263850401708</v>
      </c>
      <c r="P108" s="72">
        <f t="shared" si="301"/>
        <v>0</v>
      </c>
      <c r="Q108" s="72">
        <f t="shared" si="301"/>
        <v>0</v>
      </c>
      <c r="R108" s="72">
        <f t="shared" si="301"/>
        <v>0</v>
      </c>
      <c r="S108" s="72">
        <f t="shared" ref="S108:S118" si="302">SUM(N108:R108)</f>
        <v>0.28999421861605634</v>
      </c>
      <c r="T108" s="73"/>
      <c r="U108" s="70">
        <f>U91</f>
        <v>1</v>
      </c>
      <c r="V108" s="31" t="s">
        <v>28</v>
      </c>
      <c r="W108" s="72">
        <f t="shared" ref="W108:W118" si="303">E108/J31</f>
        <v>-2.1166782006920419</v>
      </c>
      <c r="X108" s="72">
        <f t="shared" ref="X108:X118" si="304">F108/J31</f>
        <v>-2.0777854671280278</v>
      </c>
      <c r="Y108" s="72">
        <f t="shared" ref="Y108:Y118" si="305">G108/J31</f>
        <v>0</v>
      </c>
      <c r="Z108" s="72">
        <f t="shared" ref="Z108:Z118" si="306">H108/J31</f>
        <v>0</v>
      </c>
      <c r="AA108" s="72">
        <f t="shared" ref="AA108:AA118" si="307">I108/J31</f>
        <v>0</v>
      </c>
      <c r="AB108" s="72">
        <f t="shared" ref="AB108:AB118" si="308">SUM(W108:AA108)</f>
        <v>-4.1944636678200702</v>
      </c>
      <c r="AC108" s="49"/>
      <c r="AD108" s="19"/>
      <c r="AH108" s="20"/>
      <c r="AI108" s="70">
        <f t="shared" ref="AI108:AJ108" si="309">+AI91</f>
        <v>1</v>
      </c>
      <c r="AJ108" s="70" t="str">
        <f t="shared" si="309"/>
        <v>Análisis Factibilidad, Planes y Req</v>
      </c>
      <c r="AK108" s="32">
        <f t="shared" ref="AK108:AK109" si="310">+AK31-AK91</f>
        <v>0</v>
      </c>
      <c r="AL108" s="32"/>
      <c r="AM108" s="32"/>
      <c r="AN108" s="32"/>
      <c r="AO108" s="32"/>
      <c r="AP108" s="32">
        <f t="shared" ref="AP108:AP114" si="311">SUM(AK108:AO108)</f>
        <v>0</v>
      </c>
      <c r="AQ108" s="33">
        <f t="shared" ref="AQ108:AQ114" si="312">+AP108/$J$42</f>
        <v>0</v>
      </c>
      <c r="AR108" s="71"/>
      <c r="AS108" s="71" t="str">
        <f t="shared" ref="AS108:AS114" si="313">+AJ108</f>
        <v>Análisis Factibilidad, Planes y Req</v>
      </c>
      <c r="AT108" s="72">
        <f t="shared" ref="AT108:AT109" si="314">+AT31-AT91</f>
        <v>0</v>
      </c>
      <c r="AU108" s="72"/>
      <c r="AV108" s="72"/>
      <c r="AW108" s="72"/>
      <c r="AX108" s="72"/>
      <c r="AY108" s="72">
        <f t="shared" ref="AY108:AY114" si="315">SUM(AT108:AX108)</f>
        <v>0</v>
      </c>
      <c r="AZ108" s="73"/>
      <c r="BA108" s="6"/>
      <c r="BB108" s="71" t="str">
        <f t="shared" ref="BB108:BB114" si="316">+AS108</f>
        <v>Análisis Factibilidad, Planes y Req</v>
      </c>
      <c r="BC108" s="74">
        <f>+AK108/$J$31</f>
        <v>0</v>
      </c>
      <c r="BD108" s="75"/>
      <c r="BE108" s="75"/>
      <c r="BF108" s="75"/>
      <c r="BG108" s="75"/>
      <c r="BH108" s="77">
        <f t="shared" ref="BH108:BH114" si="317">SUM(BC108:BG108)</f>
        <v>0</v>
      </c>
      <c r="BI108" s="281" t="s">
        <v>158</v>
      </c>
      <c r="BJ108" s="277"/>
    </row>
    <row r="109" spans="2:62" ht="15.75" customHeight="1" outlineLevel="1">
      <c r="B109" s="18"/>
      <c r="C109" s="164">
        <v>2</v>
      </c>
      <c r="D109" s="31" t="s">
        <v>31</v>
      </c>
      <c r="E109" s="32">
        <f t="shared" ref="E109:I109" si="318">E32-E92</f>
        <v>-6173.2000000000007</v>
      </c>
      <c r="F109" s="32">
        <f t="shared" si="318"/>
        <v>-13510.8</v>
      </c>
      <c r="G109" s="32">
        <f t="shared" si="318"/>
        <v>0</v>
      </c>
      <c r="H109" s="32">
        <f t="shared" si="318"/>
        <v>0</v>
      </c>
      <c r="I109" s="32">
        <f t="shared" si="318"/>
        <v>0</v>
      </c>
      <c r="J109" s="32">
        <f t="shared" si="300"/>
        <v>-19684</v>
      </c>
      <c r="K109" s="33"/>
      <c r="L109" s="164">
        <v>2</v>
      </c>
      <c r="M109" s="31" t="s">
        <v>31</v>
      </c>
      <c r="N109" s="72">
        <f t="shared" ref="N109:R109" si="319">-N32+N92</f>
        <v>0.12306772193536814</v>
      </c>
      <c r="O109" s="72">
        <f t="shared" si="319"/>
        <v>0.26934869719503196</v>
      </c>
      <c r="P109" s="72">
        <f t="shared" si="319"/>
        <v>0</v>
      </c>
      <c r="Q109" s="72">
        <f t="shared" si="319"/>
        <v>0</v>
      </c>
      <c r="R109" s="72">
        <f t="shared" si="319"/>
        <v>0</v>
      </c>
      <c r="S109" s="72">
        <f t="shared" si="302"/>
        <v>0.3924164191304001</v>
      </c>
      <c r="T109" s="73"/>
      <c r="U109" s="164">
        <v>2</v>
      </c>
      <c r="V109" s="31" t="s">
        <v>31</v>
      </c>
      <c r="W109" s="72">
        <f t="shared" si="303"/>
        <v>-2.1782639378969657</v>
      </c>
      <c r="X109" s="72">
        <f t="shared" si="304"/>
        <v>-4.7673959068454481</v>
      </c>
      <c r="Y109" s="72">
        <f t="shared" si="305"/>
        <v>0</v>
      </c>
      <c r="Z109" s="72">
        <f t="shared" si="306"/>
        <v>0</v>
      </c>
      <c r="AA109" s="72">
        <f t="shared" si="307"/>
        <v>0</v>
      </c>
      <c r="AB109" s="72">
        <f t="shared" si="308"/>
        <v>-6.9456598447424138</v>
      </c>
      <c r="AC109" s="49"/>
      <c r="AD109" s="19"/>
      <c r="AH109" s="20"/>
      <c r="AI109" s="70">
        <f t="shared" ref="AI109:AJ109" si="320">+AI92</f>
        <v>5</v>
      </c>
      <c r="AJ109" s="70" t="str">
        <f t="shared" si="320"/>
        <v>Go Life</v>
      </c>
      <c r="AK109" s="32">
        <f t="shared" si="310"/>
        <v>33333.333333333336</v>
      </c>
      <c r="AL109" s="32">
        <f t="shared" ref="AL109:AL110" si="321">+AL32-AL92</f>
        <v>0</v>
      </c>
      <c r="AM109" s="32"/>
      <c r="AN109" s="32"/>
      <c r="AO109" s="32"/>
      <c r="AP109" s="32">
        <f t="shared" si="311"/>
        <v>33333.333333333336</v>
      </c>
      <c r="AQ109" s="33">
        <f t="shared" si="312"/>
        <v>0.66452689008060717</v>
      </c>
      <c r="AR109" s="71"/>
      <c r="AS109" s="71" t="str">
        <f t="shared" si="313"/>
        <v>Go Life</v>
      </c>
      <c r="AT109" s="72">
        <f t="shared" si="314"/>
        <v>0.14977907586310191</v>
      </c>
      <c r="AU109" s="72">
        <f t="shared" ref="AU109:AU110" si="322">+AU32-AU92</f>
        <v>0</v>
      </c>
      <c r="AV109" s="72"/>
      <c r="AW109" s="72"/>
      <c r="AX109" s="72"/>
      <c r="AY109" s="72">
        <f t="shared" si="315"/>
        <v>0.14977907586310191</v>
      </c>
      <c r="AZ109" s="73"/>
      <c r="BA109" s="6"/>
      <c r="BB109" s="71" t="str">
        <f t="shared" si="316"/>
        <v>Go Life</v>
      </c>
      <c r="BC109" s="81">
        <f t="shared" ref="BC109:BD109" si="323">+AK109/$J$32</f>
        <v>11.761938367442955</v>
      </c>
      <c r="BD109" s="72">
        <f t="shared" si="323"/>
        <v>0</v>
      </c>
      <c r="BE109" s="72"/>
      <c r="BF109" s="72"/>
      <c r="BG109" s="72"/>
      <c r="BH109" s="83">
        <f t="shared" si="317"/>
        <v>11.761938367442955</v>
      </c>
      <c r="BI109" s="280"/>
      <c r="BJ109" s="277"/>
    </row>
    <row r="110" spans="2:62" ht="15.75" customHeight="1" outlineLevel="1">
      <c r="B110" s="18"/>
      <c r="C110" s="70">
        <f>C93</f>
        <v>3</v>
      </c>
      <c r="D110" s="31" t="s">
        <v>33</v>
      </c>
      <c r="E110" s="32">
        <f t="shared" ref="E110:I110" si="324">E33-E93</f>
        <v>0</v>
      </c>
      <c r="F110" s="32">
        <f t="shared" si="324"/>
        <v>-4143.8000000000011</v>
      </c>
      <c r="G110" s="32">
        <f t="shared" si="324"/>
        <v>-44025</v>
      </c>
      <c r="H110" s="32">
        <f t="shared" si="324"/>
        <v>-34341.299999999996</v>
      </c>
      <c r="I110" s="32">
        <f t="shared" si="324"/>
        <v>-4905.9000000000005</v>
      </c>
      <c r="J110" s="32">
        <f t="shared" si="300"/>
        <v>-87416</v>
      </c>
      <c r="K110" s="33"/>
      <c r="L110" s="70">
        <f>L93</f>
        <v>3</v>
      </c>
      <c r="M110" s="31" t="s">
        <v>33</v>
      </c>
      <c r="N110" s="72">
        <f t="shared" ref="N110:R110" si="325">-N33+N93</f>
        <v>0</v>
      </c>
      <c r="O110" s="72">
        <f t="shared" si="325"/>
        <v>8.2609995813480608E-2</v>
      </c>
      <c r="P110" s="72">
        <f t="shared" si="325"/>
        <v>0.8776738900739619</v>
      </c>
      <c r="Q110" s="72">
        <f t="shared" si="325"/>
        <v>0.68462151870975452</v>
      </c>
      <c r="R110" s="72">
        <f t="shared" si="325"/>
        <v>9.7803074101393522E-2</v>
      </c>
      <c r="S110" s="72">
        <f t="shared" si="302"/>
        <v>1.7427084786985907</v>
      </c>
      <c r="T110" s="73"/>
      <c r="U110" s="70">
        <f>U93</f>
        <v>3</v>
      </c>
      <c r="V110" s="31" t="s">
        <v>33</v>
      </c>
      <c r="W110" s="72">
        <f t="shared" si="303"/>
        <v>0</v>
      </c>
      <c r="X110" s="72">
        <f t="shared" si="304"/>
        <v>-0.38719865445711094</v>
      </c>
      <c r="Y110" s="72">
        <f t="shared" si="305"/>
        <v>-4.113717062231359</v>
      </c>
      <c r="Z110" s="72">
        <f t="shared" si="306"/>
        <v>-3.2088675014016066</v>
      </c>
      <c r="AA110" s="72">
        <f t="shared" si="307"/>
        <v>-0.45840964305737253</v>
      </c>
      <c r="AB110" s="72">
        <f t="shared" si="308"/>
        <v>-8.1681928611474497</v>
      </c>
      <c r="AC110" s="49"/>
      <c r="AD110" s="19"/>
      <c r="AH110" s="20"/>
      <c r="AI110" s="70">
        <f t="shared" ref="AI110:AJ110" si="326">+AI93</f>
        <v>0</v>
      </c>
      <c r="AJ110" s="70">
        <f t="shared" si="326"/>
        <v>0</v>
      </c>
      <c r="AK110" s="32"/>
      <c r="AL110" s="32">
        <f t="shared" si="321"/>
        <v>32333.333333333336</v>
      </c>
      <c r="AM110" s="32">
        <f t="shared" ref="AM110:AO110" si="327">+AM33-AM93</f>
        <v>32333.333333333336</v>
      </c>
      <c r="AN110" s="32">
        <f t="shared" si="327"/>
        <v>36500</v>
      </c>
      <c r="AO110" s="32">
        <f t="shared" si="327"/>
        <v>0</v>
      </c>
      <c r="AP110" s="32">
        <f t="shared" si="311"/>
        <v>101166.66666666667</v>
      </c>
      <c r="AQ110" s="33">
        <f t="shared" si="312"/>
        <v>2.0168391113946429</v>
      </c>
      <c r="AR110" s="71"/>
      <c r="AS110" s="71">
        <f t="shared" si="313"/>
        <v>0</v>
      </c>
      <c r="AT110" s="72"/>
      <c r="AU110" s="72">
        <f t="shared" si="322"/>
        <v>0.14528570358720885</v>
      </c>
      <c r="AV110" s="72">
        <f t="shared" ref="AV110:AX110" si="328">+AV33-AV93</f>
        <v>0.14528570358720885</v>
      </c>
      <c r="AW110" s="72">
        <f t="shared" si="328"/>
        <v>0.16400808807009659</v>
      </c>
      <c r="AX110" s="72">
        <f t="shared" si="328"/>
        <v>0</v>
      </c>
      <c r="AY110" s="72">
        <f t="shared" si="315"/>
        <v>0.4545794952445143</v>
      </c>
      <c r="AZ110" s="73"/>
      <c r="BA110" s="6"/>
      <c r="BB110" s="71">
        <f t="shared" si="316"/>
        <v>0</v>
      </c>
      <c r="BC110" s="81"/>
      <c r="BD110" s="72">
        <f t="shared" ref="BD110:BG110" si="329">+AL110/$J$33</f>
        <v>3.0212421354264003</v>
      </c>
      <c r="BE110" s="72">
        <f t="shared" si="329"/>
        <v>3.0212421354264003</v>
      </c>
      <c r="BF110" s="72">
        <f t="shared" si="329"/>
        <v>3.4105774621566063</v>
      </c>
      <c r="BG110" s="72">
        <f t="shared" si="329"/>
        <v>0</v>
      </c>
      <c r="BH110" s="83">
        <f t="shared" si="317"/>
        <v>9.453061733009406</v>
      </c>
      <c r="BI110" s="280"/>
      <c r="BJ110" s="277"/>
    </row>
    <row r="111" spans="2:62" ht="15.75" customHeight="1" outlineLevel="1">
      <c r="B111" s="18"/>
      <c r="C111" s="164">
        <v>3</v>
      </c>
      <c r="D111" s="41" t="s">
        <v>34</v>
      </c>
      <c r="E111" s="32">
        <f t="shared" ref="E111:I111" si="330">E34-E94</f>
        <v>0</v>
      </c>
      <c r="F111" s="32">
        <f t="shared" si="330"/>
        <v>3485</v>
      </c>
      <c r="G111" s="32">
        <f t="shared" si="330"/>
        <v>-9950.44</v>
      </c>
      <c r="H111" s="32">
        <f t="shared" si="330"/>
        <v>0</v>
      </c>
      <c r="I111" s="32">
        <f t="shared" si="330"/>
        <v>0</v>
      </c>
      <c r="J111" s="32">
        <f t="shared" si="300"/>
        <v>-6465.4400000000005</v>
      </c>
      <c r="K111" s="33"/>
      <c r="L111" s="164">
        <v>3</v>
      </c>
      <c r="M111" s="41" t="s">
        <v>34</v>
      </c>
      <c r="N111" s="72">
        <f t="shared" ref="N111:R111" si="331">-N34+N94</f>
        <v>0</v>
      </c>
      <c r="O111" s="72">
        <f t="shared" si="331"/>
        <v>-6.9476286357927478E-2</v>
      </c>
      <c r="P111" s="72">
        <f t="shared" si="331"/>
        <v>0.19837004844401029</v>
      </c>
      <c r="Q111" s="72">
        <f t="shared" si="331"/>
        <v>0</v>
      </c>
      <c r="R111" s="72">
        <f t="shared" si="331"/>
        <v>0</v>
      </c>
      <c r="S111" s="72">
        <f t="shared" si="302"/>
        <v>0.12889376208608283</v>
      </c>
      <c r="T111" s="73"/>
      <c r="U111" s="164">
        <v>3</v>
      </c>
      <c r="V111" s="41" t="s">
        <v>34</v>
      </c>
      <c r="W111" s="72">
        <f t="shared" si="303"/>
        <v>0</v>
      </c>
      <c r="X111" s="72">
        <f t="shared" si="304"/>
        <v>0.56795958279009129</v>
      </c>
      <c r="Y111" s="72">
        <f t="shared" si="305"/>
        <v>-1.6216492829204694</v>
      </c>
      <c r="Z111" s="72">
        <f t="shared" si="306"/>
        <v>0</v>
      </c>
      <c r="AA111" s="72">
        <f t="shared" si="307"/>
        <v>0</v>
      </c>
      <c r="AB111" s="72">
        <f t="shared" si="308"/>
        <v>-1.053689700130378</v>
      </c>
      <c r="AC111" s="49"/>
      <c r="AD111" s="19"/>
      <c r="AH111" s="20"/>
      <c r="AI111" s="70">
        <f t="shared" ref="AI111:AJ111" si="332">+AI94</f>
        <v>0</v>
      </c>
      <c r="AJ111" s="70">
        <f t="shared" si="332"/>
        <v>0</v>
      </c>
      <c r="AK111" s="32"/>
      <c r="AL111" s="32"/>
      <c r="AM111" s="32"/>
      <c r="AN111" s="32"/>
      <c r="AO111" s="32">
        <f t="shared" ref="AO111:AO112" si="333">+AO34-AO94</f>
        <v>24333.333333333336</v>
      </c>
      <c r="AP111" s="32">
        <f t="shared" si="311"/>
        <v>24333.333333333336</v>
      </c>
      <c r="AQ111" s="33">
        <f t="shared" si="312"/>
        <v>0.48510462975884322</v>
      </c>
      <c r="AR111" s="71"/>
      <c r="AS111" s="71">
        <f t="shared" si="313"/>
        <v>0</v>
      </c>
      <c r="AT111" s="72"/>
      <c r="AU111" s="72"/>
      <c r="AV111" s="72"/>
      <c r="AW111" s="72"/>
      <c r="AX111" s="72">
        <f t="shared" ref="AX111:AX112" si="334">+AX34-AX94</f>
        <v>0.10933872538006441</v>
      </c>
      <c r="AY111" s="72">
        <f t="shared" si="315"/>
        <v>0.10933872538006441</v>
      </c>
      <c r="AZ111" s="73"/>
      <c r="BA111" s="6"/>
      <c r="BB111" s="71">
        <f t="shared" si="316"/>
        <v>0</v>
      </c>
      <c r="BC111" s="81"/>
      <c r="BD111" s="72"/>
      <c r="BE111" s="72"/>
      <c r="BF111" s="72"/>
      <c r="BG111" s="72">
        <f>+AO111/$J$34</f>
        <v>3.9656671012603222</v>
      </c>
      <c r="BH111" s="83">
        <f t="shared" si="317"/>
        <v>3.9656671012603222</v>
      </c>
      <c r="BI111" s="280"/>
      <c r="BJ111" s="277"/>
    </row>
    <row r="112" spans="2:62" ht="15.75" customHeight="1" outlineLevel="1">
      <c r="B112" s="18"/>
      <c r="C112" s="70">
        <f>C95</f>
        <v>5</v>
      </c>
      <c r="D112" s="31" t="s">
        <v>36</v>
      </c>
      <c r="E112" s="32">
        <f t="shared" ref="E112:I112" si="335">E35-E95</f>
        <v>0</v>
      </c>
      <c r="F112" s="32">
        <f t="shared" si="335"/>
        <v>0</v>
      </c>
      <c r="G112" s="32">
        <f t="shared" si="335"/>
        <v>-5305.3680000000022</v>
      </c>
      <c r="H112" s="32">
        <f t="shared" si="335"/>
        <v>-16814.736000000004</v>
      </c>
      <c r="I112" s="32">
        <f t="shared" si="335"/>
        <v>-16814.736000000004</v>
      </c>
      <c r="J112" s="32">
        <f t="shared" si="300"/>
        <v>-38934.840000000011</v>
      </c>
      <c r="K112" s="33"/>
      <c r="L112" s="70">
        <f>L95</f>
        <v>5</v>
      </c>
      <c r="M112" s="31" t="s">
        <v>36</v>
      </c>
      <c r="N112" s="72">
        <f t="shared" ref="N112:R112" si="336">-N35+N95</f>
        <v>0</v>
      </c>
      <c r="O112" s="72">
        <f t="shared" si="336"/>
        <v>0</v>
      </c>
      <c r="P112" s="72">
        <f t="shared" si="336"/>
        <v>0.10576679093319516</v>
      </c>
      <c r="Q112" s="72">
        <f t="shared" si="336"/>
        <v>0.33521532664819292</v>
      </c>
      <c r="R112" s="72">
        <f t="shared" si="336"/>
        <v>0.33521532664819292</v>
      </c>
      <c r="S112" s="72">
        <f t="shared" si="302"/>
        <v>0.77619744422958092</v>
      </c>
      <c r="T112" s="73"/>
      <c r="U112" s="70">
        <f>U95</f>
        <v>5</v>
      </c>
      <c r="V112" s="31" t="s">
        <v>36</v>
      </c>
      <c r="W112" s="72">
        <f t="shared" si="303"/>
        <v>0</v>
      </c>
      <c r="X112" s="72">
        <f t="shared" si="304"/>
        <v>0</v>
      </c>
      <c r="Y112" s="72">
        <f t="shared" si="305"/>
        <v>-1.7103056092843334</v>
      </c>
      <c r="Z112" s="72">
        <f t="shared" si="306"/>
        <v>-5.4206112185686672</v>
      </c>
      <c r="AA112" s="72">
        <f t="shared" si="307"/>
        <v>-5.4206112185686672</v>
      </c>
      <c r="AB112" s="72">
        <f t="shared" si="308"/>
        <v>-12.551528046421668</v>
      </c>
      <c r="AC112" s="49"/>
      <c r="AD112" s="19"/>
      <c r="AH112" s="20"/>
      <c r="AI112" s="70">
        <f t="shared" ref="AI112:AJ112" si="337">+AI95</f>
        <v>0</v>
      </c>
      <c r="AJ112" s="70">
        <f t="shared" si="337"/>
        <v>0</v>
      </c>
      <c r="AK112" s="32"/>
      <c r="AL112" s="32"/>
      <c r="AM112" s="32"/>
      <c r="AN112" s="32"/>
      <c r="AO112" s="32">
        <f t="shared" si="333"/>
        <v>14250</v>
      </c>
      <c r="AP112" s="32">
        <f t="shared" si="311"/>
        <v>14250</v>
      </c>
      <c r="AQ112" s="33">
        <f t="shared" si="312"/>
        <v>0.28408524550945952</v>
      </c>
      <c r="AR112" s="71"/>
      <c r="AS112" s="71">
        <f t="shared" si="313"/>
        <v>0</v>
      </c>
      <c r="AT112" s="72"/>
      <c r="AU112" s="72"/>
      <c r="AV112" s="72"/>
      <c r="AW112" s="72"/>
      <c r="AX112" s="72">
        <f t="shared" si="334"/>
        <v>6.4030554931476066E-2</v>
      </c>
      <c r="AY112" s="72">
        <f t="shared" si="315"/>
        <v>6.4030554931476066E-2</v>
      </c>
      <c r="AZ112" s="73"/>
      <c r="BA112" s="6"/>
      <c r="BB112" s="71">
        <f t="shared" si="316"/>
        <v>0</v>
      </c>
      <c r="BC112" s="81"/>
      <c r="BD112" s="72"/>
      <c r="BE112" s="72"/>
      <c r="BF112" s="72"/>
      <c r="BG112" s="72">
        <f>+AO112/$J$35</f>
        <v>4.5938104448742747</v>
      </c>
      <c r="BH112" s="83">
        <f t="shared" si="317"/>
        <v>4.5938104448742747</v>
      </c>
      <c r="BI112" s="280"/>
      <c r="BJ112" s="277"/>
    </row>
    <row r="113" spans="2:62" ht="15.75" customHeight="1" outlineLevel="1">
      <c r="B113" s="18"/>
      <c r="C113" s="164">
        <v>4</v>
      </c>
      <c r="D113" s="31" t="s">
        <v>38</v>
      </c>
      <c r="E113" s="32">
        <f t="shared" ref="E113:I113" si="338">E36-E96</f>
        <v>0</v>
      </c>
      <c r="F113" s="32">
        <f t="shared" si="338"/>
        <v>0</v>
      </c>
      <c r="G113" s="32">
        <f t="shared" si="338"/>
        <v>2068</v>
      </c>
      <c r="H113" s="32">
        <f t="shared" si="338"/>
        <v>-23655.887999999999</v>
      </c>
      <c r="I113" s="32">
        <f t="shared" si="338"/>
        <v>-15770.592000000004</v>
      </c>
      <c r="J113" s="32">
        <f t="shared" si="300"/>
        <v>-37358.480000000003</v>
      </c>
      <c r="K113" s="33"/>
      <c r="L113" s="164">
        <v>4</v>
      </c>
      <c r="M113" s="31" t="s">
        <v>38</v>
      </c>
      <c r="N113" s="72">
        <f t="shared" ref="N113:R113" si="339">-N36+N96</f>
        <v>0</v>
      </c>
      <c r="O113" s="72">
        <f t="shared" si="339"/>
        <v>0</v>
      </c>
      <c r="P113" s="72">
        <f t="shared" si="339"/>
        <v>-4.1227248260600868E-2</v>
      </c>
      <c r="Q113" s="72">
        <f t="shared" si="339"/>
        <v>0.47159921054205456</v>
      </c>
      <c r="R113" s="72">
        <f t="shared" si="339"/>
        <v>0.31439947369470311</v>
      </c>
      <c r="S113" s="72">
        <f t="shared" si="302"/>
        <v>0.7447714359761568</v>
      </c>
      <c r="T113" s="73"/>
      <c r="U113" s="164">
        <v>4</v>
      </c>
      <c r="V113" s="31" t="s">
        <v>38</v>
      </c>
      <c r="W113" s="72">
        <f t="shared" si="303"/>
        <v>0</v>
      </c>
      <c r="X113" s="72">
        <f t="shared" si="304"/>
        <v>0</v>
      </c>
      <c r="Y113" s="72">
        <f t="shared" si="305"/>
        <v>1</v>
      </c>
      <c r="Z113" s="72">
        <f t="shared" si="306"/>
        <v>-11.439017408123791</v>
      </c>
      <c r="AA113" s="72">
        <f t="shared" si="307"/>
        <v>-7.6260116054158624</v>
      </c>
      <c r="AB113" s="72">
        <f t="shared" si="308"/>
        <v>-18.065029013539654</v>
      </c>
      <c r="AC113" s="49"/>
      <c r="AD113" s="19"/>
      <c r="AH113" s="20"/>
      <c r="AI113" s="70">
        <f t="shared" ref="AI113:AJ113" si="340">+AI96</f>
        <v>1</v>
      </c>
      <c r="AJ113" s="70" t="str">
        <f t="shared" si="340"/>
        <v>Infraestructura (SW)</v>
      </c>
      <c r="AK113" s="32"/>
      <c r="AL113" s="32">
        <f t="shared" ref="AL113:AL114" si="341">+AL36-AL96</f>
        <v>0</v>
      </c>
      <c r="AM113" s="32"/>
      <c r="AN113" s="32"/>
      <c r="AO113" s="32"/>
      <c r="AP113" s="32">
        <f t="shared" si="311"/>
        <v>0</v>
      </c>
      <c r="AQ113" s="33">
        <f t="shared" si="312"/>
        <v>0</v>
      </c>
      <c r="AR113" s="71"/>
      <c r="AS113" s="71" t="str">
        <f t="shared" si="313"/>
        <v>Infraestructura (SW)</v>
      </c>
      <c r="AT113" s="72"/>
      <c r="AU113" s="72"/>
      <c r="AV113" s="72"/>
      <c r="AW113" s="72"/>
      <c r="AX113" s="72"/>
      <c r="AY113" s="72">
        <f t="shared" si="315"/>
        <v>0</v>
      </c>
      <c r="AZ113" s="73"/>
      <c r="BA113" s="6"/>
      <c r="BB113" s="71" t="str">
        <f t="shared" si="316"/>
        <v>Infraestructura (SW)</v>
      </c>
      <c r="BC113" s="81"/>
      <c r="BD113" s="72">
        <f>+AL113/$J$36</f>
        <v>0</v>
      </c>
      <c r="BE113" s="72"/>
      <c r="BF113" s="72"/>
      <c r="BG113" s="72"/>
      <c r="BH113" s="83">
        <f t="shared" si="317"/>
        <v>0</v>
      </c>
      <c r="BI113" s="280"/>
      <c r="BJ113" s="277"/>
    </row>
    <row r="114" spans="2:62" ht="15.75" customHeight="1" outlineLevel="1">
      <c r="B114" s="18"/>
      <c r="C114" s="70">
        <f>C97</f>
        <v>7</v>
      </c>
      <c r="D114" s="31" t="s">
        <v>37</v>
      </c>
      <c r="E114" s="32">
        <f t="shared" ref="E114:I114" si="342">E37-E97</f>
        <v>0</v>
      </c>
      <c r="F114" s="32">
        <f t="shared" si="342"/>
        <v>0</v>
      </c>
      <c r="G114" s="32">
        <f t="shared" si="342"/>
        <v>0</v>
      </c>
      <c r="H114" s="32">
        <f t="shared" si="342"/>
        <v>617</v>
      </c>
      <c r="I114" s="32">
        <f t="shared" si="342"/>
        <v>-13520.52</v>
      </c>
      <c r="J114" s="32">
        <f t="shared" si="300"/>
        <v>-12903.52</v>
      </c>
      <c r="K114" s="33"/>
      <c r="L114" s="70">
        <f>L97</f>
        <v>7</v>
      </c>
      <c r="M114" s="31" t="s">
        <v>37</v>
      </c>
      <c r="N114" s="72">
        <f t="shared" ref="N114:R114" si="343">-N37+N97</f>
        <v>0</v>
      </c>
      <c r="O114" s="72">
        <f t="shared" si="343"/>
        <v>0</v>
      </c>
      <c r="P114" s="72">
        <f t="shared" si="343"/>
        <v>0</v>
      </c>
      <c r="Q114" s="72">
        <f t="shared" si="343"/>
        <v>-1.2300392735392037E-2</v>
      </c>
      <c r="R114" s="72">
        <f t="shared" si="343"/>
        <v>0.26954247323617953</v>
      </c>
      <c r="S114" s="72">
        <f t="shared" si="302"/>
        <v>0.25724208050078751</v>
      </c>
      <c r="T114" s="73"/>
      <c r="U114" s="70">
        <f>U97</f>
        <v>7</v>
      </c>
      <c r="V114" s="31" t="s">
        <v>37</v>
      </c>
      <c r="W114" s="72">
        <f t="shared" si="303"/>
        <v>0</v>
      </c>
      <c r="X114" s="72">
        <f t="shared" si="304"/>
        <v>0</v>
      </c>
      <c r="Y114" s="72">
        <f t="shared" si="305"/>
        <v>0</v>
      </c>
      <c r="Z114" s="72">
        <f t="shared" si="306"/>
        <v>1</v>
      </c>
      <c r="AA114" s="72">
        <f t="shared" si="307"/>
        <v>-21.913322528363047</v>
      </c>
      <c r="AB114" s="72">
        <f t="shared" si="308"/>
        <v>-20.913322528363047</v>
      </c>
      <c r="AC114" s="49"/>
      <c r="AD114" s="19"/>
      <c r="AH114" s="20"/>
      <c r="AI114" s="70">
        <f t="shared" ref="AI114:AJ114" si="344">+AI97</f>
        <v>2</v>
      </c>
      <c r="AJ114" s="70" t="str">
        <f t="shared" si="344"/>
        <v>Costos Fijos (Luz, Agua, servicios)</v>
      </c>
      <c r="AK114" s="32"/>
      <c r="AL114" s="32">
        <f t="shared" si="341"/>
        <v>0</v>
      </c>
      <c r="AM114" s="32">
        <f t="shared" ref="AM114:AO114" si="345">+AM37-AM97</f>
        <v>0</v>
      </c>
      <c r="AN114" s="32">
        <f t="shared" si="345"/>
        <v>0</v>
      </c>
      <c r="AO114" s="32">
        <f t="shared" si="345"/>
        <v>0</v>
      </c>
      <c r="AP114" s="32">
        <f t="shared" si="311"/>
        <v>0</v>
      </c>
      <c r="AQ114" s="33">
        <f t="shared" si="312"/>
        <v>0</v>
      </c>
      <c r="AR114" s="71"/>
      <c r="AS114" s="71" t="str">
        <f t="shared" si="313"/>
        <v>Costos Fijos (Luz, Agua, servicios)</v>
      </c>
      <c r="AT114" s="72"/>
      <c r="AU114" s="72">
        <f t="shared" ref="AU114:AX114" si="346">+AU37-AU97</f>
        <v>0</v>
      </c>
      <c r="AV114" s="72">
        <f t="shared" si="346"/>
        <v>0</v>
      </c>
      <c r="AW114" s="72">
        <f t="shared" si="346"/>
        <v>0</v>
      </c>
      <c r="AX114" s="72">
        <f t="shared" si="346"/>
        <v>0</v>
      </c>
      <c r="AY114" s="72">
        <f t="shared" si="315"/>
        <v>0</v>
      </c>
      <c r="AZ114" s="73"/>
      <c r="BA114" s="6"/>
      <c r="BB114" s="71" t="str">
        <f t="shared" si="316"/>
        <v>Costos Fijos (Luz, Agua, servicios)</v>
      </c>
      <c r="BC114" s="81"/>
      <c r="BD114" s="72">
        <f t="shared" ref="BD114:BG114" si="347">+AL114/$J$37</f>
        <v>0</v>
      </c>
      <c r="BE114" s="72">
        <f t="shared" si="347"/>
        <v>0</v>
      </c>
      <c r="BF114" s="72">
        <f t="shared" si="347"/>
        <v>0</v>
      </c>
      <c r="BG114" s="72">
        <f t="shared" si="347"/>
        <v>0</v>
      </c>
      <c r="BH114" s="83">
        <f t="shared" si="317"/>
        <v>0</v>
      </c>
      <c r="BI114" s="280"/>
      <c r="BJ114" s="277"/>
    </row>
    <row r="115" spans="2:62" ht="15.75" customHeight="1" outlineLevel="1">
      <c r="B115" s="18"/>
      <c r="C115" s="164">
        <v>5</v>
      </c>
      <c r="D115" s="41" t="s">
        <v>39</v>
      </c>
      <c r="E115" s="32">
        <f t="shared" ref="E115:I115" si="348">E38-E98</f>
        <v>0</v>
      </c>
      <c r="F115" s="32">
        <f t="shared" si="348"/>
        <v>0</v>
      </c>
      <c r="G115" s="32">
        <f t="shared" si="348"/>
        <v>0</v>
      </c>
      <c r="H115" s="32">
        <f t="shared" si="348"/>
        <v>0</v>
      </c>
      <c r="I115" s="32">
        <f t="shared" si="348"/>
        <v>-5246.0000000000009</v>
      </c>
      <c r="J115" s="32">
        <f t="shared" si="300"/>
        <v>-5246.0000000000009</v>
      </c>
      <c r="K115" s="33"/>
      <c r="L115" s="164">
        <v>5</v>
      </c>
      <c r="M115" s="41" t="s">
        <v>39</v>
      </c>
      <c r="N115" s="72">
        <f t="shared" ref="N115:R115" si="349">-N38+N98</f>
        <v>0</v>
      </c>
      <c r="O115" s="72">
        <f t="shared" si="349"/>
        <v>0</v>
      </c>
      <c r="P115" s="72">
        <f t="shared" si="349"/>
        <v>0</v>
      </c>
      <c r="Q115" s="72">
        <f t="shared" si="349"/>
        <v>0</v>
      </c>
      <c r="R115" s="72">
        <f t="shared" si="349"/>
        <v>0.10458324196088596</v>
      </c>
      <c r="S115" s="72">
        <f t="shared" si="302"/>
        <v>0.10458324196088596</v>
      </c>
      <c r="T115" s="73"/>
      <c r="U115" s="164">
        <v>5</v>
      </c>
      <c r="V115" s="41" t="s">
        <v>39</v>
      </c>
      <c r="W115" s="72">
        <f t="shared" si="303"/>
        <v>0</v>
      </c>
      <c r="X115" s="72">
        <f t="shared" si="304"/>
        <v>0</v>
      </c>
      <c r="Y115" s="72">
        <f t="shared" si="305"/>
        <v>0</v>
      </c>
      <c r="Z115" s="72">
        <f t="shared" si="306"/>
        <v>0</v>
      </c>
      <c r="AA115" s="72">
        <f t="shared" si="307"/>
        <v>-4.2512155591572132</v>
      </c>
      <c r="AB115" s="72">
        <f t="shared" si="308"/>
        <v>-4.2512155591572132</v>
      </c>
      <c r="AC115" s="49"/>
      <c r="AD115" s="19"/>
      <c r="AH115" s="20"/>
      <c r="AI115" s="70"/>
      <c r="AJ115" s="70"/>
      <c r="AK115" s="42"/>
      <c r="AL115" s="42"/>
      <c r="AM115" s="42"/>
      <c r="AN115" s="42"/>
      <c r="AO115" s="42"/>
      <c r="AP115" s="42"/>
      <c r="AQ115" s="33"/>
      <c r="AR115" s="71"/>
      <c r="AS115" s="71"/>
      <c r="AT115" s="86"/>
      <c r="AU115" s="86"/>
      <c r="AV115" s="86"/>
      <c r="AW115" s="86"/>
      <c r="AX115" s="86"/>
      <c r="AY115" s="86"/>
      <c r="AZ115" s="73"/>
      <c r="BA115" s="6"/>
      <c r="BB115" s="71"/>
      <c r="BC115" s="158"/>
      <c r="BD115" s="86"/>
      <c r="BE115" s="86"/>
      <c r="BF115" s="86"/>
      <c r="BG115" s="86"/>
      <c r="BH115" s="159"/>
      <c r="BI115" s="165"/>
      <c r="BJ115" s="166"/>
    </row>
    <row r="116" spans="2:62" ht="15.75" customHeight="1" outlineLevel="1">
      <c r="B116" s="18"/>
      <c r="C116" s="70">
        <f>C99</f>
        <v>9</v>
      </c>
      <c r="D116" s="59" t="s">
        <v>53</v>
      </c>
      <c r="E116" s="32">
        <f t="shared" ref="E116:I116" si="350">E39-E99</f>
        <v>0</v>
      </c>
      <c r="F116" s="32">
        <f t="shared" si="350"/>
        <v>0</v>
      </c>
      <c r="G116" s="32">
        <f t="shared" si="350"/>
        <v>0</v>
      </c>
      <c r="H116" s="32">
        <f t="shared" si="350"/>
        <v>0</v>
      </c>
      <c r="I116" s="32">
        <f t="shared" si="350"/>
        <v>0</v>
      </c>
      <c r="J116" s="32">
        <f t="shared" si="300"/>
        <v>0</v>
      </c>
      <c r="K116" s="33"/>
      <c r="L116" s="70">
        <f>L99</f>
        <v>9</v>
      </c>
      <c r="M116" s="59" t="s">
        <v>53</v>
      </c>
      <c r="N116" s="72">
        <f t="shared" ref="N116:R116" si="351">-N39+N99</f>
        <v>0</v>
      </c>
      <c r="O116" s="72">
        <f t="shared" si="351"/>
        <v>0</v>
      </c>
      <c r="P116" s="72">
        <f t="shared" si="351"/>
        <v>0</v>
      </c>
      <c r="Q116" s="72">
        <f t="shared" si="351"/>
        <v>0</v>
      </c>
      <c r="R116" s="72">
        <f t="shared" si="351"/>
        <v>0</v>
      </c>
      <c r="S116" s="72">
        <f t="shared" si="302"/>
        <v>0</v>
      </c>
      <c r="T116" s="73"/>
      <c r="U116" s="70">
        <f>U99</f>
        <v>9</v>
      </c>
      <c r="V116" s="59" t="s">
        <v>53</v>
      </c>
      <c r="W116" s="72">
        <f t="shared" si="303"/>
        <v>0</v>
      </c>
      <c r="X116" s="72">
        <f t="shared" si="304"/>
        <v>0</v>
      </c>
      <c r="Y116" s="72">
        <f t="shared" si="305"/>
        <v>0</v>
      </c>
      <c r="Z116" s="72">
        <f t="shared" si="306"/>
        <v>0</v>
      </c>
      <c r="AA116" s="72">
        <f t="shared" si="307"/>
        <v>0</v>
      </c>
      <c r="AB116" s="72">
        <f t="shared" si="308"/>
        <v>0</v>
      </c>
      <c r="AC116" s="49"/>
      <c r="AD116" s="19"/>
      <c r="AH116" s="20"/>
      <c r="AI116" s="70"/>
      <c r="AJ116" s="70"/>
      <c r="AK116" s="42"/>
      <c r="AL116" s="42"/>
      <c r="AM116" s="42"/>
      <c r="AN116" s="42"/>
      <c r="AO116" s="42"/>
      <c r="AP116" s="42"/>
      <c r="AQ116" s="33"/>
      <c r="AR116" s="71"/>
      <c r="AS116" s="71"/>
      <c r="AT116" s="86"/>
      <c r="AU116" s="86"/>
      <c r="AV116" s="86"/>
      <c r="AW116" s="86"/>
      <c r="AX116" s="86"/>
      <c r="AY116" s="86"/>
      <c r="AZ116" s="73"/>
      <c r="BA116" s="6"/>
      <c r="BB116" s="71"/>
      <c r="BC116" s="158"/>
      <c r="BD116" s="86"/>
      <c r="BE116" s="86"/>
      <c r="BF116" s="86"/>
      <c r="BG116" s="86"/>
      <c r="BH116" s="159"/>
      <c r="BI116" s="165"/>
      <c r="BJ116" s="166"/>
    </row>
    <row r="117" spans="2:62" ht="15.75" customHeight="1" outlineLevel="1">
      <c r="B117" s="18"/>
      <c r="C117" s="164">
        <v>6</v>
      </c>
      <c r="D117" s="59" t="s">
        <v>56</v>
      </c>
      <c r="E117" s="32">
        <f t="shared" ref="E117:I117" si="352">E40-E100</f>
        <v>0</v>
      </c>
      <c r="F117" s="32">
        <f t="shared" si="352"/>
        <v>0</v>
      </c>
      <c r="G117" s="32">
        <f t="shared" si="352"/>
        <v>0</v>
      </c>
      <c r="H117" s="32">
        <f t="shared" si="352"/>
        <v>0</v>
      </c>
      <c r="I117" s="32">
        <f t="shared" si="352"/>
        <v>0</v>
      </c>
      <c r="J117" s="32">
        <f t="shared" si="300"/>
        <v>0</v>
      </c>
      <c r="K117" s="33"/>
      <c r="L117" s="164">
        <v>6</v>
      </c>
      <c r="M117" s="59" t="s">
        <v>56</v>
      </c>
      <c r="N117" s="72">
        <f t="shared" ref="N117:R117" si="353">-N40+N100</f>
        <v>0</v>
      </c>
      <c r="O117" s="72">
        <f t="shared" si="353"/>
        <v>0</v>
      </c>
      <c r="P117" s="72">
        <f t="shared" si="353"/>
        <v>0</v>
      </c>
      <c r="Q117" s="72">
        <f t="shared" si="353"/>
        <v>0</v>
      </c>
      <c r="R117" s="72">
        <f t="shared" si="353"/>
        <v>0</v>
      </c>
      <c r="S117" s="72">
        <f t="shared" si="302"/>
        <v>0</v>
      </c>
      <c r="T117" s="73"/>
      <c r="U117" s="164">
        <v>6</v>
      </c>
      <c r="V117" s="59" t="s">
        <v>56</v>
      </c>
      <c r="W117" s="72">
        <f t="shared" si="303"/>
        <v>0</v>
      </c>
      <c r="X117" s="72">
        <f t="shared" si="304"/>
        <v>0</v>
      </c>
      <c r="Y117" s="72">
        <f t="shared" si="305"/>
        <v>0</v>
      </c>
      <c r="Z117" s="72">
        <f t="shared" si="306"/>
        <v>0</v>
      </c>
      <c r="AA117" s="72">
        <f t="shared" si="307"/>
        <v>0</v>
      </c>
      <c r="AB117" s="72">
        <f t="shared" si="308"/>
        <v>0</v>
      </c>
      <c r="AC117" s="49"/>
      <c r="AD117" s="19"/>
      <c r="AH117" s="20"/>
      <c r="AI117" s="70"/>
      <c r="AJ117" s="70"/>
      <c r="AK117" s="42"/>
      <c r="AL117" s="42"/>
      <c r="AM117" s="42"/>
      <c r="AN117" s="42"/>
      <c r="AO117" s="42"/>
      <c r="AP117" s="42"/>
      <c r="AQ117" s="33"/>
      <c r="AR117" s="71"/>
      <c r="AS117" s="71"/>
      <c r="AT117" s="86"/>
      <c r="AU117" s="86"/>
      <c r="AV117" s="86"/>
      <c r="AW117" s="86"/>
      <c r="AX117" s="86"/>
      <c r="AY117" s="86"/>
      <c r="AZ117" s="73"/>
      <c r="BA117" s="6"/>
      <c r="BB117" s="71"/>
      <c r="BC117" s="158"/>
      <c r="BD117" s="86"/>
      <c r="BE117" s="86"/>
      <c r="BF117" s="86"/>
      <c r="BG117" s="86"/>
      <c r="BH117" s="159"/>
      <c r="BI117" s="165"/>
      <c r="BJ117" s="166"/>
    </row>
    <row r="118" spans="2:62" ht="15.75" customHeight="1" outlineLevel="1">
      <c r="B118" s="18"/>
      <c r="C118" s="70">
        <f>C101</f>
        <v>11</v>
      </c>
      <c r="D118" s="59" t="s">
        <v>60</v>
      </c>
      <c r="E118" s="32">
        <f t="shared" ref="E118:I118" si="354">E41-E101</f>
        <v>0</v>
      </c>
      <c r="F118" s="32">
        <f t="shared" si="354"/>
        <v>0</v>
      </c>
      <c r="G118" s="32">
        <f t="shared" si="354"/>
        <v>-500</v>
      </c>
      <c r="H118" s="32">
        <f t="shared" si="354"/>
        <v>0</v>
      </c>
      <c r="I118" s="32">
        <f t="shared" si="354"/>
        <v>0</v>
      </c>
      <c r="J118" s="32">
        <f t="shared" si="300"/>
        <v>-500</v>
      </c>
      <c r="K118" s="33"/>
      <c r="L118" s="70">
        <f>L101</f>
        <v>11</v>
      </c>
      <c r="M118" s="59" t="s">
        <v>60</v>
      </c>
      <c r="N118" s="72">
        <f t="shared" ref="N118:R118" si="355">-N41+N101</f>
        <v>0</v>
      </c>
      <c r="O118" s="72">
        <f t="shared" si="355"/>
        <v>0</v>
      </c>
      <c r="P118" s="72">
        <f t="shared" si="355"/>
        <v>9.9679033512091071E-3</v>
      </c>
      <c r="Q118" s="72">
        <f t="shared" si="355"/>
        <v>0</v>
      </c>
      <c r="R118" s="72">
        <f t="shared" si="355"/>
        <v>0</v>
      </c>
      <c r="S118" s="72">
        <f t="shared" si="302"/>
        <v>9.9679033512091071E-3</v>
      </c>
      <c r="T118" s="73"/>
      <c r="U118" s="70">
        <f>U101</f>
        <v>11</v>
      </c>
      <c r="V118" s="59" t="s">
        <v>60</v>
      </c>
      <c r="W118" s="72">
        <f t="shared" si="303"/>
        <v>0</v>
      </c>
      <c r="X118" s="72">
        <f t="shared" si="304"/>
        <v>0</v>
      </c>
      <c r="Y118" s="72">
        <f t="shared" si="305"/>
        <v>-0.5</v>
      </c>
      <c r="Z118" s="72">
        <f t="shared" si="306"/>
        <v>0</v>
      </c>
      <c r="AA118" s="72">
        <f t="shared" si="307"/>
        <v>0</v>
      </c>
      <c r="AB118" s="72">
        <f t="shared" si="308"/>
        <v>-0.5</v>
      </c>
      <c r="AC118" s="49"/>
      <c r="AD118" s="19"/>
      <c r="AH118" s="20"/>
      <c r="AI118" s="70">
        <f t="shared" ref="AI118:AJ118" si="356">+AI101</f>
        <v>3</v>
      </c>
      <c r="AJ118" s="70" t="str">
        <f t="shared" si="356"/>
        <v>Mercadotécnia</v>
      </c>
      <c r="AK118" s="42"/>
      <c r="AL118" s="42"/>
      <c r="AM118" s="42"/>
      <c r="AN118" s="42"/>
      <c r="AO118" s="42">
        <f>+AO38-AO101</f>
        <v>-2000</v>
      </c>
      <c r="AP118" s="42">
        <f>SUM(AK118:AO118)</f>
        <v>-2000</v>
      </c>
      <c r="AQ118" s="33">
        <f>+AP118/$J$42</f>
        <v>-3.9871613404836428E-2</v>
      </c>
      <c r="AR118" s="71"/>
      <c r="AS118" s="71" t="str">
        <f t="shared" ref="AS118:AS119" si="357">+AJ118</f>
        <v>Mercadotécnia</v>
      </c>
      <c r="AT118" s="86"/>
      <c r="AU118" s="86"/>
      <c r="AV118" s="86"/>
      <c r="AW118" s="86"/>
      <c r="AX118" s="86">
        <f>+AX38-AX101</f>
        <v>-8.9867445517861078E-3</v>
      </c>
      <c r="AY118" s="86">
        <f>SUM(AT118:AX118)</f>
        <v>-8.9867445517861078E-3</v>
      </c>
      <c r="AZ118" s="73"/>
      <c r="BA118" s="6"/>
      <c r="BB118" s="71" t="str">
        <f>+AS118</f>
        <v>Mercadotécnia</v>
      </c>
      <c r="BC118" s="87"/>
      <c r="BD118" s="88"/>
      <c r="BE118" s="88"/>
      <c r="BF118" s="88"/>
      <c r="BG118" s="88">
        <f>+AO118/$J$38</f>
        <v>-1.6207455429497568</v>
      </c>
      <c r="BH118" s="89">
        <f>SUM(BC118:BG118)</f>
        <v>-1.6207455429497568</v>
      </c>
      <c r="BI118" s="49"/>
      <c r="BJ118" s="24"/>
    </row>
    <row r="119" spans="2:62" ht="18.75" customHeight="1">
      <c r="B119" s="18"/>
      <c r="C119" s="9"/>
      <c r="D119" s="25" t="s">
        <v>85</v>
      </c>
      <c r="E119" s="46">
        <f t="shared" ref="E119:J119" si="358">SUM(E108:E118)</f>
        <v>-13513.840000000002</v>
      </c>
      <c r="F119" s="47">
        <f t="shared" si="358"/>
        <v>-21375.360000000001</v>
      </c>
      <c r="G119" s="47">
        <f t="shared" si="358"/>
        <v>-57712.808000000005</v>
      </c>
      <c r="H119" s="47">
        <f t="shared" si="358"/>
        <v>-74194.923999999999</v>
      </c>
      <c r="I119" s="47">
        <f t="shared" si="358"/>
        <v>-56257.748000000007</v>
      </c>
      <c r="J119" s="48">
        <f t="shared" si="358"/>
        <v>-223054.68</v>
      </c>
      <c r="K119" s="67"/>
      <c r="L119" s="71"/>
      <c r="M119" s="71" t="str">
        <f>+D119</f>
        <v>Total Presupuesto</v>
      </c>
      <c r="N119" s="97">
        <f t="shared" ref="N119:S119" si="359">SUM(N108:N118)</f>
        <v>0.26940930204740743</v>
      </c>
      <c r="O119" s="102">
        <f t="shared" si="359"/>
        <v>0.42613504515460221</v>
      </c>
      <c r="P119" s="102">
        <f t="shared" si="359"/>
        <v>1.1505513845417754</v>
      </c>
      <c r="Q119" s="102">
        <f t="shared" si="359"/>
        <v>1.47913566316461</v>
      </c>
      <c r="R119" s="102">
        <f t="shared" si="359"/>
        <v>1.1215435896413548</v>
      </c>
      <c r="S119" s="98">
        <f t="shared" si="359"/>
        <v>4.4467749845497497</v>
      </c>
      <c r="T119" s="99"/>
      <c r="U119" s="6"/>
      <c r="V119" s="71"/>
      <c r="W119" s="6"/>
      <c r="X119" s="6"/>
      <c r="Y119" s="6"/>
      <c r="Z119" s="6"/>
      <c r="AA119" s="6"/>
      <c r="AB119" s="6"/>
      <c r="AC119" s="49"/>
      <c r="AD119" s="19"/>
      <c r="AH119" s="20"/>
      <c r="AI119" s="9"/>
      <c r="AJ119" s="25" t="s">
        <v>159</v>
      </c>
      <c r="AK119" s="46">
        <f t="shared" ref="AK119:AQ119" si="360">SUM(AK108:AK118)</f>
        <v>33333.333333333336</v>
      </c>
      <c r="AL119" s="47">
        <f t="shared" si="360"/>
        <v>32333.333333333336</v>
      </c>
      <c r="AM119" s="47">
        <f t="shared" si="360"/>
        <v>32333.333333333336</v>
      </c>
      <c r="AN119" s="47">
        <f t="shared" si="360"/>
        <v>36500</v>
      </c>
      <c r="AO119" s="47">
        <f t="shared" si="360"/>
        <v>36583.333333333336</v>
      </c>
      <c r="AP119" s="48">
        <f t="shared" si="360"/>
        <v>171083.33333333334</v>
      </c>
      <c r="AQ119" s="67">
        <f t="shared" si="360"/>
        <v>3.410684263338716</v>
      </c>
      <c r="AR119" s="71"/>
      <c r="AS119" s="71" t="str">
        <f t="shared" si="357"/>
        <v>Total Diferencial - Mejor / (Peor)</v>
      </c>
      <c r="AT119" s="101">
        <f t="shared" ref="AT119:AY119" si="361">SUM(AT108:AT118)</f>
        <v>0.14977907586310191</v>
      </c>
      <c r="AU119" s="102">
        <f t="shared" si="361"/>
        <v>0.14528570358720885</v>
      </c>
      <c r="AV119" s="102">
        <f t="shared" si="361"/>
        <v>0.14528570358720885</v>
      </c>
      <c r="AW119" s="102">
        <f t="shared" si="361"/>
        <v>0.16400808807009659</v>
      </c>
      <c r="AX119" s="102">
        <f t="shared" si="361"/>
        <v>0.16438253575975437</v>
      </c>
      <c r="AY119" s="98">
        <f t="shared" si="361"/>
        <v>0.76874110686737063</v>
      </c>
      <c r="AZ119" s="99"/>
      <c r="BA119" s="6"/>
      <c r="BB119" s="71"/>
      <c r="BC119" s="104" t="s">
        <v>87</v>
      </c>
      <c r="BD119" s="6"/>
      <c r="BE119" s="6"/>
      <c r="BF119" s="6"/>
      <c r="BG119" s="6"/>
      <c r="BH119" s="6"/>
      <c r="BI119" s="49"/>
      <c r="BJ119" s="24"/>
    </row>
    <row r="120" spans="2:62" ht="15.75" customHeight="1">
      <c r="B120" s="18"/>
      <c r="C120" s="9"/>
      <c r="D120" s="25"/>
      <c r="E120" s="51"/>
      <c r="F120" s="51"/>
      <c r="G120" s="51"/>
      <c r="H120" s="51"/>
      <c r="I120" s="51"/>
      <c r="J120" s="51"/>
      <c r="K120" s="49"/>
      <c r="L120" s="71"/>
      <c r="M120" s="49"/>
      <c r="N120" s="49"/>
      <c r="O120" s="49"/>
      <c r="P120" s="49"/>
      <c r="Q120" s="49"/>
      <c r="R120" s="49"/>
      <c r="S120" s="49"/>
      <c r="T120" s="49"/>
      <c r="U120" s="6"/>
      <c r="V120" s="6"/>
      <c r="W120" s="6"/>
      <c r="X120" s="6"/>
      <c r="Y120" s="6"/>
      <c r="Z120" s="6"/>
      <c r="AA120" s="6"/>
      <c r="AB120" s="6"/>
      <c r="AC120" s="6"/>
      <c r="AD120" s="19"/>
      <c r="AH120" s="20"/>
      <c r="AI120" s="9"/>
      <c r="AJ120" s="25"/>
      <c r="AK120" s="51">
        <f t="shared" ref="AK120:AP120" si="362">+AK119/$AP$42</f>
        <v>0.14977907586310191</v>
      </c>
      <c r="AL120" s="51">
        <f t="shared" si="362"/>
        <v>0.14528570358720885</v>
      </c>
      <c r="AM120" s="51">
        <f t="shared" si="362"/>
        <v>0.14528570358720885</v>
      </c>
      <c r="AN120" s="51">
        <f t="shared" si="362"/>
        <v>0.16400808807009659</v>
      </c>
      <c r="AO120" s="51">
        <f t="shared" si="362"/>
        <v>0.16438253575975434</v>
      </c>
      <c r="AP120" s="51">
        <f t="shared" si="362"/>
        <v>0.76874110686737052</v>
      </c>
      <c r="AQ120" s="49"/>
      <c r="AR120" s="71"/>
      <c r="AS120" s="49"/>
      <c r="AT120" s="56" t="s">
        <v>160</v>
      </c>
      <c r="AU120" s="49"/>
      <c r="AV120" s="49"/>
      <c r="AW120" s="49"/>
      <c r="AX120" s="49"/>
      <c r="AY120" s="49"/>
      <c r="AZ120" s="49"/>
      <c r="BA120" s="6"/>
      <c r="BB120" s="6"/>
      <c r="BC120" s="6"/>
      <c r="BD120" s="6"/>
      <c r="BE120" s="6"/>
      <c r="BF120" s="6"/>
      <c r="BG120" s="6"/>
      <c r="BH120" s="6"/>
      <c r="BI120" s="6"/>
      <c r="BJ120" s="24"/>
    </row>
    <row r="121" spans="2:62" ht="15.75" customHeight="1">
      <c r="B121" s="105"/>
      <c r="C121" s="106"/>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c r="AA121" s="108"/>
      <c r="AB121" s="108"/>
      <c r="AC121" s="108"/>
      <c r="AD121" s="109"/>
      <c r="AH121" s="110"/>
      <c r="AI121" s="111"/>
      <c r="AJ121" s="114"/>
      <c r="AK121" s="167" t="s">
        <v>161</v>
      </c>
      <c r="AL121" s="114"/>
      <c r="AM121" s="114"/>
      <c r="AN121" s="114"/>
      <c r="AO121" s="114"/>
      <c r="AP121" s="114"/>
      <c r="AQ121" s="114"/>
      <c r="AR121" s="114"/>
      <c r="AS121" s="114"/>
      <c r="AT121" s="114"/>
      <c r="AU121" s="114"/>
      <c r="AV121" s="114"/>
      <c r="AW121" s="114"/>
      <c r="AX121" s="114"/>
      <c r="AY121" s="114"/>
      <c r="AZ121" s="114"/>
      <c r="BA121" s="114"/>
      <c r="BB121" s="114"/>
      <c r="BC121" s="114"/>
      <c r="BD121" s="114"/>
      <c r="BE121" s="114"/>
      <c r="BF121" s="114"/>
      <c r="BG121" s="114"/>
      <c r="BH121" s="114"/>
      <c r="BI121" s="114"/>
      <c r="BJ121" s="115"/>
    </row>
    <row r="122" spans="2:62" ht="15.75" customHeight="1">
      <c r="C122" s="9"/>
      <c r="AI122" s="9"/>
    </row>
    <row r="123" spans="2:62" ht="15.75" customHeight="1">
      <c r="B123" s="11"/>
      <c r="C123" s="116"/>
      <c r="D123" s="13"/>
      <c r="E123" s="13"/>
      <c r="F123" s="13"/>
      <c r="G123" s="13"/>
      <c r="H123" s="13"/>
      <c r="I123" s="13"/>
      <c r="J123" s="13"/>
      <c r="K123" s="13"/>
      <c r="L123" s="13"/>
      <c r="M123" s="13"/>
      <c r="N123" s="13"/>
      <c r="O123" s="13"/>
      <c r="P123" s="13"/>
      <c r="Q123" s="13"/>
      <c r="R123" s="13"/>
      <c r="S123" s="14"/>
      <c r="AH123" s="15"/>
      <c r="AI123" s="118"/>
      <c r="AJ123" s="168" t="s">
        <v>162</v>
      </c>
      <c r="AK123" s="16"/>
      <c r="AL123" s="16"/>
      <c r="AM123" s="16"/>
      <c r="AN123" s="16"/>
      <c r="AO123" s="16"/>
      <c r="AP123" s="16"/>
      <c r="AQ123" s="16"/>
      <c r="AR123" s="16"/>
      <c r="AS123" s="168" t="s">
        <v>163</v>
      </c>
      <c r="AT123" s="169" t="s">
        <v>164</v>
      </c>
      <c r="AU123" s="16"/>
      <c r="AV123" s="16"/>
      <c r="AW123" s="16"/>
      <c r="AX123" s="16"/>
      <c r="AY123" s="17"/>
    </row>
    <row r="124" spans="2:62" ht="24">
      <c r="B124" s="18"/>
      <c r="C124" s="120" t="s">
        <v>165</v>
      </c>
      <c r="D124" s="6"/>
      <c r="E124" s="6"/>
      <c r="F124" s="6"/>
      <c r="G124" s="6"/>
      <c r="H124" s="6"/>
      <c r="I124" s="6"/>
      <c r="J124" s="6"/>
      <c r="K124" s="6"/>
      <c r="L124" s="6"/>
      <c r="M124" s="6"/>
      <c r="N124" s="170" t="s">
        <v>166</v>
      </c>
      <c r="O124" s="6"/>
      <c r="P124" s="6"/>
      <c r="Q124" s="6"/>
      <c r="R124" s="6"/>
      <c r="S124" s="19"/>
      <c r="AH124" s="20"/>
      <c r="AI124" s="9"/>
      <c r="AJ124" s="22"/>
      <c r="AK124" s="121" t="s">
        <v>167</v>
      </c>
      <c r="AL124" s="6"/>
      <c r="AM124" s="6"/>
      <c r="AN124" s="6"/>
      <c r="AO124" s="6"/>
      <c r="AP124" s="6"/>
      <c r="AQ124" s="6"/>
      <c r="AR124" s="6"/>
      <c r="AS124" s="6"/>
      <c r="AT124" s="170" t="s">
        <v>166</v>
      </c>
      <c r="AU124" s="6"/>
      <c r="AV124" s="6"/>
      <c r="AW124" s="6"/>
      <c r="AX124" s="6"/>
      <c r="AY124" s="24"/>
    </row>
    <row r="125" spans="2:62" ht="15.75" customHeight="1">
      <c r="B125" s="18"/>
      <c r="C125" s="22" t="s">
        <v>168</v>
      </c>
      <c r="D125" s="6"/>
      <c r="E125" s="30" t="s">
        <v>22</v>
      </c>
      <c r="F125" s="30" t="s">
        <v>23</v>
      </c>
      <c r="G125" s="30" t="s">
        <v>24</v>
      </c>
      <c r="H125" s="30" t="s">
        <v>25</v>
      </c>
      <c r="I125" s="30" t="s">
        <v>26</v>
      </c>
      <c r="J125" s="30" t="s">
        <v>27</v>
      </c>
      <c r="K125" s="6"/>
      <c r="L125" s="6"/>
      <c r="M125" s="22" t="s">
        <v>169</v>
      </c>
      <c r="N125" s="30" t="str">
        <f>+E125</f>
        <v>Sem 1</v>
      </c>
      <c r="O125" s="30" t="s">
        <v>170</v>
      </c>
      <c r="P125" s="30" t="s">
        <v>171</v>
      </c>
      <c r="Q125" s="30" t="s">
        <v>172</v>
      </c>
      <c r="R125" s="30" t="s">
        <v>173</v>
      </c>
      <c r="S125" s="171"/>
      <c r="AH125" s="20"/>
      <c r="AI125" s="9"/>
      <c r="AJ125" s="6"/>
      <c r="AK125" s="30" t="s">
        <v>22</v>
      </c>
      <c r="AL125" s="30" t="s">
        <v>23</v>
      </c>
      <c r="AM125" s="30" t="s">
        <v>24</v>
      </c>
      <c r="AN125" s="30" t="s">
        <v>25</v>
      </c>
      <c r="AO125" s="30" t="s">
        <v>26</v>
      </c>
      <c r="AP125" s="30" t="s">
        <v>27</v>
      </c>
      <c r="AQ125" s="6"/>
      <c r="AR125" s="6"/>
      <c r="AS125" s="30"/>
      <c r="AT125" s="30" t="str">
        <f>+AK125</f>
        <v>Sem 1</v>
      </c>
      <c r="AU125" s="30" t="s">
        <v>170</v>
      </c>
      <c r="AV125" s="30" t="s">
        <v>171</v>
      </c>
      <c r="AW125" s="30" t="s">
        <v>172</v>
      </c>
      <c r="AX125" s="30" t="s">
        <v>173</v>
      </c>
      <c r="AY125" s="172"/>
    </row>
    <row r="126" spans="2:62" ht="15.75" customHeight="1">
      <c r="B126" s="18"/>
      <c r="C126" s="9"/>
      <c r="D126" s="173" t="s">
        <v>5</v>
      </c>
      <c r="E126" s="6"/>
      <c r="F126" s="6"/>
      <c r="G126" s="6"/>
      <c r="H126" s="6"/>
      <c r="I126" s="6"/>
      <c r="J126" s="6"/>
      <c r="K126" s="6"/>
      <c r="L126" s="6"/>
      <c r="M126" s="173" t="s">
        <v>5</v>
      </c>
      <c r="N126" s="6"/>
      <c r="O126" s="6"/>
      <c r="P126" s="6"/>
      <c r="Q126" s="6"/>
      <c r="R126" s="6"/>
      <c r="S126" s="19"/>
      <c r="AH126" s="20"/>
      <c r="AI126" s="9"/>
      <c r="AJ126" s="173" t="s">
        <v>5</v>
      </c>
      <c r="AK126" s="6"/>
      <c r="AL126" s="6"/>
      <c r="AM126" s="6"/>
      <c r="AN126" s="6"/>
      <c r="AO126" s="6"/>
      <c r="AP126" s="6"/>
      <c r="AQ126" s="6"/>
      <c r="AR126" s="6"/>
      <c r="AS126" s="173" t="s">
        <v>5</v>
      </c>
      <c r="AT126" s="149" t="s">
        <v>22</v>
      </c>
      <c r="AU126" s="149" t="s">
        <v>174</v>
      </c>
      <c r="AV126" s="149" t="s">
        <v>175</v>
      </c>
      <c r="AW126" s="149" t="s">
        <v>176</v>
      </c>
      <c r="AX126" s="149" t="s">
        <v>177</v>
      </c>
      <c r="AY126" s="174"/>
    </row>
    <row r="127" spans="2:62" ht="15.75" customHeight="1">
      <c r="B127" s="18"/>
      <c r="C127" s="9"/>
      <c r="D127" s="64" t="s">
        <v>178</v>
      </c>
      <c r="E127" s="175">
        <f t="shared" ref="E127:J127" si="363">E42</f>
        <v>14802</v>
      </c>
      <c r="F127" s="175">
        <f t="shared" si="363"/>
        <v>12653</v>
      </c>
      <c r="G127" s="175">
        <f t="shared" si="363"/>
        <v>16355</v>
      </c>
      <c r="H127" s="175">
        <f t="shared" si="363"/>
        <v>4617</v>
      </c>
      <c r="I127" s="175">
        <f t="shared" si="363"/>
        <v>1734</v>
      </c>
      <c r="J127" s="175">
        <f t="shared" si="363"/>
        <v>50161</v>
      </c>
      <c r="L127" s="6"/>
      <c r="M127" s="64" t="s">
        <v>178</v>
      </c>
      <c r="N127" s="175">
        <f t="shared" ref="N127:N129" si="364">E127</f>
        <v>14802</v>
      </c>
      <c r="O127" s="175">
        <f t="shared" ref="O127:R127" si="365">N127+F127</f>
        <v>27455</v>
      </c>
      <c r="P127" s="175">
        <f t="shared" si="365"/>
        <v>43810</v>
      </c>
      <c r="Q127" s="175">
        <f t="shared" si="365"/>
        <v>48427</v>
      </c>
      <c r="R127" s="175">
        <f t="shared" si="365"/>
        <v>50161</v>
      </c>
      <c r="S127" s="19"/>
      <c r="AH127" s="20"/>
      <c r="AI127" s="9"/>
      <c r="AJ127" s="64" t="s">
        <v>178</v>
      </c>
      <c r="AK127" s="175">
        <f t="shared" ref="AK127:AO127" si="366">+AK42</f>
        <v>50000</v>
      </c>
      <c r="AL127" s="175">
        <f t="shared" si="366"/>
        <v>41533.333333333336</v>
      </c>
      <c r="AM127" s="175">
        <f t="shared" si="366"/>
        <v>33533.333333333336</v>
      </c>
      <c r="AN127" s="175">
        <f t="shared" si="366"/>
        <v>37700</v>
      </c>
      <c r="AO127" s="175">
        <f t="shared" si="366"/>
        <v>59783.333333333336</v>
      </c>
      <c r="AP127" s="175">
        <f t="shared" ref="AP127:AP132" si="367">SUM(AK127:AO127)</f>
        <v>222550.00000000003</v>
      </c>
      <c r="AQ127" s="6"/>
      <c r="AR127" s="6"/>
      <c r="AS127" s="64" t="s">
        <v>178</v>
      </c>
      <c r="AT127" s="176">
        <f t="shared" ref="AT127:AT132" si="368">+AK127</f>
        <v>50000</v>
      </c>
      <c r="AU127" s="176">
        <f t="shared" ref="AU127:AU132" si="369">+AK127+AL127</f>
        <v>91533.333333333343</v>
      </c>
      <c r="AV127" s="176">
        <f t="shared" ref="AV127:AV132" si="370">+AK127+AL127+AM127</f>
        <v>125066.66666666669</v>
      </c>
      <c r="AW127" s="176">
        <f t="shared" ref="AW127:AW132" si="371">+AL127+AM127+AN127+AK127</f>
        <v>162766.66666666669</v>
      </c>
      <c r="AX127" s="176">
        <f t="shared" ref="AX127:AX132" si="372">+AM127+AN127+AO127+AK127+AL127</f>
        <v>222550.00000000003</v>
      </c>
      <c r="AY127" s="24"/>
    </row>
    <row r="128" spans="2:62" ht="15.75" customHeight="1">
      <c r="B128" s="18"/>
      <c r="C128" s="9"/>
      <c r="D128" s="64" t="s">
        <v>179</v>
      </c>
      <c r="E128" s="175">
        <f t="shared" ref="E128:J128" si="373">E129+E130</f>
        <v>47.52</v>
      </c>
      <c r="F128" s="175">
        <f t="shared" si="373"/>
        <v>92.88</v>
      </c>
      <c r="G128" s="175">
        <f t="shared" si="373"/>
        <v>311.904</v>
      </c>
      <c r="H128" s="175">
        <f t="shared" si="373"/>
        <v>331.99200000000002</v>
      </c>
      <c r="I128" s="175">
        <f t="shared" si="373"/>
        <v>258.98400000000004</v>
      </c>
      <c r="J128" s="175">
        <f t="shared" si="373"/>
        <v>1043.2800000000002</v>
      </c>
      <c r="K128" s="6"/>
      <c r="L128" s="6"/>
      <c r="M128" s="64" t="s">
        <v>179</v>
      </c>
      <c r="N128" s="175">
        <f t="shared" si="364"/>
        <v>47.52</v>
      </c>
      <c r="O128" s="175">
        <f t="shared" ref="O128:R128" si="374">N128+F128</f>
        <v>140.4</v>
      </c>
      <c r="P128" s="175">
        <f t="shared" si="374"/>
        <v>452.30399999999997</v>
      </c>
      <c r="Q128" s="175">
        <f t="shared" si="374"/>
        <v>784.29600000000005</v>
      </c>
      <c r="R128" s="175">
        <f t="shared" si="374"/>
        <v>1043.2800000000002</v>
      </c>
      <c r="S128" s="19"/>
      <c r="AH128" s="20"/>
      <c r="AI128" s="9"/>
      <c r="AJ128" s="64" t="s">
        <v>179</v>
      </c>
      <c r="AK128" s="175">
        <f t="shared" ref="AK128:AO128" si="375">+AT18+BC18</f>
        <v>120</v>
      </c>
      <c r="AL128" s="175">
        <f t="shared" si="375"/>
        <v>140</v>
      </c>
      <c r="AM128" s="175">
        <f t="shared" si="375"/>
        <v>140</v>
      </c>
      <c r="AN128" s="175">
        <f t="shared" si="375"/>
        <v>150</v>
      </c>
      <c r="AO128" s="175">
        <f t="shared" si="375"/>
        <v>155</v>
      </c>
      <c r="AP128" s="175">
        <f t="shared" si="367"/>
        <v>705</v>
      </c>
      <c r="AQ128" s="6"/>
      <c r="AR128" s="6"/>
      <c r="AS128" s="64" t="s">
        <v>179</v>
      </c>
      <c r="AT128" s="175">
        <f t="shared" si="368"/>
        <v>120</v>
      </c>
      <c r="AU128" s="175">
        <f t="shared" si="369"/>
        <v>260</v>
      </c>
      <c r="AV128" s="175">
        <f t="shared" si="370"/>
        <v>400</v>
      </c>
      <c r="AW128" s="175">
        <f t="shared" si="371"/>
        <v>550</v>
      </c>
      <c r="AX128" s="175">
        <f t="shared" si="372"/>
        <v>705</v>
      </c>
      <c r="AY128" s="24"/>
    </row>
    <row r="129" spans="2:54" ht="15.75" customHeight="1">
      <c r="B129" s="18"/>
      <c r="C129" s="9"/>
      <c r="D129" s="64" t="s">
        <v>180</v>
      </c>
      <c r="E129" s="175">
        <f t="shared" ref="E129:J129" si="376">N78</f>
        <v>47.52</v>
      </c>
      <c r="F129" s="175">
        <f t="shared" si="376"/>
        <v>55.08</v>
      </c>
      <c r="G129" s="175">
        <f t="shared" si="376"/>
        <v>35.423999999999999</v>
      </c>
      <c r="H129" s="175">
        <f t="shared" si="376"/>
        <v>38.771999999999998</v>
      </c>
      <c r="I129" s="175">
        <f t="shared" si="376"/>
        <v>26.244</v>
      </c>
      <c r="J129" s="175">
        <f t="shared" si="376"/>
        <v>203.04</v>
      </c>
      <c r="K129" s="6"/>
      <c r="L129" s="6"/>
      <c r="M129" s="64" t="s">
        <v>180</v>
      </c>
      <c r="N129" s="175">
        <f t="shared" si="364"/>
        <v>47.52</v>
      </c>
      <c r="O129" s="175">
        <f t="shared" ref="O129:R129" si="377">N129+F129</f>
        <v>102.6</v>
      </c>
      <c r="P129" s="175">
        <f t="shared" si="377"/>
        <v>138.024</v>
      </c>
      <c r="Q129" s="175">
        <f t="shared" si="377"/>
        <v>176.79599999999999</v>
      </c>
      <c r="R129" s="175">
        <f t="shared" si="377"/>
        <v>203.04</v>
      </c>
      <c r="S129" s="19"/>
      <c r="AH129" s="20"/>
      <c r="AI129" s="9"/>
      <c r="AJ129" s="64" t="s">
        <v>180</v>
      </c>
      <c r="AK129" s="175">
        <f t="shared" ref="AK129:AO129" si="378">+AT18</f>
        <v>120</v>
      </c>
      <c r="AL129" s="175">
        <f t="shared" si="378"/>
        <v>20</v>
      </c>
      <c r="AM129" s="175">
        <f t="shared" si="378"/>
        <v>20</v>
      </c>
      <c r="AN129" s="175">
        <f t="shared" si="378"/>
        <v>30</v>
      </c>
      <c r="AO129" s="175">
        <f t="shared" si="378"/>
        <v>35</v>
      </c>
      <c r="AP129" s="175">
        <f t="shared" si="367"/>
        <v>225</v>
      </c>
      <c r="AQ129" s="6"/>
      <c r="AR129" s="6"/>
      <c r="AS129" s="64" t="s">
        <v>180</v>
      </c>
      <c r="AT129" s="175">
        <f t="shared" si="368"/>
        <v>120</v>
      </c>
      <c r="AU129" s="175">
        <f t="shared" si="369"/>
        <v>140</v>
      </c>
      <c r="AV129" s="175">
        <f t="shared" si="370"/>
        <v>160</v>
      </c>
      <c r="AW129" s="175">
        <f t="shared" si="371"/>
        <v>190</v>
      </c>
      <c r="AX129" s="175">
        <f t="shared" si="372"/>
        <v>225</v>
      </c>
      <c r="AY129" s="24"/>
    </row>
    <row r="130" spans="2:54" ht="15.75" customHeight="1">
      <c r="B130" s="18"/>
      <c r="C130" s="9"/>
      <c r="D130" s="64" t="s">
        <v>42</v>
      </c>
      <c r="E130" s="175">
        <f t="shared" ref="E130:J130" si="379">W78</f>
        <v>0</v>
      </c>
      <c r="F130" s="175">
        <f t="shared" si="379"/>
        <v>37.800000000000004</v>
      </c>
      <c r="G130" s="175">
        <f t="shared" si="379"/>
        <v>276.48</v>
      </c>
      <c r="H130" s="175">
        <f t="shared" si="379"/>
        <v>293.22000000000003</v>
      </c>
      <c r="I130" s="175">
        <f t="shared" si="379"/>
        <v>232.74000000000004</v>
      </c>
      <c r="J130" s="175">
        <f t="shared" si="379"/>
        <v>840.24000000000012</v>
      </c>
      <c r="K130" s="6"/>
      <c r="L130" s="6"/>
      <c r="M130" s="64" t="s">
        <v>42</v>
      </c>
      <c r="N130" s="175">
        <f t="shared" ref="N130:N132" si="380">+E130</f>
        <v>0</v>
      </c>
      <c r="O130" s="175">
        <f t="shared" ref="O130:R130" si="381">F130+N130</f>
        <v>37.800000000000004</v>
      </c>
      <c r="P130" s="175">
        <f t="shared" si="381"/>
        <v>314.28000000000003</v>
      </c>
      <c r="Q130" s="175">
        <f t="shared" si="381"/>
        <v>607.5</v>
      </c>
      <c r="R130" s="175">
        <f t="shared" si="381"/>
        <v>840.24</v>
      </c>
      <c r="S130" s="19"/>
      <c r="AH130" s="20"/>
      <c r="AI130" s="9"/>
      <c r="AJ130" s="64" t="s">
        <v>42</v>
      </c>
      <c r="AK130" s="175">
        <f t="shared" ref="AK130:AO130" si="382">+BC18</f>
        <v>0</v>
      </c>
      <c r="AL130" s="175">
        <f t="shared" si="382"/>
        <v>120</v>
      </c>
      <c r="AM130" s="175">
        <f t="shared" si="382"/>
        <v>120</v>
      </c>
      <c r="AN130" s="175">
        <f t="shared" si="382"/>
        <v>120</v>
      </c>
      <c r="AO130" s="175">
        <f t="shared" si="382"/>
        <v>120</v>
      </c>
      <c r="AP130" s="175">
        <f t="shared" si="367"/>
        <v>480</v>
      </c>
      <c r="AQ130" s="6"/>
      <c r="AR130" s="6"/>
      <c r="AS130" s="64" t="s">
        <v>42</v>
      </c>
      <c r="AT130" s="175">
        <f t="shared" si="368"/>
        <v>0</v>
      </c>
      <c r="AU130" s="175">
        <f t="shared" si="369"/>
        <v>120</v>
      </c>
      <c r="AV130" s="175">
        <f t="shared" si="370"/>
        <v>240</v>
      </c>
      <c r="AW130" s="175">
        <f t="shared" si="371"/>
        <v>360</v>
      </c>
      <c r="AX130" s="175">
        <f t="shared" si="372"/>
        <v>480</v>
      </c>
      <c r="AY130" s="24"/>
    </row>
    <row r="131" spans="2:54" ht="15.75" customHeight="1">
      <c r="B131" s="18"/>
      <c r="C131" s="9"/>
      <c r="D131" s="64" t="s">
        <v>181</v>
      </c>
      <c r="E131" s="129">
        <f t="shared" ref="E131:J131" si="383">N42</f>
        <v>0.29508981080919439</v>
      </c>
      <c r="F131" s="129">
        <f t="shared" si="383"/>
        <v>0.25224776220569767</v>
      </c>
      <c r="G131" s="129">
        <f t="shared" si="383"/>
        <v>0.32605011861804994</v>
      </c>
      <c r="H131" s="129">
        <f t="shared" si="383"/>
        <v>9.2043619545064889E-2</v>
      </c>
      <c r="I131" s="129">
        <f t="shared" si="383"/>
        <v>3.4568688821993182E-2</v>
      </c>
      <c r="J131" s="129">
        <f t="shared" si="383"/>
        <v>1</v>
      </c>
      <c r="K131" s="6"/>
      <c r="L131" s="6"/>
      <c r="M131" s="64" t="s">
        <v>181</v>
      </c>
      <c r="N131" s="129">
        <f t="shared" si="380"/>
        <v>0.29508981080919439</v>
      </c>
      <c r="O131" s="129">
        <f t="shared" ref="O131:R131" si="384">N131+F131</f>
        <v>0.54733757301489205</v>
      </c>
      <c r="P131" s="129">
        <f t="shared" si="384"/>
        <v>0.87338769163294194</v>
      </c>
      <c r="Q131" s="129">
        <f t="shared" si="384"/>
        <v>0.96543131117800685</v>
      </c>
      <c r="R131" s="129">
        <f t="shared" si="384"/>
        <v>1</v>
      </c>
      <c r="S131" s="19"/>
      <c r="AH131" s="20"/>
      <c r="AI131" s="9"/>
      <c r="AJ131" s="64" t="s">
        <v>181</v>
      </c>
      <c r="AK131" s="129">
        <f t="shared" ref="AK131:AO131" si="385">+AT42</f>
        <v>0.22466861379465286</v>
      </c>
      <c r="AL131" s="129">
        <f t="shared" si="385"/>
        <v>0.18662472852542497</v>
      </c>
      <c r="AM131" s="129">
        <f t="shared" si="385"/>
        <v>0.15067775031828051</v>
      </c>
      <c r="AN131" s="129">
        <f t="shared" si="385"/>
        <v>0.16940013480116825</v>
      </c>
      <c r="AO131" s="129">
        <f t="shared" si="385"/>
        <v>0.26862877256047329</v>
      </c>
      <c r="AP131" s="129">
        <f t="shared" si="367"/>
        <v>0.99999999999999978</v>
      </c>
      <c r="AQ131" s="6"/>
      <c r="AR131" s="6"/>
      <c r="AS131" s="64" t="s">
        <v>181</v>
      </c>
      <c r="AT131" s="129">
        <f t="shared" si="368"/>
        <v>0.22466861379465286</v>
      </c>
      <c r="AU131" s="129">
        <f t="shared" si="369"/>
        <v>0.41129334232007786</v>
      </c>
      <c r="AV131" s="129">
        <f t="shared" si="370"/>
        <v>0.56197109263835832</v>
      </c>
      <c r="AW131" s="129">
        <f t="shared" si="371"/>
        <v>0.73137122743952654</v>
      </c>
      <c r="AX131" s="129">
        <f t="shared" si="372"/>
        <v>0.99999999999999989</v>
      </c>
      <c r="AY131" s="24"/>
    </row>
    <row r="132" spans="2:54" ht="15.75" customHeight="1">
      <c r="B132" s="18"/>
      <c r="C132" s="9"/>
      <c r="D132" s="64" t="s">
        <v>182</v>
      </c>
      <c r="E132" s="129">
        <f t="shared" ref="E132:J132" si="386">E43</f>
        <v>0.29508981080919439</v>
      </c>
      <c r="F132" s="129">
        <f t="shared" si="386"/>
        <v>0.25224776220569767</v>
      </c>
      <c r="G132" s="129">
        <f t="shared" si="386"/>
        <v>0.32605011861804989</v>
      </c>
      <c r="H132" s="129">
        <f t="shared" si="386"/>
        <v>9.2043619545064889E-2</v>
      </c>
      <c r="I132" s="129">
        <f t="shared" si="386"/>
        <v>3.4568688821993182E-2</v>
      </c>
      <c r="J132" s="129">
        <f t="shared" si="386"/>
        <v>1</v>
      </c>
      <c r="K132" s="6"/>
      <c r="L132" s="6"/>
      <c r="M132" s="64" t="s">
        <v>182</v>
      </c>
      <c r="N132" s="129">
        <f t="shared" si="380"/>
        <v>0.29508981080919439</v>
      </c>
      <c r="O132" s="129">
        <f t="shared" ref="O132:R132" si="387">N132+F132</f>
        <v>0.54733757301489205</v>
      </c>
      <c r="P132" s="129">
        <f t="shared" si="387"/>
        <v>0.87338769163294194</v>
      </c>
      <c r="Q132" s="129">
        <f t="shared" si="387"/>
        <v>0.96543131117800685</v>
      </c>
      <c r="R132" s="129">
        <f t="shared" si="387"/>
        <v>1</v>
      </c>
      <c r="S132" s="19"/>
      <c r="AH132" s="20"/>
      <c r="AI132" s="9"/>
      <c r="AJ132" s="64" t="s">
        <v>182</v>
      </c>
      <c r="AK132" s="129">
        <f t="shared" ref="AK132:AO132" si="388">+AK43</f>
        <v>0.22466861379465286</v>
      </c>
      <c r="AL132" s="129">
        <f t="shared" si="388"/>
        <v>0.18662472852542497</v>
      </c>
      <c r="AM132" s="129">
        <f t="shared" si="388"/>
        <v>0.15067775031828054</v>
      </c>
      <c r="AN132" s="129">
        <f t="shared" si="388"/>
        <v>0.16940013480116825</v>
      </c>
      <c r="AO132" s="129">
        <f t="shared" si="388"/>
        <v>0.26862877256047329</v>
      </c>
      <c r="AP132" s="129">
        <f t="shared" si="367"/>
        <v>1</v>
      </c>
      <c r="AQ132" s="6"/>
      <c r="AR132" s="6"/>
      <c r="AS132" s="64" t="s">
        <v>182</v>
      </c>
      <c r="AT132" s="129">
        <f t="shared" si="368"/>
        <v>0.22466861379465286</v>
      </c>
      <c r="AU132" s="129">
        <f t="shared" si="369"/>
        <v>0.41129334232007786</v>
      </c>
      <c r="AV132" s="129">
        <f t="shared" si="370"/>
        <v>0.56197109263835843</v>
      </c>
      <c r="AW132" s="129">
        <f t="shared" si="371"/>
        <v>0.73137122743952665</v>
      </c>
      <c r="AX132" s="129">
        <f t="shared" si="372"/>
        <v>0.99999999999999989</v>
      </c>
      <c r="AY132" s="24"/>
    </row>
    <row r="133" spans="2:54" ht="15.75" customHeight="1">
      <c r="B133" s="18"/>
      <c r="C133" s="9"/>
      <c r="D133" s="6"/>
      <c r="E133" s="6"/>
      <c r="F133" s="6"/>
      <c r="G133" s="6"/>
      <c r="H133" s="6"/>
      <c r="I133" s="6"/>
      <c r="J133" s="6"/>
      <c r="K133" s="6"/>
      <c r="L133" s="6"/>
      <c r="M133" s="6"/>
      <c r="N133" s="6"/>
      <c r="O133" s="6"/>
      <c r="P133" s="6"/>
      <c r="Q133" s="6"/>
      <c r="R133" s="6"/>
      <c r="S133" s="19"/>
      <c r="AH133" s="20"/>
      <c r="AI133" s="9"/>
      <c r="AJ133" s="6"/>
      <c r="AK133" s="6"/>
      <c r="AL133" s="6"/>
      <c r="AM133" s="6"/>
      <c r="AN133" s="6"/>
      <c r="AO133" s="6"/>
      <c r="AP133" s="6"/>
      <c r="AQ133" s="6"/>
      <c r="AR133" s="6"/>
      <c r="AS133" s="6"/>
      <c r="AT133" s="6"/>
      <c r="AU133" s="6"/>
      <c r="AV133" s="6"/>
      <c r="AW133" s="6"/>
      <c r="AX133" s="6"/>
      <c r="AY133" s="24"/>
    </row>
    <row r="134" spans="2:54" ht="15.75" customHeight="1">
      <c r="B134" s="18"/>
      <c r="C134" s="9"/>
      <c r="D134" s="177" t="s">
        <v>183</v>
      </c>
      <c r="E134" s="6"/>
      <c r="F134" s="6"/>
      <c r="G134" s="6"/>
      <c r="H134" s="6"/>
      <c r="I134" s="6"/>
      <c r="J134" s="6"/>
      <c r="K134" s="6"/>
      <c r="L134" s="6"/>
      <c r="M134" s="173" t="s">
        <v>183</v>
      </c>
      <c r="N134" s="6"/>
      <c r="O134" s="6"/>
      <c r="P134" s="6"/>
      <c r="Q134" s="6"/>
      <c r="R134" s="6"/>
      <c r="S134" s="19"/>
      <c r="AH134" s="20"/>
      <c r="AI134" s="9"/>
      <c r="AJ134" s="173" t="s">
        <v>183</v>
      </c>
      <c r="AK134" s="6"/>
      <c r="AL134" s="6"/>
      <c r="AM134" s="6"/>
      <c r="AN134" s="6"/>
      <c r="AO134" s="6"/>
      <c r="AP134" s="6"/>
      <c r="AQ134" s="6"/>
      <c r="AR134" s="6"/>
      <c r="AS134" s="173" t="s">
        <v>183</v>
      </c>
      <c r="AT134" s="6"/>
      <c r="AU134" s="6"/>
      <c r="AV134" s="6"/>
      <c r="AW134" s="6"/>
      <c r="AX134" s="6"/>
      <c r="AY134" s="24"/>
    </row>
    <row r="135" spans="2:54" ht="15.75" customHeight="1">
      <c r="B135" s="18"/>
      <c r="C135" s="9"/>
      <c r="D135" s="64" t="s">
        <v>184</v>
      </c>
      <c r="E135" s="175">
        <f t="shared" ref="E135:J135" si="389">E102</f>
        <v>28315.840000000004</v>
      </c>
      <c r="F135" s="175">
        <f t="shared" si="389"/>
        <v>34028.36</v>
      </c>
      <c r="G135" s="175">
        <f t="shared" si="389"/>
        <v>74067.808000000005</v>
      </c>
      <c r="H135" s="175">
        <f t="shared" si="389"/>
        <v>78811.923999999999</v>
      </c>
      <c r="I135" s="175">
        <f t="shared" si="389"/>
        <v>57991.748000000007</v>
      </c>
      <c r="J135" s="175">
        <f t="shared" si="389"/>
        <v>273215.68</v>
      </c>
      <c r="K135" s="6"/>
      <c r="L135" s="6"/>
      <c r="M135" s="64" t="s">
        <v>184</v>
      </c>
      <c r="N135" s="175">
        <f t="shared" ref="N135:N136" si="390">+E135</f>
        <v>28315.840000000004</v>
      </c>
      <c r="O135" s="175">
        <f t="shared" ref="O135:R135" si="391">F135+N135</f>
        <v>62344.200000000004</v>
      </c>
      <c r="P135" s="175">
        <f t="shared" si="391"/>
        <v>136412.008</v>
      </c>
      <c r="Q135" s="175">
        <f t="shared" si="391"/>
        <v>215223.932</v>
      </c>
      <c r="R135" s="175">
        <f t="shared" si="391"/>
        <v>273215.68</v>
      </c>
      <c r="S135" s="19"/>
      <c r="AH135" s="20"/>
      <c r="AI135" s="9"/>
      <c r="AJ135" s="64" t="s">
        <v>184</v>
      </c>
      <c r="AK135" s="175">
        <f t="shared" ref="AK135:AO135" si="392">+AK102</f>
        <v>16666.666666666668</v>
      </c>
      <c r="AL135" s="175">
        <f t="shared" si="392"/>
        <v>9200</v>
      </c>
      <c r="AM135" s="175">
        <f t="shared" si="392"/>
        <v>1200</v>
      </c>
      <c r="AN135" s="175">
        <f t="shared" si="392"/>
        <v>1200</v>
      </c>
      <c r="AO135" s="175">
        <f t="shared" si="392"/>
        <v>37450</v>
      </c>
      <c r="AP135" s="175">
        <f t="shared" ref="AP135:AP136" si="393">SUM(AK135:AO135)</f>
        <v>65716.666666666672</v>
      </c>
      <c r="AQ135" s="6"/>
      <c r="AR135" s="6"/>
      <c r="AS135" s="64" t="s">
        <v>184</v>
      </c>
      <c r="AT135" s="175">
        <f t="shared" ref="AT135:AT136" si="394">+AK135</f>
        <v>16666.666666666668</v>
      </c>
      <c r="AU135" s="175">
        <f t="shared" ref="AU135:AU136" si="395">+AK135+AL135</f>
        <v>25866.666666666668</v>
      </c>
      <c r="AV135" s="175">
        <f t="shared" ref="AV135:AV136" si="396">SUM(AK135:AM135)</f>
        <v>27066.666666666668</v>
      </c>
      <c r="AW135" s="175">
        <f t="shared" ref="AW135:AW136" si="397">+AL135+AM135+AN135+AK135</f>
        <v>28266.666666666668</v>
      </c>
      <c r="AX135" s="175">
        <f t="shared" ref="AX135:AX136" si="398">+AM135+AN135+AO135+AK135+AL135</f>
        <v>65716.666666666672</v>
      </c>
      <c r="AY135" s="24"/>
    </row>
    <row r="136" spans="2:54" ht="15.75" customHeight="1">
      <c r="B136" s="18"/>
      <c r="C136" s="9"/>
      <c r="D136" s="178" t="s">
        <v>185</v>
      </c>
      <c r="E136" s="179">
        <f t="shared" ref="E136:J136" si="399">E127-E135</f>
        <v>-13513.840000000004</v>
      </c>
      <c r="F136" s="179">
        <f t="shared" si="399"/>
        <v>-21375.360000000001</v>
      </c>
      <c r="G136" s="179">
        <f t="shared" si="399"/>
        <v>-57712.808000000005</v>
      </c>
      <c r="H136" s="179">
        <f t="shared" si="399"/>
        <v>-74194.923999999999</v>
      </c>
      <c r="I136" s="179">
        <f t="shared" si="399"/>
        <v>-56257.748000000007</v>
      </c>
      <c r="J136" s="179">
        <f t="shared" si="399"/>
        <v>-223054.68</v>
      </c>
      <c r="K136" s="180"/>
      <c r="L136" s="180"/>
      <c r="M136" s="178" t="s">
        <v>185</v>
      </c>
      <c r="N136" s="179">
        <f t="shared" si="390"/>
        <v>-13513.840000000004</v>
      </c>
      <c r="O136" s="175">
        <f t="shared" ref="O136:R136" si="400">F136+N136</f>
        <v>-34889.200000000004</v>
      </c>
      <c r="P136" s="175">
        <f t="shared" si="400"/>
        <v>-92602.008000000002</v>
      </c>
      <c r="Q136" s="175">
        <f t="shared" si="400"/>
        <v>-166796.932</v>
      </c>
      <c r="R136" s="175">
        <f t="shared" si="400"/>
        <v>-223054.68</v>
      </c>
      <c r="S136" s="181"/>
      <c r="T136" s="180"/>
      <c r="U136" s="180"/>
      <c r="V136" s="180"/>
      <c r="AH136" s="20"/>
      <c r="AI136" s="9"/>
      <c r="AJ136" s="178" t="s">
        <v>185</v>
      </c>
      <c r="AK136" s="179">
        <f t="shared" ref="AK136:AO136" si="401">+AK127-AK135</f>
        <v>33333.333333333328</v>
      </c>
      <c r="AL136" s="179">
        <f t="shared" si="401"/>
        <v>32333.333333333336</v>
      </c>
      <c r="AM136" s="179">
        <f t="shared" si="401"/>
        <v>32333.333333333336</v>
      </c>
      <c r="AN136" s="179">
        <f t="shared" si="401"/>
        <v>36500</v>
      </c>
      <c r="AO136" s="179">
        <f t="shared" si="401"/>
        <v>22333.333333333336</v>
      </c>
      <c r="AP136" s="179">
        <f t="shared" si="393"/>
        <v>156833.33333333334</v>
      </c>
      <c r="AQ136" s="180"/>
      <c r="AR136" s="180"/>
      <c r="AS136" s="178" t="s">
        <v>185</v>
      </c>
      <c r="AT136" s="179">
        <f t="shared" si="394"/>
        <v>33333.333333333328</v>
      </c>
      <c r="AU136" s="179">
        <f t="shared" si="395"/>
        <v>65666.666666666657</v>
      </c>
      <c r="AV136" s="179">
        <f t="shared" si="396"/>
        <v>98000</v>
      </c>
      <c r="AW136" s="179">
        <f t="shared" si="397"/>
        <v>134500</v>
      </c>
      <c r="AX136" s="179">
        <f t="shared" si="398"/>
        <v>156833.33333333334</v>
      </c>
      <c r="AY136" s="182"/>
      <c r="AZ136" s="180"/>
      <c r="BA136" s="180"/>
      <c r="BB136" s="180"/>
    </row>
    <row r="137" spans="2:54" ht="15.75" customHeight="1">
      <c r="B137" s="18"/>
      <c r="C137" s="9"/>
      <c r="D137" s="178"/>
      <c r="E137" s="183"/>
      <c r="F137" s="183"/>
      <c r="G137" s="183"/>
      <c r="H137" s="183"/>
      <c r="I137" s="183"/>
      <c r="J137" s="6"/>
      <c r="K137" s="6"/>
      <c r="L137" s="6"/>
      <c r="M137" s="178"/>
      <c r="N137" s="183"/>
      <c r="O137" s="183"/>
      <c r="P137" s="183"/>
      <c r="Q137" s="183"/>
      <c r="R137" s="183"/>
      <c r="S137" s="19"/>
      <c r="AH137" s="20"/>
      <c r="AI137" s="9"/>
      <c r="AJ137" s="178"/>
      <c r="AK137" s="183"/>
      <c r="AL137" s="183"/>
      <c r="AM137" s="183"/>
      <c r="AN137" s="183"/>
      <c r="AO137" s="183"/>
      <c r="AP137" s="6"/>
      <c r="AQ137" s="6"/>
      <c r="AR137" s="6"/>
      <c r="AS137" s="178"/>
      <c r="AT137" s="183"/>
      <c r="AU137" s="183"/>
      <c r="AV137" s="183"/>
      <c r="AW137" s="183"/>
      <c r="AX137" s="183"/>
      <c r="AY137" s="24"/>
    </row>
    <row r="138" spans="2:54" ht="15.75" customHeight="1">
      <c r="B138" s="18"/>
      <c r="C138" s="9"/>
      <c r="D138" s="64" t="s">
        <v>186</v>
      </c>
      <c r="E138" s="175">
        <f t="shared" ref="E138:J138" si="402">W78+N78</f>
        <v>47.52</v>
      </c>
      <c r="F138" s="175">
        <f t="shared" si="402"/>
        <v>92.88</v>
      </c>
      <c r="G138" s="175">
        <f t="shared" si="402"/>
        <v>311.904</v>
      </c>
      <c r="H138" s="175">
        <f t="shared" si="402"/>
        <v>331.99200000000002</v>
      </c>
      <c r="I138" s="175">
        <f t="shared" si="402"/>
        <v>258.98400000000004</v>
      </c>
      <c r="J138" s="175">
        <f t="shared" si="402"/>
        <v>1043.2800000000002</v>
      </c>
      <c r="K138" s="6"/>
      <c r="L138" s="6"/>
      <c r="M138" s="64" t="s">
        <v>186</v>
      </c>
      <c r="N138" s="175">
        <f t="shared" ref="N138:N139" si="403">E138</f>
        <v>47.52</v>
      </c>
      <c r="O138" s="175">
        <f t="shared" ref="O138:R138" si="404">F138+N138</f>
        <v>140.4</v>
      </c>
      <c r="P138" s="175">
        <f t="shared" si="404"/>
        <v>452.30399999999997</v>
      </c>
      <c r="Q138" s="175">
        <f t="shared" si="404"/>
        <v>784.29600000000005</v>
      </c>
      <c r="R138" s="175">
        <f t="shared" si="404"/>
        <v>1043.2800000000002</v>
      </c>
      <c r="S138" s="19"/>
      <c r="AH138" s="20"/>
      <c r="AI138" s="9"/>
      <c r="AJ138" s="64" t="s">
        <v>186</v>
      </c>
      <c r="AK138" s="175">
        <f t="shared" ref="AK138:AO138" si="405">+AT78+BC78</f>
        <v>120</v>
      </c>
      <c r="AL138" s="175">
        <f t="shared" si="405"/>
        <v>140</v>
      </c>
      <c r="AM138" s="175">
        <f t="shared" si="405"/>
        <v>140</v>
      </c>
      <c r="AN138" s="175">
        <f t="shared" si="405"/>
        <v>150</v>
      </c>
      <c r="AO138" s="175">
        <f t="shared" si="405"/>
        <v>155</v>
      </c>
      <c r="AP138" s="175">
        <f>SUM(AK138:AO138)</f>
        <v>705</v>
      </c>
      <c r="AQ138" s="6"/>
      <c r="AR138" s="6"/>
      <c r="AS138" s="64" t="s">
        <v>186</v>
      </c>
      <c r="AT138" s="175">
        <f t="shared" ref="AT138:AT139" si="406">+AK138</f>
        <v>120</v>
      </c>
      <c r="AU138" s="175">
        <f t="shared" ref="AU138:AU139" si="407">+AK138+AL138</f>
        <v>260</v>
      </c>
      <c r="AV138" s="175">
        <f t="shared" ref="AV138:AV139" si="408">SUM(AK138:AM138)</f>
        <v>400</v>
      </c>
      <c r="AW138" s="175">
        <f t="shared" ref="AW138:AW139" si="409">+AL138+AM138+AN138+AK138</f>
        <v>550</v>
      </c>
      <c r="AX138" s="175">
        <f t="shared" ref="AX138:AX139" si="410">+AM138+AN138+AO138+AK138+AL138</f>
        <v>705</v>
      </c>
      <c r="AY138" s="24"/>
    </row>
    <row r="139" spans="2:54" ht="15.75" customHeight="1">
      <c r="B139" s="18"/>
      <c r="C139" s="9"/>
      <c r="D139" s="178" t="s">
        <v>185</v>
      </c>
      <c r="E139" s="179">
        <f t="shared" ref="E139:J139" si="411">W79+N79</f>
        <v>0</v>
      </c>
      <c r="F139" s="179">
        <f t="shared" si="411"/>
        <v>0</v>
      </c>
      <c r="G139" s="179">
        <f t="shared" si="411"/>
        <v>0</v>
      </c>
      <c r="H139" s="179">
        <f t="shared" si="411"/>
        <v>0</v>
      </c>
      <c r="I139" s="179">
        <f t="shared" si="411"/>
        <v>0</v>
      </c>
      <c r="J139" s="179">
        <f t="shared" si="411"/>
        <v>0</v>
      </c>
      <c r="K139" s="6"/>
      <c r="L139" s="6"/>
      <c r="M139" s="178" t="s">
        <v>185</v>
      </c>
      <c r="N139" s="175">
        <f t="shared" si="403"/>
        <v>0</v>
      </c>
      <c r="O139" s="175">
        <f t="shared" ref="O139:R139" si="412">F139+N139</f>
        <v>0</v>
      </c>
      <c r="P139" s="175">
        <f t="shared" si="412"/>
        <v>0</v>
      </c>
      <c r="Q139" s="175">
        <f t="shared" si="412"/>
        <v>0</v>
      </c>
      <c r="R139" s="175">
        <f t="shared" si="412"/>
        <v>0</v>
      </c>
      <c r="S139" s="19"/>
      <c r="AH139" s="20"/>
      <c r="AI139" s="9"/>
      <c r="AJ139" s="178" t="s">
        <v>185</v>
      </c>
      <c r="AK139" s="179">
        <f t="shared" ref="AK139:AP139" si="413">+AK128-AK138</f>
        <v>0</v>
      </c>
      <c r="AL139" s="179">
        <f t="shared" si="413"/>
        <v>0</v>
      </c>
      <c r="AM139" s="179">
        <f t="shared" si="413"/>
        <v>0</v>
      </c>
      <c r="AN139" s="179">
        <f t="shared" si="413"/>
        <v>0</v>
      </c>
      <c r="AO139" s="179">
        <f t="shared" si="413"/>
        <v>0</v>
      </c>
      <c r="AP139" s="179">
        <f t="shared" si="413"/>
        <v>0</v>
      </c>
      <c r="AQ139" s="6"/>
      <c r="AR139" s="6"/>
      <c r="AS139" s="178" t="s">
        <v>185</v>
      </c>
      <c r="AT139" s="179">
        <f t="shared" si="406"/>
        <v>0</v>
      </c>
      <c r="AU139" s="179">
        <f t="shared" si="407"/>
        <v>0</v>
      </c>
      <c r="AV139" s="179">
        <f t="shared" si="408"/>
        <v>0</v>
      </c>
      <c r="AW139" s="179">
        <f t="shared" si="409"/>
        <v>0</v>
      </c>
      <c r="AX139" s="179">
        <f t="shared" si="410"/>
        <v>0</v>
      </c>
      <c r="AY139" s="24"/>
    </row>
    <row r="140" spans="2:54" ht="15.75" customHeight="1">
      <c r="B140" s="18"/>
      <c r="C140" s="9"/>
      <c r="D140" s="178"/>
      <c r="E140" s="183"/>
      <c r="F140" s="183"/>
      <c r="G140" s="183"/>
      <c r="H140" s="183"/>
      <c r="I140" s="183"/>
      <c r="J140" s="6"/>
      <c r="K140" s="6"/>
      <c r="L140" s="6"/>
      <c r="M140" s="178"/>
      <c r="N140" s="183"/>
      <c r="O140" s="183"/>
      <c r="P140" s="183"/>
      <c r="Q140" s="183"/>
      <c r="R140" s="183"/>
      <c r="S140" s="19"/>
      <c r="AH140" s="20"/>
      <c r="AI140" s="9"/>
      <c r="AJ140" s="178"/>
      <c r="AK140" s="183"/>
      <c r="AL140" s="183"/>
      <c r="AM140" s="183"/>
      <c r="AN140" s="183"/>
      <c r="AO140" s="183"/>
      <c r="AP140" s="6"/>
      <c r="AQ140" s="6"/>
      <c r="AR140" s="6"/>
      <c r="AS140" s="178"/>
      <c r="AT140" s="183"/>
      <c r="AU140" s="183"/>
      <c r="AV140" s="183"/>
      <c r="AW140" s="183"/>
      <c r="AX140" s="183"/>
      <c r="AY140" s="24"/>
    </row>
    <row r="141" spans="2:54" ht="15.75" customHeight="1">
      <c r="B141" s="18"/>
      <c r="C141" s="9"/>
      <c r="D141" s="64" t="s">
        <v>180</v>
      </c>
      <c r="E141" s="175">
        <f t="shared" ref="E141:J141" si="414">N78</f>
        <v>47.52</v>
      </c>
      <c r="F141" s="175">
        <f t="shared" si="414"/>
        <v>55.08</v>
      </c>
      <c r="G141" s="175">
        <f t="shared" si="414"/>
        <v>35.423999999999999</v>
      </c>
      <c r="H141" s="175">
        <f t="shared" si="414"/>
        <v>38.771999999999998</v>
      </c>
      <c r="I141" s="175">
        <f t="shared" si="414"/>
        <v>26.244</v>
      </c>
      <c r="J141" s="175">
        <f t="shared" si="414"/>
        <v>203.04</v>
      </c>
      <c r="K141" s="6"/>
      <c r="L141" s="6"/>
      <c r="M141" s="64" t="s">
        <v>180</v>
      </c>
      <c r="N141" s="175">
        <f t="shared" ref="N141:N142" si="415">E141</f>
        <v>47.52</v>
      </c>
      <c r="O141" s="175">
        <f t="shared" ref="O141:R141" si="416">F141+N141</f>
        <v>102.6</v>
      </c>
      <c r="P141" s="175">
        <f t="shared" si="416"/>
        <v>138.024</v>
      </c>
      <c r="Q141" s="175">
        <f t="shared" si="416"/>
        <v>176.79599999999999</v>
      </c>
      <c r="R141" s="175">
        <f t="shared" si="416"/>
        <v>203.04</v>
      </c>
      <c r="S141" s="19"/>
      <c r="AH141" s="20"/>
      <c r="AI141" s="9"/>
      <c r="AJ141" s="64" t="s">
        <v>180</v>
      </c>
      <c r="AK141" s="175">
        <f t="shared" ref="AK141:AO141" si="417">+AT78</f>
        <v>120</v>
      </c>
      <c r="AL141" s="175">
        <f t="shared" si="417"/>
        <v>20</v>
      </c>
      <c r="AM141" s="175">
        <f t="shared" si="417"/>
        <v>20</v>
      </c>
      <c r="AN141" s="175">
        <f t="shared" si="417"/>
        <v>30</v>
      </c>
      <c r="AO141" s="175">
        <f t="shared" si="417"/>
        <v>35</v>
      </c>
      <c r="AP141" s="175">
        <f t="shared" ref="AP141:AP142" si="418">SUM(AK141:AO141)</f>
        <v>225</v>
      </c>
      <c r="AQ141" s="6"/>
      <c r="AR141" s="6"/>
      <c r="AS141" s="64" t="s">
        <v>180</v>
      </c>
      <c r="AT141" s="175">
        <f t="shared" ref="AT141:AT142" si="419">+AK141</f>
        <v>120</v>
      </c>
      <c r="AU141" s="175">
        <f t="shared" ref="AU141:AU142" si="420">+AK141+AL141</f>
        <v>140</v>
      </c>
      <c r="AV141" s="175">
        <f t="shared" ref="AV141:AV142" si="421">SUM(AK141:AM141)</f>
        <v>160</v>
      </c>
      <c r="AW141" s="175">
        <f t="shared" ref="AW141:AW142" si="422">+AL141+AM141+AN141+AK141</f>
        <v>190</v>
      </c>
      <c r="AX141" s="175">
        <f t="shared" ref="AX141:AX142" si="423">+AM141+AN141+AO141+AK141+AL141</f>
        <v>225</v>
      </c>
      <c r="AY141" s="24"/>
    </row>
    <row r="142" spans="2:54" ht="15.75" customHeight="1">
      <c r="B142" s="18"/>
      <c r="C142" s="9"/>
      <c r="D142" s="64" t="s">
        <v>42</v>
      </c>
      <c r="E142" s="175">
        <f t="shared" ref="E142:J142" si="424">W78</f>
        <v>0</v>
      </c>
      <c r="F142" s="175">
        <f t="shared" si="424"/>
        <v>37.800000000000004</v>
      </c>
      <c r="G142" s="175">
        <f t="shared" si="424"/>
        <v>276.48</v>
      </c>
      <c r="H142" s="175">
        <f t="shared" si="424"/>
        <v>293.22000000000003</v>
      </c>
      <c r="I142" s="175">
        <f t="shared" si="424"/>
        <v>232.74000000000004</v>
      </c>
      <c r="J142" s="175">
        <f t="shared" si="424"/>
        <v>840.24000000000012</v>
      </c>
      <c r="K142" s="6"/>
      <c r="L142" s="6"/>
      <c r="M142" s="64" t="s">
        <v>42</v>
      </c>
      <c r="N142" s="175">
        <f t="shared" si="415"/>
        <v>0</v>
      </c>
      <c r="O142" s="175">
        <f t="shared" ref="O142:R142" si="425">F142+N142</f>
        <v>37.800000000000004</v>
      </c>
      <c r="P142" s="175">
        <f t="shared" si="425"/>
        <v>314.28000000000003</v>
      </c>
      <c r="Q142" s="175">
        <f t="shared" si="425"/>
        <v>607.5</v>
      </c>
      <c r="R142" s="175">
        <f t="shared" si="425"/>
        <v>840.24</v>
      </c>
      <c r="S142" s="19"/>
      <c r="AH142" s="20"/>
      <c r="AI142" s="9"/>
      <c r="AJ142" s="64" t="s">
        <v>42</v>
      </c>
      <c r="AK142" s="175">
        <f t="shared" ref="AK142:AO142" si="426">+BC78</f>
        <v>0</v>
      </c>
      <c r="AL142" s="175">
        <f t="shared" si="426"/>
        <v>120</v>
      </c>
      <c r="AM142" s="175">
        <f t="shared" si="426"/>
        <v>120</v>
      </c>
      <c r="AN142" s="175">
        <f t="shared" si="426"/>
        <v>120</v>
      </c>
      <c r="AO142" s="175">
        <f t="shared" si="426"/>
        <v>120</v>
      </c>
      <c r="AP142" s="175">
        <f t="shared" si="418"/>
        <v>480</v>
      </c>
      <c r="AQ142" s="6"/>
      <c r="AR142" s="6"/>
      <c r="AS142" s="64" t="s">
        <v>42</v>
      </c>
      <c r="AT142" s="175">
        <f t="shared" si="419"/>
        <v>0</v>
      </c>
      <c r="AU142" s="175">
        <f t="shared" si="420"/>
        <v>120</v>
      </c>
      <c r="AV142" s="175">
        <f t="shared" si="421"/>
        <v>240</v>
      </c>
      <c r="AW142" s="175">
        <f t="shared" si="422"/>
        <v>360</v>
      </c>
      <c r="AX142" s="175">
        <f t="shared" si="423"/>
        <v>480</v>
      </c>
      <c r="AY142" s="24"/>
    </row>
    <row r="143" spans="2:54" ht="15.75" customHeight="1">
      <c r="B143" s="18"/>
      <c r="C143" s="9"/>
      <c r="D143" s="64"/>
      <c r="E143" s="6"/>
      <c r="F143" s="6"/>
      <c r="G143" s="6"/>
      <c r="H143" s="6"/>
      <c r="I143" s="6"/>
      <c r="J143" s="6"/>
      <c r="K143" s="6"/>
      <c r="L143" s="6"/>
      <c r="M143" s="64"/>
      <c r="N143" s="6"/>
      <c r="O143" s="6"/>
      <c r="P143" s="6"/>
      <c r="Q143" s="6"/>
      <c r="R143" s="6"/>
      <c r="S143" s="19"/>
      <c r="AH143" s="20"/>
      <c r="AI143" s="9"/>
      <c r="AJ143" s="64"/>
      <c r="AK143" s="6"/>
      <c r="AL143" s="6"/>
      <c r="AM143" s="6"/>
      <c r="AN143" s="6"/>
      <c r="AO143" s="6"/>
      <c r="AP143" s="6"/>
      <c r="AQ143" s="6"/>
      <c r="AR143" s="6"/>
      <c r="AS143" s="64"/>
      <c r="AT143" s="6"/>
      <c r="AU143" s="6"/>
      <c r="AV143" s="6"/>
      <c r="AW143" s="6"/>
      <c r="AX143" s="6"/>
      <c r="AY143" s="24"/>
    </row>
    <row r="144" spans="2:54" ht="15.75" customHeight="1">
      <c r="B144" s="18"/>
      <c r="C144" s="9"/>
      <c r="D144" s="64" t="s">
        <v>187</v>
      </c>
      <c r="E144" s="129">
        <f t="shared" ref="E144:J144" si="427">+N61</f>
        <v>0.13385698052271688</v>
      </c>
      <c r="F144" s="129">
        <f t="shared" si="427"/>
        <v>0.25234345407786929</v>
      </c>
      <c r="G144" s="129">
        <f t="shared" si="427"/>
        <v>0.31114610952732202</v>
      </c>
      <c r="H144" s="129">
        <f t="shared" si="427"/>
        <v>0.20388947588764184</v>
      </c>
      <c r="I144" s="129">
        <f t="shared" si="427"/>
        <v>9.8763979984450065E-2</v>
      </c>
      <c r="J144" s="129">
        <f t="shared" si="427"/>
        <v>1</v>
      </c>
      <c r="K144" s="6"/>
      <c r="L144" s="6"/>
      <c r="M144" s="64" t="s">
        <v>187</v>
      </c>
      <c r="N144" s="129">
        <f t="shared" ref="N144:N146" si="428">E144</f>
        <v>0.13385698052271688</v>
      </c>
      <c r="O144" s="129">
        <f t="shared" ref="O144:R144" si="429">N144+F144</f>
        <v>0.38620043460058617</v>
      </c>
      <c r="P144" s="129">
        <f t="shared" si="429"/>
        <v>0.6973465441279082</v>
      </c>
      <c r="Q144" s="129">
        <f t="shared" si="429"/>
        <v>0.90123602001555003</v>
      </c>
      <c r="R144" s="129">
        <f t="shared" si="429"/>
        <v>1</v>
      </c>
      <c r="S144" s="19"/>
      <c r="AH144" s="20"/>
      <c r="AI144" s="9"/>
      <c r="AJ144" s="64" t="s">
        <v>187</v>
      </c>
      <c r="AK144" s="129">
        <f t="shared" ref="AK144:AO144" si="430">+AT61</f>
        <v>0.66452689008060717</v>
      </c>
      <c r="AL144" s="129">
        <f t="shared" si="430"/>
        <v>8.3219034708239478E-2</v>
      </c>
      <c r="AM144" s="129">
        <f t="shared" si="430"/>
        <v>7.1348059249217513E-2</v>
      </c>
      <c r="AN144" s="129">
        <f t="shared" si="430"/>
        <v>0.10975159984848787</v>
      </c>
      <c r="AO144" s="129">
        <f t="shared" si="430"/>
        <v>0.2395787564043779</v>
      </c>
      <c r="AP144" s="129">
        <f t="shared" ref="AP144:AP145" si="431">SUM(AK144:AO144)</f>
        <v>1.1684243402909298</v>
      </c>
      <c r="AQ144" s="6"/>
      <c r="AR144" s="6"/>
      <c r="AS144" s="64" t="s">
        <v>187</v>
      </c>
      <c r="AT144" s="129">
        <f t="shared" ref="AT144:AT145" si="432">+AK144</f>
        <v>0.66452689008060717</v>
      </c>
      <c r="AU144" s="129">
        <f t="shared" ref="AU144:AU145" si="433">+AK144+AL144</f>
        <v>0.74774592478884661</v>
      </c>
      <c r="AV144" s="129">
        <f t="shared" ref="AV144:AV145" si="434">SUM(AK144:AM144)</f>
        <v>0.8190939840380641</v>
      </c>
      <c r="AW144" s="129">
        <f t="shared" ref="AW144:AX144" si="435">+AV144+AN144</f>
        <v>0.92884558388655192</v>
      </c>
      <c r="AX144" s="129">
        <f t="shared" si="435"/>
        <v>1.1684243402909298</v>
      </c>
      <c r="AY144" s="24"/>
    </row>
    <row r="145" spans="2:51" ht="15.75" customHeight="1">
      <c r="B145" s="18"/>
      <c r="C145" s="9"/>
      <c r="D145" s="64"/>
      <c r="E145" s="184">
        <f t="shared" ref="E145:I145" si="436">E144-E131</f>
        <v>-0.1612328302864775</v>
      </c>
      <c r="F145" s="184">
        <f t="shared" si="436"/>
        <v>9.5691872171621561E-5</v>
      </c>
      <c r="G145" s="184">
        <f t="shared" si="436"/>
        <v>-1.4904009090727921E-2</v>
      </c>
      <c r="H145" s="184">
        <f t="shared" si="436"/>
        <v>0.11184585634257695</v>
      </c>
      <c r="I145" s="184">
        <f t="shared" si="436"/>
        <v>6.4195291162456883E-2</v>
      </c>
      <c r="J145" s="184">
        <f>+J144-J131</f>
        <v>0</v>
      </c>
      <c r="K145" s="6"/>
      <c r="L145" s="6"/>
      <c r="M145" s="64"/>
      <c r="N145" s="129">
        <f t="shared" si="428"/>
        <v>-0.1612328302864775</v>
      </c>
      <c r="O145" s="129">
        <f t="shared" ref="O145:R145" si="437">N145+F145</f>
        <v>-0.16113713841430588</v>
      </c>
      <c r="P145" s="129">
        <f t="shared" si="437"/>
        <v>-0.1760411475050338</v>
      </c>
      <c r="Q145" s="129">
        <f t="shared" si="437"/>
        <v>-6.4195291162456855E-2</v>
      </c>
      <c r="R145" s="129">
        <f t="shared" si="437"/>
        <v>0</v>
      </c>
      <c r="S145" s="19"/>
      <c r="AH145" s="20"/>
      <c r="AI145" s="9"/>
      <c r="AJ145" s="64"/>
      <c r="AK145" s="185">
        <f t="shared" ref="AK145:AO145" si="438">+AK144-AK131</f>
        <v>0.43985827628595431</v>
      </c>
      <c r="AL145" s="185">
        <f t="shared" si="438"/>
        <v>-0.10340569381718549</v>
      </c>
      <c r="AM145" s="185">
        <f t="shared" si="438"/>
        <v>-7.9329691069062999E-2</v>
      </c>
      <c r="AN145" s="185">
        <f t="shared" si="438"/>
        <v>-5.9648534952680382E-2</v>
      </c>
      <c r="AO145" s="185">
        <f t="shared" si="438"/>
        <v>-2.9050016156095398E-2</v>
      </c>
      <c r="AP145" s="185">
        <f t="shared" si="431"/>
        <v>0.16842434029093001</v>
      </c>
      <c r="AQ145" s="21" t="s">
        <v>188</v>
      </c>
      <c r="AR145" s="6"/>
      <c r="AS145" s="64"/>
      <c r="AT145" s="184">
        <f t="shared" si="432"/>
        <v>0.43985827628595431</v>
      </c>
      <c r="AU145" s="184">
        <f t="shared" si="433"/>
        <v>0.3364525824687688</v>
      </c>
      <c r="AV145" s="184">
        <f t="shared" si="434"/>
        <v>0.25712289139970579</v>
      </c>
      <c r="AW145" s="184">
        <f t="shared" ref="AW145:AX145" si="439">+AV145+AN145</f>
        <v>0.19747435644702541</v>
      </c>
      <c r="AX145" s="184">
        <f t="shared" si="439"/>
        <v>0.16842434029093001</v>
      </c>
      <c r="AY145" s="24"/>
    </row>
    <row r="146" spans="2:51" ht="15.75" customHeight="1">
      <c r="B146" s="18"/>
      <c r="C146" s="9"/>
      <c r="D146" s="64"/>
      <c r="E146" s="186">
        <f t="shared" ref="E146:J146" si="440">+E145*$J$127</f>
        <v>-8087.5999999999976</v>
      </c>
      <c r="F146" s="186">
        <f t="shared" si="440"/>
        <v>4.8000000000007095</v>
      </c>
      <c r="G146" s="186">
        <f t="shared" si="440"/>
        <v>-747.60000000000321</v>
      </c>
      <c r="H146" s="186">
        <f t="shared" si="440"/>
        <v>5610.300000000002</v>
      </c>
      <c r="I146" s="186">
        <f t="shared" si="440"/>
        <v>3220.1</v>
      </c>
      <c r="J146" s="186">
        <f t="shared" si="440"/>
        <v>0</v>
      </c>
      <c r="K146" s="6"/>
      <c r="L146" s="6"/>
      <c r="M146" s="64"/>
      <c r="N146" s="186">
        <f t="shared" si="428"/>
        <v>-8087.5999999999976</v>
      </c>
      <c r="O146" s="186">
        <f t="shared" ref="O146:R146" si="441">N146+F146</f>
        <v>-8082.7999999999965</v>
      </c>
      <c r="P146" s="186">
        <f t="shared" si="441"/>
        <v>-8830.4</v>
      </c>
      <c r="Q146" s="186">
        <f t="shared" si="441"/>
        <v>-3220.0999999999976</v>
      </c>
      <c r="R146" s="186">
        <f t="shared" si="441"/>
        <v>0</v>
      </c>
      <c r="S146" s="19"/>
      <c r="AH146" s="20"/>
      <c r="AI146" s="9"/>
      <c r="AJ146" s="64"/>
      <c r="AK146" s="176">
        <f t="shared" ref="AK146:AP146" si="442">+AK145*$AP$127</f>
        <v>97890.459387439143</v>
      </c>
      <c r="AL146" s="176">
        <f t="shared" si="442"/>
        <v>-23012.937159014633</v>
      </c>
      <c r="AM146" s="176">
        <f t="shared" si="442"/>
        <v>-17654.822747419974</v>
      </c>
      <c r="AN146" s="176">
        <f t="shared" si="442"/>
        <v>-13274.781453719021</v>
      </c>
      <c r="AO146" s="176">
        <f t="shared" si="442"/>
        <v>-6465.0810955390316</v>
      </c>
      <c r="AP146" s="176">
        <f t="shared" si="442"/>
        <v>37482.836931746475</v>
      </c>
      <c r="AQ146" s="265" t="s">
        <v>189</v>
      </c>
      <c r="AR146" s="258"/>
      <c r="AS146" s="64"/>
      <c r="AT146" s="186">
        <f t="shared" ref="AT146:AX146" si="443">+AT145*$AP$127</f>
        <v>97890.459387439143</v>
      </c>
      <c r="AU146" s="186">
        <f t="shared" si="443"/>
        <v>74877.52222842451</v>
      </c>
      <c r="AV146" s="186">
        <f t="shared" si="443"/>
        <v>57222.699481004529</v>
      </c>
      <c r="AW146" s="186">
        <f t="shared" si="443"/>
        <v>43947.918027285508</v>
      </c>
      <c r="AX146" s="186">
        <f t="shared" si="443"/>
        <v>37482.836931746475</v>
      </c>
      <c r="AY146" s="24"/>
    </row>
    <row r="147" spans="2:51" ht="15.75" customHeight="1">
      <c r="B147" s="18"/>
      <c r="C147" s="9"/>
      <c r="D147" s="64"/>
      <c r="E147" s="6"/>
      <c r="F147" s="6"/>
      <c r="G147" s="6"/>
      <c r="H147" s="6"/>
      <c r="I147" s="6"/>
      <c r="J147" s="6"/>
      <c r="K147" s="6"/>
      <c r="L147" s="6"/>
      <c r="M147" s="64"/>
      <c r="N147" s="6"/>
      <c r="O147" s="6"/>
      <c r="P147" s="6"/>
      <c r="Q147" s="6"/>
      <c r="R147" s="6"/>
      <c r="S147" s="19"/>
      <c r="AH147" s="20"/>
      <c r="AI147" s="9"/>
      <c r="AJ147" s="64"/>
      <c r="AK147" s="6"/>
      <c r="AL147" s="6"/>
      <c r="AM147" s="6"/>
      <c r="AN147" s="6"/>
      <c r="AO147" s="6"/>
      <c r="AP147" s="6"/>
      <c r="AQ147" s="258"/>
      <c r="AR147" s="258"/>
      <c r="AS147" s="64"/>
      <c r="AT147" s="6"/>
      <c r="AU147" s="6"/>
      <c r="AV147" s="6"/>
      <c r="AW147" s="6"/>
      <c r="AX147" s="6"/>
      <c r="AY147" s="24"/>
    </row>
    <row r="148" spans="2:51" ht="15.75" customHeight="1">
      <c r="B148" s="18"/>
      <c r="C148" s="9"/>
      <c r="D148" s="64" t="s">
        <v>190</v>
      </c>
      <c r="E148" s="129">
        <f t="shared" ref="E148:J148" si="444">+N102</f>
        <v>0.56449911285660181</v>
      </c>
      <c r="F148" s="129">
        <f t="shared" si="444"/>
        <v>0.67838280736029977</v>
      </c>
      <c r="G148" s="129">
        <f t="shared" si="444"/>
        <v>1.4766015031598252</v>
      </c>
      <c r="H148" s="129">
        <f t="shared" si="444"/>
        <v>1.5711792827096747</v>
      </c>
      <c r="I148" s="129">
        <f t="shared" si="444"/>
        <v>1.156112278463348</v>
      </c>
      <c r="J148" s="129">
        <f t="shared" si="444"/>
        <v>5.4467749845497497</v>
      </c>
      <c r="K148" s="6"/>
      <c r="L148" s="6"/>
      <c r="M148" s="64" t="s">
        <v>190</v>
      </c>
      <c r="N148" s="129">
        <f t="shared" ref="N148:N150" si="445">E148</f>
        <v>0.56449911285660181</v>
      </c>
      <c r="O148" s="129">
        <f t="shared" ref="O148:R148" si="446">F148+N148</f>
        <v>1.2428819202169015</v>
      </c>
      <c r="P148" s="129">
        <f t="shared" si="446"/>
        <v>2.7194834233767269</v>
      </c>
      <c r="Q148" s="129">
        <f t="shared" si="446"/>
        <v>4.2906627060864011</v>
      </c>
      <c r="R148" s="129">
        <f t="shared" si="446"/>
        <v>5.4467749845497488</v>
      </c>
      <c r="S148" s="19"/>
      <c r="AH148" s="20"/>
      <c r="AI148" s="9"/>
      <c r="AJ148" s="64" t="s">
        <v>190</v>
      </c>
      <c r="AK148" s="129">
        <f t="shared" ref="AK148:AO148" si="447">+AT102</f>
        <v>7.4889537931550954E-2</v>
      </c>
      <c r="AL148" s="129">
        <f t="shared" si="447"/>
        <v>4.1339024938216125E-2</v>
      </c>
      <c r="AM148" s="129">
        <f t="shared" si="447"/>
        <v>5.3920467310716686E-3</v>
      </c>
      <c r="AN148" s="129">
        <f t="shared" si="447"/>
        <v>5.3920467310716686E-3</v>
      </c>
      <c r="AO148" s="129">
        <f t="shared" si="447"/>
        <v>0.10424623680071893</v>
      </c>
      <c r="AP148" s="129">
        <f>SUM(AK148:AO148)</f>
        <v>0.23125889313262935</v>
      </c>
      <c r="AQ148" s="6"/>
      <c r="AR148" s="6"/>
      <c r="AS148" s="64" t="s">
        <v>190</v>
      </c>
      <c r="AT148" s="129">
        <f t="shared" ref="AT148:AT149" si="448">+AK148</f>
        <v>7.4889537931550954E-2</v>
      </c>
      <c r="AU148" s="129">
        <f t="shared" ref="AU148:AU149" si="449">+AK148+AL148</f>
        <v>0.11622856286976707</v>
      </c>
      <c r="AV148" s="129">
        <f t="shared" ref="AV148:AV149" si="450">SUM(AK148:AM148)</f>
        <v>0.12162060960083874</v>
      </c>
      <c r="AW148" s="129">
        <f t="shared" ref="AW148:AX148" si="451">+AV148+AN148</f>
        <v>0.12701265633191042</v>
      </c>
      <c r="AX148" s="129">
        <f t="shared" si="451"/>
        <v>0.23125889313262935</v>
      </c>
      <c r="AY148" s="24"/>
    </row>
    <row r="149" spans="2:51" ht="15.75" customHeight="1">
      <c r="B149" s="18"/>
      <c r="C149" s="9"/>
      <c r="D149" s="151" t="s">
        <v>191</v>
      </c>
      <c r="E149" s="184">
        <f t="shared" ref="E149:J149" si="452">+E132-E148</f>
        <v>-0.26940930204740743</v>
      </c>
      <c r="F149" s="184">
        <f t="shared" si="452"/>
        <v>-0.4261350451546021</v>
      </c>
      <c r="G149" s="184">
        <f t="shared" si="452"/>
        <v>-1.1505513845417754</v>
      </c>
      <c r="H149" s="184">
        <f t="shared" si="452"/>
        <v>-1.4791356631646098</v>
      </c>
      <c r="I149" s="184">
        <f t="shared" si="452"/>
        <v>-1.1215435896413548</v>
      </c>
      <c r="J149" s="184">
        <f t="shared" si="452"/>
        <v>-4.4467749845497497</v>
      </c>
      <c r="K149" s="6"/>
      <c r="L149" s="6"/>
      <c r="M149" s="6"/>
      <c r="N149" s="129">
        <f t="shared" si="445"/>
        <v>-0.26940930204740743</v>
      </c>
      <c r="O149" s="129">
        <f t="shared" ref="O149:R149" si="453">F149+N149</f>
        <v>-0.69554434720200953</v>
      </c>
      <c r="P149" s="129">
        <f t="shared" si="453"/>
        <v>-1.8460957317437849</v>
      </c>
      <c r="Q149" s="129">
        <f t="shared" si="453"/>
        <v>-3.3252313949083945</v>
      </c>
      <c r="R149" s="129">
        <f t="shared" si="453"/>
        <v>-4.4467749845497497</v>
      </c>
      <c r="S149" s="19"/>
      <c r="AH149" s="20"/>
      <c r="AI149" s="9"/>
      <c r="AJ149" s="6"/>
      <c r="AK149" s="185">
        <f t="shared" ref="AK149:AP149" si="454">+AK132-AK148</f>
        <v>0.14977907586310191</v>
      </c>
      <c r="AL149" s="185">
        <f t="shared" si="454"/>
        <v>0.14528570358720885</v>
      </c>
      <c r="AM149" s="185">
        <f t="shared" si="454"/>
        <v>0.14528570358720888</v>
      </c>
      <c r="AN149" s="185">
        <f t="shared" si="454"/>
        <v>0.16400808807009659</v>
      </c>
      <c r="AO149" s="185">
        <f t="shared" si="454"/>
        <v>0.16438253575975437</v>
      </c>
      <c r="AP149" s="185">
        <f t="shared" si="454"/>
        <v>0.76874110686737063</v>
      </c>
      <c r="AQ149" s="21" t="s">
        <v>192</v>
      </c>
      <c r="AR149" s="6"/>
      <c r="AS149" s="6"/>
      <c r="AT149" s="184">
        <f t="shared" si="448"/>
        <v>0.14977907586310191</v>
      </c>
      <c r="AU149" s="184">
        <f t="shared" si="449"/>
        <v>0.29506477945031073</v>
      </c>
      <c r="AV149" s="184">
        <f t="shared" si="450"/>
        <v>0.44035048303751961</v>
      </c>
      <c r="AW149" s="184">
        <f t="shared" ref="AW149:AX149" si="455">+AV149+AN149</f>
        <v>0.60435857110761626</v>
      </c>
      <c r="AX149" s="184">
        <f t="shared" si="455"/>
        <v>0.76874110686737063</v>
      </c>
      <c r="AY149" s="24"/>
    </row>
    <row r="150" spans="2:51" ht="15.75" customHeight="1">
      <c r="B150" s="18"/>
      <c r="C150" s="9"/>
      <c r="D150" s="151" t="s">
        <v>193</v>
      </c>
      <c r="E150" s="186">
        <f t="shared" ref="E150:J150" si="456">$J$127*E149</f>
        <v>-13513.840000000004</v>
      </c>
      <c r="F150" s="186">
        <f t="shared" si="456"/>
        <v>-21375.359999999997</v>
      </c>
      <c r="G150" s="186">
        <f t="shared" si="456"/>
        <v>-57712.807999999997</v>
      </c>
      <c r="H150" s="186">
        <f t="shared" si="456"/>
        <v>-74194.923999999985</v>
      </c>
      <c r="I150" s="186">
        <f t="shared" si="456"/>
        <v>-56257.748</v>
      </c>
      <c r="J150" s="186">
        <f t="shared" si="456"/>
        <v>-223054.68</v>
      </c>
      <c r="K150" s="6"/>
      <c r="L150" s="6"/>
      <c r="M150" s="6"/>
      <c r="N150" s="186">
        <f t="shared" si="445"/>
        <v>-13513.840000000004</v>
      </c>
      <c r="O150" s="186">
        <f t="shared" ref="O150:R150" si="457">F150+N150</f>
        <v>-34889.199999999997</v>
      </c>
      <c r="P150" s="186">
        <f t="shared" si="457"/>
        <v>-92602.008000000002</v>
      </c>
      <c r="Q150" s="186">
        <f t="shared" si="457"/>
        <v>-166796.93199999997</v>
      </c>
      <c r="R150" s="186">
        <f t="shared" si="457"/>
        <v>-223054.67999999996</v>
      </c>
      <c r="S150" s="19"/>
      <c r="AH150" s="20"/>
      <c r="AI150" s="9"/>
      <c r="AJ150" s="6"/>
      <c r="AK150" s="176">
        <f t="shared" ref="AK150:AP150" si="458">+AK149*$AP$127</f>
        <v>33333.333333333336</v>
      </c>
      <c r="AL150" s="176">
        <f t="shared" si="458"/>
        <v>32333.333333333336</v>
      </c>
      <c r="AM150" s="176">
        <f t="shared" si="458"/>
        <v>32333.333333333339</v>
      </c>
      <c r="AN150" s="176">
        <f t="shared" si="458"/>
        <v>36500</v>
      </c>
      <c r="AO150" s="176">
        <f t="shared" si="458"/>
        <v>36583.333333333336</v>
      </c>
      <c r="AP150" s="176">
        <f t="shared" si="458"/>
        <v>171083.33333333334</v>
      </c>
      <c r="AQ150" s="265" t="s">
        <v>194</v>
      </c>
      <c r="AR150" s="258"/>
      <c r="AS150" s="6"/>
      <c r="AT150" s="186">
        <f t="shared" ref="AT150:AX150" si="459">+AT149*$AP$127</f>
        <v>33333.333333333336</v>
      </c>
      <c r="AU150" s="186">
        <f t="shared" si="459"/>
        <v>65666.666666666657</v>
      </c>
      <c r="AV150" s="186">
        <f t="shared" si="459"/>
        <v>98000</v>
      </c>
      <c r="AW150" s="186">
        <f t="shared" si="459"/>
        <v>134500.00000000003</v>
      </c>
      <c r="AX150" s="186">
        <f t="shared" si="459"/>
        <v>171083.33333333334</v>
      </c>
      <c r="AY150" s="24"/>
    </row>
    <row r="151" spans="2:51" ht="15.75" customHeight="1">
      <c r="B151" s="18"/>
      <c r="C151" s="9"/>
      <c r="D151" s="6" t="s">
        <v>195</v>
      </c>
      <c r="E151" s="6"/>
      <c r="F151" s="6"/>
      <c r="G151" s="6"/>
      <c r="H151" s="6"/>
      <c r="I151" s="6"/>
      <c r="J151" s="6"/>
      <c r="K151" s="6"/>
      <c r="L151" s="6"/>
      <c r="M151" s="6"/>
      <c r="N151" s="6"/>
      <c r="O151" s="6"/>
      <c r="P151" s="6"/>
      <c r="Q151" s="6"/>
      <c r="R151" s="6"/>
      <c r="S151" s="19"/>
      <c r="AH151" s="20"/>
      <c r="AI151" s="9"/>
      <c r="AJ151" s="6" t="s">
        <v>195</v>
      </c>
      <c r="AK151" s="6"/>
      <c r="AL151" s="6"/>
      <c r="AM151" s="6"/>
      <c r="AN151" s="6"/>
      <c r="AO151" s="6"/>
      <c r="AP151" s="6"/>
      <c r="AQ151" s="258"/>
      <c r="AR151" s="258"/>
      <c r="AS151" s="6"/>
      <c r="AT151" s="6"/>
      <c r="AU151" s="6"/>
      <c r="AV151" s="6"/>
      <c r="AW151" s="6"/>
      <c r="AX151" s="6"/>
      <c r="AY151" s="24"/>
    </row>
    <row r="152" spans="2:51" ht="15.75" customHeight="1">
      <c r="B152" s="18"/>
      <c r="C152" s="9"/>
      <c r="D152" s="6" t="s">
        <v>196</v>
      </c>
      <c r="E152" s="184">
        <f t="shared" ref="E152:J152" si="460">E149+E145</f>
        <v>-0.43064213233388493</v>
      </c>
      <c r="F152" s="184">
        <f t="shared" si="460"/>
        <v>-0.42603935328243048</v>
      </c>
      <c r="G152" s="184">
        <f t="shared" si="460"/>
        <v>-1.1654553936325034</v>
      </c>
      <c r="H152" s="184">
        <f t="shared" si="460"/>
        <v>-1.3672898068220327</v>
      </c>
      <c r="I152" s="184">
        <f t="shared" si="460"/>
        <v>-1.057348298478898</v>
      </c>
      <c r="J152" s="184">
        <f t="shared" si="460"/>
        <v>-4.4467749845497497</v>
      </c>
      <c r="K152" s="6"/>
      <c r="L152" s="6"/>
      <c r="M152" s="6" t="s">
        <v>197</v>
      </c>
      <c r="N152" s="184">
        <f t="shared" ref="N152:N153" si="461">E152</f>
        <v>-0.43064213233388493</v>
      </c>
      <c r="O152" s="184">
        <f t="shared" ref="O152:R152" si="462">F152+N152</f>
        <v>-0.85668148561631541</v>
      </c>
      <c r="P152" s="184">
        <f t="shared" si="462"/>
        <v>-2.0221368792488188</v>
      </c>
      <c r="Q152" s="184">
        <f t="shared" si="462"/>
        <v>-3.3894266860708515</v>
      </c>
      <c r="R152" s="184">
        <f t="shared" si="462"/>
        <v>-4.4467749845497497</v>
      </c>
      <c r="S152" s="19"/>
      <c r="AH152" s="20"/>
      <c r="AI152" s="9"/>
      <c r="AJ152" s="6" t="s">
        <v>196</v>
      </c>
      <c r="AK152" s="185">
        <f t="shared" ref="AK152:AP152" si="463">+AK145+AK149</f>
        <v>0.58963735214905622</v>
      </c>
      <c r="AL152" s="185">
        <f t="shared" si="463"/>
        <v>4.188000977002336E-2</v>
      </c>
      <c r="AM152" s="185">
        <f t="shared" si="463"/>
        <v>6.5956012518145882E-2</v>
      </c>
      <c r="AN152" s="185">
        <f t="shared" si="463"/>
        <v>0.10435955311741621</v>
      </c>
      <c r="AO152" s="185">
        <f t="shared" si="463"/>
        <v>0.13533251960365897</v>
      </c>
      <c r="AP152" s="185">
        <f t="shared" si="463"/>
        <v>0.93716544715830064</v>
      </c>
      <c r="AQ152" s="21" t="s">
        <v>198</v>
      </c>
      <c r="AR152" s="6"/>
      <c r="AS152" s="6" t="s">
        <v>197</v>
      </c>
      <c r="AT152" s="184">
        <f t="shared" ref="AT152:AX152" si="464">+AT145+AT149</f>
        <v>0.58963735214905622</v>
      </c>
      <c r="AU152" s="184">
        <f t="shared" si="464"/>
        <v>0.63151736191907948</v>
      </c>
      <c r="AV152" s="184">
        <f t="shared" si="464"/>
        <v>0.69747337443722546</v>
      </c>
      <c r="AW152" s="184">
        <f t="shared" si="464"/>
        <v>0.80183292755464164</v>
      </c>
      <c r="AX152" s="184">
        <f t="shared" si="464"/>
        <v>0.93716544715830064</v>
      </c>
      <c r="AY152" s="24"/>
    </row>
    <row r="153" spans="2:51" ht="15.75" customHeight="1">
      <c r="B153" s="18"/>
      <c r="C153" s="9"/>
      <c r="D153" s="6" t="s">
        <v>199</v>
      </c>
      <c r="E153" s="186">
        <f t="shared" ref="E153:I153" si="465">E152*$J$127</f>
        <v>-21601.440000000002</v>
      </c>
      <c r="F153" s="186">
        <f t="shared" si="465"/>
        <v>-21370.559999999994</v>
      </c>
      <c r="G153" s="186">
        <f t="shared" si="465"/>
        <v>-58460.408000000003</v>
      </c>
      <c r="H153" s="186">
        <f t="shared" si="465"/>
        <v>-68584.623999999982</v>
      </c>
      <c r="I153" s="186">
        <f t="shared" si="465"/>
        <v>-53037.648000000001</v>
      </c>
      <c r="J153" s="186">
        <f>SUM(E153:I153)</f>
        <v>-223054.68</v>
      </c>
      <c r="K153" s="6"/>
      <c r="L153" s="6"/>
      <c r="M153" s="6" t="s">
        <v>200</v>
      </c>
      <c r="N153" s="186">
        <f t="shared" si="461"/>
        <v>-21601.440000000002</v>
      </c>
      <c r="O153" s="186">
        <f t="shared" ref="O153:R153" si="466">F153+N153</f>
        <v>-42972</v>
      </c>
      <c r="P153" s="186">
        <f t="shared" si="466"/>
        <v>-101432.408</v>
      </c>
      <c r="Q153" s="186">
        <f t="shared" si="466"/>
        <v>-170017.03199999998</v>
      </c>
      <c r="R153" s="186">
        <f t="shared" si="466"/>
        <v>-223054.68</v>
      </c>
      <c r="S153" s="19"/>
      <c r="AH153" s="20"/>
      <c r="AI153" s="9"/>
      <c r="AJ153" s="6" t="s">
        <v>199</v>
      </c>
      <c r="AK153" s="176">
        <f t="shared" ref="AK153:AP153" si="467">+AK152*$AP$127</f>
        <v>131223.79272077247</v>
      </c>
      <c r="AL153" s="176">
        <f t="shared" si="467"/>
        <v>9320.3961743186992</v>
      </c>
      <c r="AM153" s="176">
        <f t="shared" si="467"/>
        <v>14678.510585913367</v>
      </c>
      <c r="AN153" s="176">
        <f t="shared" si="467"/>
        <v>23225.218546280979</v>
      </c>
      <c r="AO153" s="176">
        <f t="shared" si="467"/>
        <v>30118.252237794306</v>
      </c>
      <c r="AP153" s="176">
        <f t="shared" si="467"/>
        <v>208566.17026507983</v>
      </c>
      <c r="AQ153" s="21" t="s">
        <v>201</v>
      </c>
      <c r="AR153" s="6"/>
      <c r="AS153" s="6" t="s">
        <v>200</v>
      </c>
      <c r="AT153" s="186">
        <f t="shared" ref="AT153:AX153" si="468">+AT152*$AP$127</f>
        <v>131223.79272077247</v>
      </c>
      <c r="AU153" s="186">
        <f t="shared" si="468"/>
        <v>140544.18889509115</v>
      </c>
      <c r="AV153" s="186">
        <f t="shared" si="468"/>
        <v>155222.69948100456</v>
      </c>
      <c r="AW153" s="186">
        <f t="shared" si="468"/>
        <v>178447.91802728552</v>
      </c>
      <c r="AX153" s="186">
        <f t="shared" si="468"/>
        <v>208566.17026507983</v>
      </c>
      <c r="AY153" s="24"/>
    </row>
    <row r="154" spans="2:51" ht="15.75" customHeight="1">
      <c r="B154" s="18"/>
      <c r="C154" s="9"/>
      <c r="D154" s="6"/>
      <c r="E154" s="187"/>
      <c r="F154" s="187"/>
      <c r="G154" s="187"/>
      <c r="H154" s="187"/>
      <c r="I154" s="187"/>
      <c r="J154" s="188"/>
      <c r="K154" s="6"/>
      <c r="L154" s="6"/>
      <c r="M154" s="6"/>
      <c r="N154" s="187"/>
      <c r="O154" s="187"/>
      <c r="P154" s="187"/>
      <c r="Q154" s="187"/>
      <c r="R154" s="187"/>
      <c r="S154" s="19"/>
      <c r="AH154" s="20"/>
      <c r="AI154" s="9"/>
      <c r="AJ154" s="6"/>
      <c r="AK154" s="6"/>
      <c r="AL154" s="6"/>
      <c r="AM154" s="6"/>
      <c r="AN154" s="6"/>
      <c r="AO154" s="6"/>
      <c r="AP154" s="6"/>
      <c r="AQ154" s="21"/>
      <c r="AR154" s="6"/>
      <c r="AS154" s="6"/>
      <c r="AT154" s="187"/>
      <c r="AU154" s="187"/>
      <c r="AV154" s="187"/>
      <c r="AW154" s="187"/>
      <c r="AX154" s="187"/>
      <c r="AY154" s="24"/>
    </row>
    <row r="155" spans="2:51" ht="24">
      <c r="B155" s="18"/>
      <c r="C155" s="120" t="s">
        <v>202</v>
      </c>
      <c r="E155" s="6"/>
      <c r="F155" s="6"/>
      <c r="G155" s="6"/>
      <c r="H155" s="6"/>
      <c r="I155" s="6"/>
      <c r="J155" s="6"/>
      <c r="K155" s="6"/>
      <c r="L155" s="6"/>
      <c r="M155" s="6"/>
      <c r="N155" s="6"/>
      <c r="O155" s="6"/>
      <c r="P155" s="6"/>
      <c r="Q155" s="6"/>
      <c r="R155" s="6"/>
      <c r="S155" s="19"/>
      <c r="AH155" s="20"/>
      <c r="AI155" s="120" t="s">
        <v>202</v>
      </c>
      <c r="AJ155" s="6"/>
      <c r="AK155" s="6"/>
      <c r="AL155" s="6"/>
      <c r="AM155" s="6"/>
      <c r="AN155" s="6"/>
      <c r="AO155" s="6"/>
      <c r="AP155" s="6"/>
      <c r="AQ155" s="21"/>
      <c r="AR155" s="6"/>
      <c r="AS155" s="6"/>
      <c r="AT155" s="21" t="s">
        <v>203</v>
      </c>
      <c r="AU155" s="121"/>
      <c r="AV155" s="121"/>
      <c r="AW155" s="121"/>
      <c r="AX155" s="121"/>
      <c r="AY155" s="24"/>
    </row>
    <row r="156" spans="2:51" ht="15.75" customHeight="1">
      <c r="B156" s="18"/>
      <c r="C156" s="22" t="s">
        <v>204</v>
      </c>
      <c r="D156" s="266" t="s">
        <v>205</v>
      </c>
      <c r="E156" s="258"/>
      <c r="F156" s="258"/>
      <c r="G156" s="258"/>
      <c r="H156" s="258"/>
      <c r="I156" s="258"/>
      <c r="J156" s="258"/>
      <c r="K156" s="258"/>
      <c r="L156" s="258"/>
      <c r="M156" s="258"/>
      <c r="N156" s="258"/>
      <c r="O156" s="258"/>
      <c r="P156" s="258"/>
      <c r="Q156" s="258"/>
      <c r="R156" s="258"/>
      <c r="S156" s="267"/>
      <c r="AH156" s="20"/>
      <c r="AI156" s="22" t="s">
        <v>206</v>
      </c>
      <c r="AJ156" s="6"/>
      <c r="AK156" s="6"/>
      <c r="AL156" s="6"/>
      <c r="AM156" s="6"/>
      <c r="AN156" s="6"/>
      <c r="AO156" s="6"/>
      <c r="AP156" s="6"/>
      <c r="AQ156" s="21"/>
      <c r="AR156" s="6"/>
      <c r="AS156" s="6"/>
      <c r="AT156" s="121"/>
      <c r="AU156" s="121"/>
      <c r="AV156" s="121"/>
      <c r="AW156" s="121"/>
      <c r="AX156" s="121"/>
      <c r="AY156" s="24"/>
    </row>
    <row r="157" spans="2:51" ht="15.75" customHeight="1">
      <c r="B157" s="18"/>
      <c r="C157" s="22"/>
      <c r="D157" s="258"/>
      <c r="E157" s="258"/>
      <c r="F157" s="258"/>
      <c r="G157" s="258"/>
      <c r="H157" s="258"/>
      <c r="I157" s="258"/>
      <c r="J157" s="258"/>
      <c r="K157" s="258"/>
      <c r="L157" s="258"/>
      <c r="M157" s="258"/>
      <c r="N157" s="258"/>
      <c r="O157" s="258"/>
      <c r="P157" s="258"/>
      <c r="Q157" s="258"/>
      <c r="R157" s="258"/>
      <c r="S157" s="267"/>
      <c r="AH157" s="20"/>
      <c r="AI157" s="9"/>
      <c r="AJ157" s="6"/>
      <c r="AK157" s="6"/>
      <c r="AL157" s="6"/>
      <c r="AM157" s="6"/>
      <c r="AN157" s="6"/>
      <c r="AO157" s="6"/>
      <c r="AP157" s="6"/>
      <c r="AQ157" s="21"/>
      <c r="AR157" s="6"/>
      <c r="AS157" s="6"/>
      <c r="AT157" s="121"/>
      <c r="AU157" s="121"/>
      <c r="AV157" s="121"/>
      <c r="AW157" s="121"/>
      <c r="AX157" s="121"/>
      <c r="AY157" s="24"/>
    </row>
    <row r="158" spans="2:51" ht="15.75" customHeight="1">
      <c r="B158" s="18"/>
      <c r="C158" s="22"/>
      <c r="D158" s="258"/>
      <c r="E158" s="258"/>
      <c r="F158" s="258"/>
      <c r="G158" s="258"/>
      <c r="H158" s="258"/>
      <c r="I158" s="258"/>
      <c r="J158" s="258"/>
      <c r="K158" s="258"/>
      <c r="L158" s="258"/>
      <c r="M158" s="258"/>
      <c r="N158" s="258"/>
      <c r="O158" s="258"/>
      <c r="P158" s="258"/>
      <c r="Q158" s="258"/>
      <c r="R158" s="258"/>
      <c r="S158" s="267"/>
      <c r="AH158" s="20"/>
      <c r="AI158" s="9"/>
      <c r="AJ158" s="6"/>
      <c r="AK158" s="6"/>
      <c r="AL158" s="6"/>
      <c r="AM158" s="6"/>
      <c r="AN158" s="6"/>
      <c r="AO158" s="6"/>
      <c r="AP158" s="6"/>
      <c r="AQ158" s="21"/>
      <c r="AR158" s="6"/>
      <c r="AS158" s="6"/>
      <c r="AT158" s="121"/>
      <c r="AU158" s="121"/>
      <c r="AV158" s="121"/>
      <c r="AW158" s="121"/>
      <c r="AX158" s="121"/>
      <c r="AY158" s="24"/>
    </row>
    <row r="159" spans="2:51" ht="15.75" customHeight="1">
      <c r="B159" s="105"/>
      <c r="C159" s="106"/>
      <c r="D159" s="268"/>
      <c r="E159" s="268"/>
      <c r="F159" s="268"/>
      <c r="G159" s="268"/>
      <c r="H159" s="268"/>
      <c r="I159" s="268"/>
      <c r="J159" s="268"/>
      <c r="K159" s="268"/>
      <c r="L159" s="268"/>
      <c r="M159" s="268"/>
      <c r="N159" s="268"/>
      <c r="O159" s="268"/>
      <c r="P159" s="268"/>
      <c r="Q159" s="268"/>
      <c r="R159" s="268"/>
      <c r="S159" s="269"/>
      <c r="AH159" s="110"/>
      <c r="AI159" s="111"/>
      <c r="AJ159" s="114"/>
      <c r="AK159" s="114"/>
      <c r="AL159" s="114"/>
      <c r="AM159" s="114"/>
      <c r="AN159" s="114"/>
      <c r="AO159" s="114"/>
      <c r="AP159" s="114"/>
      <c r="AQ159" s="114"/>
      <c r="AR159" s="114"/>
      <c r="AS159" s="114"/>
      <c r="AT159" s="189"/>
      <c r="AU159" s="189"/>
      <c r="AV159" s="189"/>
      <c r="AW159" s="189"/>
      <c r="AX159" s="189"/>
      <c r="AY159" s="115"/>
    </row>
    <row r="160" spans="2:51" ht="15.75" customHeight="1">
      <c r="C160" s="9"/>
      <c r="AI160" s="9"/>
    </row>
    <row r="161" spans="1:62" ht="15.75" customHeight="1">
      <c r="A161" s="41"/>
      <c r="B161" s="190"/>
      <c r="C161" s="191" t="s">
        <v>207</v>
      </c>
      <c r="D161" s="192"/>
      <c r="E161" s="192"/>
      <c r="F161" s="192"/>
      <c r="G161" s="192"/>
      <c r="H161" s="192"/>
      <c r="I161" s="192"/>
      <c r="J161" s="193">
        <v>140000</v>
      </c>
      <c r="K161" s="194"/>
      <c r="L161" s="41"/>
      <c r="M161" s="195"/>
      <c r="N161" s="196"/>
      <c r="O161" s="196"/>
      <c r="P161" s="196"/>
      <c r="Q161" s="196"/>
      <c r="R161" s="196"/>
      <c r="S161" s="196"/>
      <c r="T161" s="196"/>
      <c r="U161" s="196"/>
      <c r="V161" s="196"/>
      <c r="W161" s="195"/>
      <c r="X161" s="196"/>
      <c r="Y161" s="196"/>
      <c r="Z161" s="196"/>
      <c r="AA161" s="196"/>
      <c r="AB161" s="196"/>
      <c r="AC161" s="196"/>
      <c r="AD161" s="196"/>
      <c r="AE161" s="196"/>
      <c r="AF161" s="196"/>
      <c r="AG161" s="196"/>
      <c r="AH161" s="196"/>
      <c r="AI161" s="196"/>
      <c r="AJ161" s="196"/>
      <c r="AK161" s="41"/>
      <c r="AL161" s="41"/>
      <c r="AM161" s="41"/>
      <c r="AN161" s="41"/>
      <c r="AO161" s="41"/>
      <c r="AP161" s="41"/>
      <c r="AQ161" s="41"/>
      <c r="AR161" s="41"/>
      <c r="AS161" s="41"/>
      <c r="AT161" s="41"/>
      <c r="AU161" s="41"/>
      <c r="AV161" s="41"/>
      <c r="AW161" s="41"/>
      <c r="AX161" s="41"/>
      <c r="AY161" s="41"/>
      <c r="AZ161" s="41"/>
      <c r="BA161" s="41"/>
      <c r="BB161" s="41"/>
      <c r="BC161" s="41"/>
      <c r="BD161" s="41"/>
      <c r="BE161" s="41"/>
      <c r="BF161" s="41"/>
      <c r="BG161" s="41"/>
      <c r="BH161" s="41"/>
      <c r="BI161" s="41"/>
      <c r="BJ161" s="41"/>
    </row>
    <row r="162" spans="1:62" ht="15.75" customHeight="1">
      <c r="A162" s="41"/>
      <c r="B162" s="197"/>
      <c r="C162" s="198" t="s">
        <v>208</v>
      </c>
      <c r="D162" s="28"/>
      <c r="E162" s="28"/>
      <c r="F162" s="28"/>
      <c r="G162" s="28"/>
      <c r="H162" s="199">
        <v>0.2</v>
      </c>
      <c r="I162" s="41"/>
      <c r="J162" s="200">
        <v>1.1000000000000001</v>
      </c>
      <c r="K162" s="201"/>
      <c r="L162" s="41"/>
      <c r="M162" s="196"/>
      <c r="N162" s="196"/>
      <c r="O162" s="196"/>
      <c r="P162" s="196"/>
      <c r="Q162" s="196"/>
      <c r="R162" s="196"/>
      <c r="S162" s="196"/>
      <c r="T162" s="196"/>
      <c r="U162" s="202"/>
      <c r="V162" s="196"/>
      <c r="W162" s="196"/>
      <c r="X162" s="196"/>
      <c r="Y162" s="196"/>
      <c r="Z162" s="196"/>
      <c r="AA162" s="196"/>
      <c r="AB162" s="196"/>
      <c r="AC162" s="196"/>
      <c r="AD162" s="196"/>
      <c r="AE162" s="202"/>
      <c r="AF162" s="196"/>
      <c r="AG162" s="196"/>
      <c r="AH162" s="196"/>
      <c r="AI162" s="196"/>
      <c r="AJ162" s="196"/>
      <c r="AK162" s="41"/>
      <c r="AL162" s="41"/>
      <c r="AM162" s="41"/>
      <c r="AN162" s="41"/>
      <c r="AO162" s="41"/>
      <c r="AP162" s="41"/>
      <c r="AQ162" s="41"/>
      <c r="AR162" s="41"/>
      <c r="AS162" s="41"/>
      <c r="AT162" s="41"/>
      <c r="AU162" s="41"/>
      <c r="AV162" s="41"/>
      <c r="AW162" s="41"/>
      <c r="AX162" s="41"/>
      <c r="AY162" s="41"/>
      <c r="AZ162" s="41"/>
      <c r="BA162" s="41"/>
      <c r="BB162" s="41"/>
      <c r="BC162" s="41"/>
      <c r="BD162" s="41"/>
      <c r="BE162" s="41"/>
      <c r="BF162" s="41"/>
      <c r="BG162" s="41"/>
      <c r="BH162" s="41"/>
      <c r="BI162" s="41"/>
      <c r="BJ162" s="41"/>
    </row>
    <row r="163" spans="1:62" ht="15.75" customHeight="1">
      <c r="A163" s="41"/>
      <c r="B163" s="197"/>
      <c r="C163" s="41"/>
      <c r="D163" s="41"/>
      <c r="E163" s="41"/>
      <c r="F163" s="203"/>
      <c r="G163" s="204"/>
      <c r="H163" s="41"/>
      <c r="I163" s="41"/>
      <c r="J163" s="41"/>
      <c r="K163" s="201"/>
      <c r="L163" s="41"/>
      <c r="M163" s="196"/>
      <c r="N163" s="196"/>
      <c r="O163" s="196"/>
      <c r="P163" s="205"/>
      <c r="Q163" s="206"/>
      <c r="R163" s="196"/>
      <c r="S163" s="196"/>
      <c r="T163" s="196"/>
      <c r="U163" s="202"/>
      <c r="V163" s="196"/>
      <c r="W163" s="196"/>
      <c r="X163" s="196"/>
      <c r="Y163" s="196"/>
      <c r="Z163" s="205"/>
      <c r="AA163" s="206"/>
      <c r="AB163" s="196"/>
      <c r="AC163" s="196"/>
      <c r="AD163" s="196"/>
      <c r="AE163" s="202"/>
      <c r="AF163" s="196"/>
      <c r="AG163" s="196"/>
      <c r="AH163" s="196"/>
      <c r="AI163" s="196"/>
      <c r="AJ163" s="196"/>
      <c r="AK163" s="41"/>
      <c r="AL163" s="41"/>
      <c r="AM163" s="41"/>
      <c r="AN163" s="41"/>
      <c r="AO163" s="41"/>
      <c r="AP163" s="41"/>
      <c r="AQ163" s="41"/>
      <c r="AR163" s="41"/>
      <c r="AS163" s="41"/>
      <c r="AT163" s="41"/>
      <c r="AU163" s="41"/>
      <c r="AV163" s="41"/>
      <c r="AW163" s="41"/>
      <c r="AX163" s="41"/>
      <c r="AY163" s="41"/>
      <c r="AZ163" s="41"/>
      <c r="BA163" s="41"/>
      <c r="BB163" s="41"/>
      <c r="BC163" s="41"/>
      <c r="BD163" s="41"/>
      <c r="BE163" s="41"/>
      <c r="BF163" s="41"/>
      <c r="BG163" s="41"/>
      <c r="BH163" s="41"/>
      <c r="BI163" s="41"/>
      <c r="BJ163" s="41"/>
    </row>
    <row r="164" spans="1:62" ht="15.75" customHeight="1">
      <c r="A164" s="41"/>
      <c r="B164" s="197"/>
      <c r="C164" s="41"/>
      <c r="D164" s="207"/>
      <c r="E164" s="207"/>
      <c r="F164" s="207"/>
      <c r="G164" s="207"/>
      <c r="H164" s="207"/>
      <c r="I164" s="207"/>
      <c r="J164" s="58" t="s">
        <v>209</v>
      </c>
      <c r="K164" s="208" t="s">
        <v>210</v>
      </c>
      <c r="L164" s="41"/>
      <c r="M164" s="196"/>
      <c r="N164" s="209"/>
      <c r="O164" s="209"/>
      <c r="P164" s="209"/>
      <c r="Q164" s="209"/>
      <c r="R164" s="209"/>
      <c r="S164" s="209"/>
      <c r="T164" s="210"/>
      <c r="U164" s="210"/>
      <c r="V164" s="196"/>
      <c r="W164" s="196"/>
      <c r="X164" s="209"/>
      <c r="Y164" s="209"/>
      <c r="Z164" s="209"/>
      <c r="AA164" s="209"/>
      <c r="AB164" s="209"/>
      <c r="AC164" s="209"/>
      <c r="AD164" s="210"/>
      <c r="AE164" s="210"/>
      <c r="AF164" s="196"/>
      <c r="AG164" s="196"/>
      <c r="AH164" s="196"/>
      <c r="AI164" s="196"/>
      <c r="AJ164" s="196"/>
      <c r="AK164" s="41"/>
      <c r="AL164" s="41"/>
      <c r="AM164" s="41"/>
      <c r="AN164" s="41"/>
      <c r="AO164" s="41"/>
      <c r="AP164" s="41"/>
      <c r="AQ164" s="41"/>
      <c r="AR164" s="41"/>
      <c r="AS164" s="41"/>
      <c r="AT164" s="41"/>
      <c r="AU164" s="41"/>
      <c r="AV164" s="41"/>
      <c r="AW164" s="41"/>
      <c r="AX164" s="41"/>
      <c r="AY164" s="41"/>
      <c r="AZ164" s="41"/>
      <c r="BA164" s="41"/>
      <c r="BB164" s="41"/>
      <c r="BC164" s="41"/>
      <c r="BD164" s="41"/>
      <c r="BE164" s="41"/>
      <c r="BF164" s="41"/>
      <c r="BG164" s="41"/>
      <c r="BH164" s="41"/>
      <c r="BI164" s="41"/>
      <c r="BJ164" s="41"/>
    </row>
    <row r="165" spans="1:62" ht="15.75" customHeight="1">
      <c r="A165" s="41"/>
      <c r="B165" s="197"/>
      <c r="C165" s="41"/>
      <c r="D165" s="58" t="s">
        <v>211</v>
      </c>
      <c r="E165" s="58" t="s">
        <v>212</v>
      </c>
      <c r="F165" s="58" t="s">
        <v>209</v>
      </c>
      <c r="G165" s="58" t="s">
        <v>210</v>
      </c>
      <c r="H165" s="58" t="s">
        <v>213</v>
      </c>
      <c r="I165" s="58" t="s">
        <v>214</v>
      </c>
      <c r="J165" s="58" t="s">
        <v>215</v>
      </c>
      <c r="K165" s="211" t="s">
        <v>216</v>
      </c>
      <c r="L165" s="41"/>
      <c r="M165" s="212" t="s">
        <v>217</v>
      </c>
      <c r="N165" s="210"/>
      <c r="O165" s="210"/>
      <c r="P165" s="210"/>
      <c r="Q165" s="210"/>
      <c r="R165" s="210"/>
      <c r="S165" s="210"/>
      <c r="T165" s="210"/>
      <c r="U165" s="209"/>
      <c r="V165" s="196"/>
      <c r="W165" s="196"/>
      <c r="X165" s="210"/>
      <c r="Y165" s="210"/>
      <c r="Z165" s="210"/>
      <c r="AA165" s="210"/>
      <c r="AB165" s="210"/>
      <c r="AC165" s="210"/>
      <c r="AD165" s="210"/>
      <c r="AE165" s="209"/>
      <c r="AF165" s="196"/>
      <c r="AG165" s="196"/>
      <c r="AH165" s="196"/>
      <c r="AI165" s="196"/>
      <c r="AJ165" s="196"/>
      <c r="AK165" s="41"/>
      <c r="AL165" s="41"/>
      <c r="AM165" s="41"/>
      <c r="AN165" s="41"/>
      <c r="AO165" s="41"/>
      <c r="AP165" s="41"/>
      <c r="AQ165" s="41"/>
      <c r="AR165" s="41"/>
      <c r="AS165" s="41"/>
      <c r="AT165" s="41"/>
      <c r="AU165" s="41"/>
      <c r="AV165" s="41"/>
      <c r="AW165" s="41"/>
      <c r="AX165" s="41"/>
      <c r="AY165" s="41"/>
      <c r="AZ165" s="41"/>
      <c r="BA165" s="41"/>
      <c r="BB165" s="41"/>
      <c r="BC165" s="41"/>
      <c r="BD165" s="41"/>
      <c r="BE165" s="41"/>
      <c r="BF165" s="41"/>
      <c r="BG165" s="41"/>
      <c r="BH165" s="41"/>
      <c r="BI165" s="41"/>
      <c r="BJ165" s="41"/>
    </row>
    <row r="166" spans="1:62" ht="15.75" customHeight="1">
      <c r="A166" s="41"/>
      <c r="B166" s="197"/>
      <c r="C166" s="41">
        <v>0</v>
      </c>
      <c r="D166" s="213"/>
      <c r="E166" s="213">
        <f>J102</f>
        <v>273215.68</v>
      </c>
      <c r="F166" s="213">
        <f>-E166</f>
        <v>-273215.68</v>
      </c>
      <c r="G166" s="214">
        <f>F166</f>
        <v>-273215.68</v>
      </c>
      <c r="H166" s="213"/>
      <c r="I166" s="213">
        <f t="shared" ref="I166:K166" si="469">E166</f>
        <v>273215.68</v>
      </c>
      <c r="J166" s="213">
        <f t="shared" si="469"/>
        <v>-273215.68</v>
      </c>
      <c r="K166" s="215">
        <f t="shared" si="469"/>
        <v>-273215.68</v>
      </c>
      <c r="L166" s="41"/>
      <c r="M166" s="196"/>
      <c r="N166" s="216"/>
      <c r="O166" s="216"/>
      <c r="P166" s="216"/>
      <c r="Q166" s="216"/>
      <c r="R166" s="216"/>
      <c r="S166" s="216"/>
      <c r="T166" s="216"/>
      <c r="U166" s="216"/>
      <c r="V166" s="196"/>
      <c r="W166" s="196"/>
      <c r="X166" s="216"/>
      <c r="Y166" s="216"/>
      <c r="Z166" s="216"/>
      <c r="AA166" s="216"/>
      <c r="AB166" s="216"/>
      <c r="AC166" s="216"/>
      <c r="AD166" s="216"/>
      <c r="AE166" s="216"/>
      <c r="AF166" s="196"/>
      <c r="AG166" s="196"/>
      <c r="AH166" s="196"/>
      <c r="AI166" s="196"/>
      <c r="AJ166" s="196"/>
      <c r="AK166" s="41"/>
      <c r="AL166" s="41"/>
      <c r="AM166" s="41"/>
      <c r="AN166" s="41"/>
      <c r="AO166" s="41"/>
      <c r="AP166" s="41"/>
      <c r="AQ166" s="41"/>
      <c r="AR166" s="41"/>
      <c r="AS166" s="41"/>
      <c r="AT166" s="41"/>
      <c r="AU166" s="41"/>
      <c r="AV166" s="41"/>
      <c r="AW166" s="41"/>
      <c r="AX166" s="41"/>
      <c r="AY166" s="41"/>
      <c r="AZ166" s="41"/>
      <c r="BA166" s="41"/>
      <c r="BB166" s="41"/>
      <c r="BC166" s="41"/>
      <c r="BD166" s="41"/>
      <c r="BE166" s="41"/>
      <c r="BF166" s="41"/>
      <c r="BG166" s="41"/>
      <c r="BH166" s="41"/>
      <c r="BI166" s="41"/>
      <c r="BJ166" s="41"/>
    </row>
    <row r="167" spans="1:62" ht="15.75" customHeight="1">
      <c r="A167" s="41"/>
      <c r="B167" s="197"/>
      <c r="C167" s="41">
        <v>1</v>
      </c>
      <c r="D167" s="217">
        <f>J161</f>
        <v>140000</v>
      </c>
      <c r="E167" s="213">
        <f t="shared" ref="E167:E171" si="470">D167*$H$162</f>
        <v>28000</v>
      </c>
      <c r="F167" s="213">
        <f t="shared" ref="F167:F171" si="471">D167-E167</f>
        <v>112000</v>
      </c>
      <c r="G167" s="214">
        <f>F167/(1+$E$178)^1</f>
        <v>99115.04424778762</v>
      </c>
      <c r="H167" s="213"/>
      <c r="I167" s="213">
        <f>E167/(1+$E$178)^1</f>
        <v>24778.761061946905</v>
      </c>
      <c r="J167" s="213">
        <f t="shared" ref="J167:J171" si="472">J166+F167</f>
        <v>-161215.67999999999</v>
      </c>
      <c r="K167" s="215">
        <f t="shared" ref="K167:K171" si="473">G167+K166</f>
        <v>-174100.63575221237</v>
      </c>
      <c r="L167" s="41"/>
      <c r="M167" s="196"/>
      <c r="N167" s="216"/>
      <c r="O167" s="216"/>
      <c r="P167" s="216"/>
      <c r="Q167" s="216"/>
      <c r="R167" s="216"/>
      <c r="S167" s="216"/>
      <c r="T167" s="216"/>
      <c r="U167" s="216"/>
      <c r="V167" s="196"/>
      <c r="W167" s="196"/>
      <c r="X167" s="216"/>
      <c r="Y167" s="216"/>
      <c r="Z167" s="216"/>
      <c r="AA167" s="216"/>
      <c r="AB167" s="216"/>
      <c r="AC167" s="216"/>
      <c r="AD167" s="216"/>
      <c r="AE167" s="216"/>
      <c r="AF167" s="196"/>
      <c r="AG167" s="196"/>
      <c r="AH167" s="196"/>
      <c r="AI167" s="196"/>
      <c r="AJ167" s="196"/>
      <c r="AK167" s="41"/>
      <c r="AL167" s="41"/>
      <c r="AM167" s="41"/>
      <c r="AN167" s="41"/>
      <c r="AO167" s="41"/>
      <c r="AP167" s="41"/>
      <c r="AQ167" s="41"/>
      <c r="AR167" s="41"/>
      <c r="AS167" s="41"/>
      <c r="AT167" s="41"/>
      <c r="AU167" s="41"/>
      <c r="AV167" s="41"/>
      <c r="AW167" s="41"/>
      <c r="AX167" s="41"/>
      <c r="AY167" s="41"/>
      <c r="AZ167" s="41"/>
      <c r="BA167" s="41"/>
      <c r="BB167" s="41"/>
      <c r="BC167" s="41"/>
      <c r="BD167" s="41"/>
      <c r="BE167" s="41"/>
      <c r="BF167" s="41"/>
      <c r="BG167" s="41"/>
      <c r="BH167" s="41"/>
      <c r="BI167" s="41"/>
      <c r="BJ167" s="41"/>
    </row>
    <row r="168" spans="1:62" ht="15.75" customHeight="1">
      <c r="A168" s="41"/>
      <c r="B168" s="197"/>
      <c r="C168" s="41">
        <v>2</v>
      </c>
      <c r="D168" s="217">
        <f t="shared" ref="D168:D171" si="474">D167*$J$162</f>
        <v>154000</v>
      </c>
      <c r="E168" s="213">
        <f t="shared" si="470"/>
        <v>30800</v>
      </c>
      <c r="F168" s="213">
        <f t="shared" si="471"/>
        <v>123200</v>
      </c>
      <c r="G168" s="214">
        <f>F168/(1+$E$178)^2</f>
        <v>96483.671391651675</v>
      </c>
      <c r="H168" s="213"/>
      <c r="I168" s="213">
        <f>E168/(1+$E$178)^2</f>
        <v>24120.917847912919</v>
      </c>
      <c r="J168" s="213">
        <f t="shared" si="472"/>
        <v>-38015.679999999993</v>
      </c>
      <c r="K168" s="215">
        <f t="shared" si="473"/>
        <v>-77616.964360560698</v>
      </c>
      <c r="L168" s="41"/>
      <c r="M168" s="196"/>
      <c r="N168" s="216"/>
      <c r="O168" s="216"/>
      <c r="P168" s="216"/>
      <c r="Q168" s="216"/>
      <c r="R168" s="216"/>
      <c r="S168" s="216"/>
      <c r="T168" s="216"/>
      <c r="U168" s="216"/>
      <c r="V168" s="196"/>
      <c r="W168" s="196"/>
      <c r="X168" s="216"/>
      <c r="Y168" s="216"/>
      <c r="Z168" s="216"/>
      <c r="AA168" s="216"/>
      <c r="AB168" s="216"/>
      <c r="AC168" s="216"/>
      <c r="AD168" s="216"/>
      <c r="AE168" s="216"/>
      <c r="AF168" s="196"/>
      <c r="AG168" s="196"/>
      <c r="AH168" s="196"/>
      <c r="AI168" s="196"/>
      <c r="AJ168" s="196"/>
      <c r="AK168" s="41"/>
      <c r="AL168" s="41"/>
      <c r="AM168" s="41"/>
      <c r="AN168" s="41"/>
      <c r="AO168" s="41"/>
      <c r="AP168" s="41"/>
      <c r="AQ168" s="41"/>
      <c r="AR168" s="41"/>
      <c r="AS168" s="41"/>
      <c r="AT168" s="41"/>
      <c r="AU168" s="41"/>
      <c r="AV168" s="41"/>
      <c r="AW168" s="41"/>
      <c r="AX168" s="41"/>
      <c r="AY168" s="41"/>
      <c r="AZ168" s="41"/>
      <c r="BA168" s="41"/>
      <c r="BB168" s="41"/>
      <c r="BC168" s="41"/>
      <c r="BD168" s="41"/>
      <c r="BE168" s="41"/>
      <c r="BF168" s="41"/>
      <c r="BG168" s="41"/>
      <c r="BH168" s="41"/>
      <c r="BI168" s="41"/>
      <c r="BJ168" s="41"/>
    </row>
    <row r="169" spans="1:62" ht="15.75" customHeight="1">
      <c r="A169" s="41"/>
      <c r="B169" s="197"/>
      <c r="C169" s="41">
        <v>3</v>
      </c>
      <c r="D169" s="217">
        <f t="shared" si="474"/>
        <v>169400</v>
      </c>
      <c r="E169" s="213">
        <f t="shared" si="470"/>
        <v>33880</v>
      </c>
      <c r="F169" s="213">
        <f t="shared" si="471"/>
        <v>135520</v>
      </c>
      <c r="G169" s="214">
        <f>F169/(1+$E$178)^3</f>
        <v>93922.157991873333</v>
      </c>
      <c r="H169" s="213"/>
      <c r="I169" s="213">
        <f>E169/(1+$E$178)^3</f>
        <v>23480.539497968333</v>
      </c>
      <c r="J169" s="213">
        <f t="shared" si="472"/>
        <v>97504.320000000007</v>
      </c>
      <c r="K169" s="215">
        <f t="shared" si="473"/>
        <v>16305.193631312635</v>
      </c>
      <c r="L169" s="41"/>
      <c r="M169" s="196"/>
      <c r="N169" s="216"/>
      <c r="O169" s="216"/>
      <c r="P169" s="216"/>
      <c r="Q169" s="216"/>
      <c r="R169" s="216"/>
      <c r="S169" s="216"/>
      <c r="T169" s="216"/>
      <c r="U169" s="216"/>
      <c r="V169" s="196"/>
      <c r="W169" s="196"/>
      <c r="X169" s="216"/>
      <c r="Y169" s="216"/>
      <c r="Z169" s="216"/>
      <c r="AA169" s="216"/>
      <c r="AB169" s="216"/>
      <c r="AC169" s="216"/>
      <c r="AD169" s="216"/>
      <c r="AE169" s="216"/>
      <c r="AF169" s="196"/>
      <c r="AG169" s="196"/>
      <c r="AH169" s="196"/>
      <c r="AI169" s="196"/>
      <c r="AJ169" s="196"/>
      <c r="AK169" s="41"/>
      <c r="AL169" s="41"/>
      <c r="AM169" s="41"/>
      <c r="AN169" s="41"/>
      <c r="AO169" s="41"/>
      <c r="AP169" s="41"/>
      <c r="AQ169" s="41"/>
      <c r="AR169" s="41"/>
      <c r="AS169" s="41"/>
      <c r="AT169" s="41"/>
      <c r="AU169" s="41"/>
      <c r="AV169" s="41"/>
      <c r="AW169" s="41"/>
      <c r="AX169" s="41"/>
      <c r="AY169" s="41"/>
      <c r="AZ169" s="41"/>
      <c r="BA169" s="41"/>
      <c r="BB169" s="41"/>
      <c r="BC169" s="41"/>
      <c r="BD169" s="41"/>
      <c r="BE169" s="41"/>
      <c r="BF169" s="41"/>
      <c r="BG169" s="41"/>
      <c r="BH169" s="41"/>
      <c r="BI169" s="41"/>
      <c r="BJ169" s="41"/>
    </row>
    <row r="170" spans="1:62" ht="15.75" customHeight="1">
      <c r="A170" s="41"/>
      <c r="B170" s="197"/>
      <c r="C170" s="41">
        <v>4</v>
      </c>
      <c r="D170" s="217">
        <f t="shared" si="474"/>
        <v>186340.00000000003</v>
      </c>
      <c r="E170" s="213">
        <f t="shared" si="470"/>
        <v>37268.000000000007</v>
      </c>
      <c r="F170" s="213">
        <f t="shared" si="471"/>
        <v>149072.00000000003</v>
      </c>
      <c r="G170" s="214">
        <f>F170/(1+$E$178)^4</f>
        <v>91428.649372620086</v>
      </c>
      <c r="H170" s="213"/>
      <c r="I170" s="213">
        <f>E170/(1+$E$178)^4</f>
        <v>22857.162343155022</v>
      </c>
      <c r="J170" s="213">
        <f t="shared" si="472"/>
        <v>246576.32000000004</v>
      </c>
      <c r="K170" s="215">
        <f t="shared" si="473"/>
        <v>107733.84300393272</v>
      </c>
      <c r="L170" s="41"/>
      <c r="M170" s="196"/>
      <c r="N170" s="216"/>
      <c r="O170" s="216"/>
      <c r="P170" s="216"/>
      <c r="Q170" s="216"/>
      <c r="R170" s="216"/>
      <c r="S170" s="216"/>
      <c r="T170" s="216"/>
      <c r="U170" s="216"/>
      <c r="V170" s="196"/>
      <c r="W170" s="196"/>
      <c r="X170" s="216"/>
      <c r="Y170" s="216"/>
      <c r="Z170" s="216"/>
      <c r="AA170" s="216"/>
      <c r="AB170" s="216"/>
      <c r="AC170" s="216"/>
      <c r="AD170" s="216"/>
      <c r="AE170" s="216"/>
      <c r="AF170" s="196"/>
      <c r="AG170" s="196"/>
      <c r="AH170" s="196"/>
      <c r="AI170" s="196"/>
      <c r="AJ170" s="196"/>
      <c r="AK170" s="41"/>
      <c r="AL170" s="41"/>
      <c r="AM170" s="41"/>
      <c r="AN170" s="41"/>
      <c r="AO170" s="41"/>
      <c r="AP170" s="41"/>
      <c r="AQ170" s="41"/>
      <c r="AR170" s="41"/>
      <c r="AS170" s="41"/>
      <c r="AT170" s="41"/>
      <c r="AU170" s="41"/>
      <c r="AV170" s="41"/>
      <c r="AW170" s="41"/>
      <c r="AX170" s="41"/>
      <c r="AY170" s="41"/>
      <c r="AZ170" s="41"/>
      <c r="BA170" s="41"/>
      <c r="BB170" s="41"/>
      <c r="BC170" s="41"/>
      <c r="BD170" s="41"/>
      <c r="BE170" s="41"/>
      <c r="BF170" s="41"/>
      <c r="BG170" s="41"/>
      <c r="BH170" s="41"/>
      <c r="BI170" s="41"/>
      <c r="BJ170" s="41"/>
    </row>
    <row r="171" spans="1:62" ht="15.75" customHeight="1">
      <c r="A171" s="41"/>
      <c r="B171" s="197"/>
      <c r="C171" s="41">
        <v>5</v>
      </c>
      <c r="D171" s="217">
        <f t="shared" si="474"/>
        <v>204974.00000000006</v>
      </c>
      <c r="E171" s="213">
        <f t="shared" si="470"/>
        <v>40994.800000000017</v>
      </c>
      <c r="F171" s="213">
        <f t="shared" si="471"/>
        <v>163979.20000000004</v>
      </c>
      <c r="G171" s="214">
        <f>F171/(1+$E$178)^5</f>
        <v>89001.340097240798</v>
      </c>
      <c r="H171" s="213"/>
      <c r="I171" s="213">
        <f>E171/(1+$E$178)^5</f>
        <v>22250.335024310203</v>
      </c>
      <c r="J171" s="213">
        <f t="shared" si="472"/>
        <v>410555.52000000008</v>
      </c>
      <c r="K171" s="215">
        <f t="shared" si="473"/>
        <v>196735.18310117352</v>
      </c>
      <c r="L171" s="41"/>
      <c r="M171" s="196"/>
      <c r="N171" s="216"/>
      <c r="O171" s="216"/>
      <c r="P171" s="216"/>
      <c r="Q171" s="216"/>
      <c r="R171" s="216"/>
      <c r="S171" s="216"/>
      <c r="T171" s="216"/>
      <c r="U171" s="216"/>
      <c r="V171" s="196"/>
      <c r="W171" s="196"/>
      <c r="X171" s="216"/>
      <c r="Y171" s="216"/>
      <c r="Z171" s="216"/>
      <c r="AA171" s="216"/>
      <c r="AB171" s="216"/>
      <c r="AC171" s="216"/>
      <c r="AD171" s="216"/>
      <c r="AE171" s="216"/>
      <c r="AF171" s="196"/>
      <c r="AG171" s="196"/>
      <c r="AH171" s="196"/>
      <c r="AI171" s="196"/>
      <c r="AJ171" s="196"/>
      <c r="AK171" s="41"/>
      <c r="AL171" s="41"/>
      <c r="AM171" s="41"/>
      <c r="AN171" s="41"/>
      <c r="AO171" s="41"/>
      <c r="AP171" s="41"/>
      <c r="AQ171" s="41"/>
      <c r="AR171" s="41"/>
      <c r="AS171" s="41"/>
      <c r="AT171" s="41"/>
      <c r="AU171" s="41"/>
      <c r="AV171" s="41"/>
      <c r="AW171" s="41"/>
      <c r="AX171" s="41"/>
      <c r="AY171" s="41"/>
      <c r="AZ171" s="41"/>
      <c r="BA171" s="41"/>
      <c r="BB171" s="41"/>
      <c r="BC171" s="41"/>
      <c r="BD171" s="41"/>
      <c r="BE171" s="41"/>
      <c r="BF171" s="41"/>
      <c r="BG171" s="41"/>
      <c r="BH171" s="41"/>
      <c r="BI171" s="41"/>
      <c r="BJ171" s="41"/>
    </row>
    <row r="172" spans="1:62" ht="15.75" customHeight="1">
      <c r="A172" s="41"/>
      <c r="B172" s="197"/>
      <c r="C172" s="41"/>
      <c r="D172" s="218">
        <f t="shared" ref="D172:G172" si="475">SUM(D166:D171)</f>
        <v>854714</v>
      </c>
      <c r="E172" s="218">
        <f t="shared" si="475"/>
        <v>444158.48</v>
      </c>
      <c r="F172" s="218">
        <f t="shared" si="475"/>
        <v>410555.52000000008</v>
      </c>
      <c r="G172" s="218">
        <f t="shared" si="475"/>
        <v>196735.18310117352</v>
      </c>
      <c r="H172" s="219">
        <f>IRR(F166:F171)</f>
        <v>0.37618146623101278</v>
      </c>
      <c r="I172" s="218">
        <f>SUM(I166:I171)</f>
        <v>390703.39577529341</v>
      </c>
      <c r="J172" s="220"/>
      <c r="K172" s="215"/>
      <c r="L172" s="41"/>
      <c r="M172" s="212" t="s">
        <v>218</v>
      </c>
      <c r="N172" s="216"/>
      <c r="O172" s="216"/>
      <c r="P172" s="216"/>
      <c r="Q172" s="216"/>
      <c r="R172" s="221"/>
      <c r="S172" s="216"/>
      <c r="T172" s="196"/>
      <c r="U172" s="216"/>
      <c r="V172" s="196"/>
      <c r="W172" s="196"/>
      <c r="X172" s="216"/>
      <c r="Y172" s="216"/>
      <c r="Z172" s="216"/>
      <c r="AA172" s="216"/>
      <c r="AB172" s="221"/>
      <c r="AC172" s="216"/>
      <c r="AD172" s="196"/>
      <c r="AE172" s="216"/>
      <c r="AF172" s="196"/>
      <c r="AG172" s="196"/>
      <c r="AH172" s="196"/>
      <c r="AI172" s="196"/>
      <c r="AJ172" s="196"/>
      <c r="AK172" s="41"/>
      <c r="AL172" s="41"/>
      <c r="AM172" s="41"/>
      <c r="AN172" s="41"/>
      <c r="AO172" s="41"/>
      <c r="AP172" s="41"/>
      <c r="AQ172" s="41"/>
      <c r="AR172" s="41"/>
      <c r="AS172" s="41"/>
      <c r="AT172" s="41"/>
      <c r="AU172" s="41"/>
      <c r="AV172" s="41"/>
      <c r="AW172" s="41"/>
      <c r="AX172" s="41"/>
      <c r="AY172" s="41"/>
      <c r="AZ172" s="41"/>
      <c r="BA172" s="41"/>
      <c r="BB172" s="41"/>
      <c r="BC172" s="41"/>
      <c r="BD172" s="41"/>
      <c r="BE172" s="41"/>
      <c r="BF172" s="41"/>
      <c r="BG172" s="41"/>
      <c r="BH172" s="41"/>
      <c r="BI172" s="41"/>
      <c r="BJ172" s="41"/>
    </row>
    <row r="173" spans="1:62" ht="15.75" customHeight="1">
      <c r="A173" s="41"/>
      <c r="B173" s="197"/>
      <c r="C173" s="41"/>
      <c r="D173" s="222"/>
      <c r="E173" s="222"/>
      <c r="F173" s="41"/>
      <c r="G173" s="41"/>
      <c r="H173" s="41"/>
      <c r="I173" s="41"/>
      <c r="J173" s="41"/>
      <c r="K173" s="223"/>
      <c r="L173" s="41"/>
      <c r="M173" s="196"/>
      <c r="N173" s="216"/>
      <c r="O173" s="216"/>
      <c r="P173" s="196"/>
      <c r="Q173" s="196"/>
      <c r="R173" s="196"/>
      <c r="S173" s="196"/>
      <c r="T173" s="196"/>
      <c r="U173" s="196"/>
      <c r="V173" s="196"/>
      <c r="W173" s="196"/>
      <c r="X173" s="216"/>
      <c r="Y173" s="205"/>
      <c r="Z173" s="196"/>
      <c r="AA173" s="196"/>
      <c r="AB173" s="196"/>
      <c r="AC173" s="196"/>
      <c r="AD173" s="196"/>
      <c r="AE173" s="196"/>
      <c r="AF173" s="196"/>
      <c r="AG173" s="196"/>
      <c r="AH173" s="196"/>
      <c r="AI173" s="196"/>
      <c r="AJ173" s="196"/>
      <c r="AK173" s="41"/>
      <c r="AL173" s="41"/>
      <c r="AM173" s="41"/>
      <c r="AN173" s="41"/>
      <c r="AO173" s="41"/>
      <c r="AP173" s="41"/>
      <c r="AQ173" s="41"/>
      <c r="AR173" s="41"/>
      <c r="AS173" s="41"/>
      <c r="AT173" s="41"/>
      <c r="AU173" s="41"/>
      <c r="AV173" s="41"/>
      <c r="AW173" s="41"/>
      <c r="AX173" s="41"/>
      <c r="AY173" s="41"/>
      <c r="AZ173" s="41"/>
      <c r="BA173" s="41"/>
      <c r="BB173" s="41"/>
      <c r="BC173" s="41"/>
      <c r="BD173" s="41"/>
      <c r="BE173" s="41"/>
      <c r="BF173" s="41"/>
      <c r="BG173" s="41"/>
      <c r="BH173" s="41"/>
      <c r="BI173" s="41"/>
      <c r="BJ173" s="41"/>
    </row>
    <row r="174" spans="1:62" ht="15.75" customHeight="1">
      <c r="A174" s="41"/>
      <c r="B174" s="197"/>
      <c r="C174" s="41"/>
      <c r="D174" s="41"/>
      <c r="E174" s="41"/>
      <c r="F174" s="41" t="s">
        <v>210</v>
      </c>
      <c r="G174" s="218">
        <f t="array" ref="G174">NPV(E178,F167:F171)+G166</f>
        <v>196735.18310117355</v>
      </c>
      <c r="H174" s="41"/>
      <c r="I174" s="41"/>
      <c r="J174" s="41"/>
      <c r="K174" s="223"/>
      <c r="L174" s="41"/>
      <c r="M174" s="196"/>
      <c r="N174" s="196"/>
      <c r="O174" s="196"/>
      <c r="P174" s="196"/>
      <c r="Q174" s="216"/>
      <c r="R174" s="196"/>
      <c r="S174" s="196"/>
      <c r="T174" s="196"/>
      <c r="U174" s="196"/>
      <c r="V174" s="196"/>
      <c r="W174" s="196"/>
      <c r="X174" s="196"/>
      <c r="Y174" s="205"/>
      <c r="Z174" s="196"/>
      <c r="AA174" s="216"/>
      <c r="AB174" s="196"/>
      <c r="AC174" s="196"/>
      <c r="AD174" s="196"/>
      <c r="AE174" s="196"/>
      <c r="AF174" s="196"/>
      <c r="AG174" s="196"/>
      <c r="AH174" s="196"/>
      <c r="AI174" s="196"/>
      <c r="AJ174" s="196"/>
      <c r="AK174" s="41"/>
      <c r="AL174" s="41"/>
      <c r="AM174" s="41"/>
      <c r="AN174" s="41"/>
      <c r="AO174" s="41"/>
      <c r="AP174" s="41"/>
      <c r="AQ174" s="41"/>
      <c r="AR174" s="41"/>
      <c r="AS174" s="41"/>
      <c r="AT174" s="41"/>
      <c r="AU174" s="41"/>
      <c r="AV174" s="41"/>
      <c r="AW174" s="41"/>
      <c r="AX174" s="41"/>
      <c r="AY174" s="41"/>
      <c r="AZ174" s="41"/>
      <c r="BA174" s="41"/>
      <c r="BB174" s="41"/>
      <c r="BC174" s="41"/>
      <c r="BD174" s="41"/>
      <c r="BE174" s="41"/>
      <c r="BF174" s="41"/>
      <c r="BG174" s="41"/>
      <c r="BH174" s="41"/>
      <c r="BI174" s="41"/>
      <c r="BJ174" s="41"/>
    </row>
    <row r="175" spans="1:62" ht="15.75" customHeight="1">
      <c r="A175" s="41"/>
      <c r="B175" s="197"/>
      <c r="C175" s="41"/>
      <c r="D175" s="41"/>
      <c r="E175" s="41"/>
      <c r="F175" s="41"/>
      <c r="G175" s="222"/>
      <c r="H175" s="41"/>
      <c r="I175" s="41"/>
      <c r="J175" s="41"/>
      <c r="K175" s="223"/>
      <c r="L175" s="41"/>
      <c r="M175" s="196"/>
      <c r="N175" s="196"/>
      <c r="O175" s="196"/>
      <c r="P175" s="196"/>
      <c r="Q175" s="216"/>
      <c r="R175" s="196"/>
      <c r="S175" s="196"/>
      <c r="T175" s="196"/>
      <c r="U175" s="196"/>
      <c r="V175" s="196"/>
      <c r="W175" s="196"/>
      <c r="X175" s="196"/>
      <c r="Y175" s="196"/>
      <c r="Z175" s="196"/>
      <c r="AA175" s="216"/>
      <c r="AB175" s="196"/>
      <c r="AC175" s="196"/>
      <c r="AD175" s="196"/>
      <c r="AE175" s="196"/>
      <c r="AF175" s="196"/>
      <c r="AG175" s="196"/>
      <c r="AH175" s="196"/>
      <c r="AI175" s="196"/>
      <c r="AJ175" s="196"/>
      <c r="AK175" s="41"/>
      <c r="AL175" s="41"/>
      <c r="AM175" s="41"/>
      <c r="AN175" s="41"/>
      <c r="AO175" s="41"/>
      <c r="AP175" s="41"/>
      <c r="AQ175" s="41"/>
      <c r="AR175" s="41"/>
      <c r="AS175" s="41"/>
      <c r="AT175" s="41"/>
      <c r="AU175" s="41"/>
      <c r="AV175" s="41"/>
      <c r="AW175" s="41"/>
      <c r="AX175" s="41"/>
      <c r="AY175" s="41"/>
      <c r="AZ175" s="41"/>
      <c r="BA175" s="41"/>
      <c r="BB175" s="41"/>
      <c r="BC175" s="41"/>
      <c r="BD175" s="41"/>
      <c r="BE175" s="41"/>
      <c r="BF175" s="41"/>
      <c r="BG175" s="41"/>
      <c r="BH175" s="41"/>
      <c r="BI175" s="41"/>
      <c r="BJ175" s="41"/>
    </row>
    <row r="176" spans="1:62" ht="15.75" customHeight="1">
      <c r="A176" s="41"/>
      <c r="B176" s="197"/>
      <c r="C176" s="41"/>
      <c r="D176" s="41"/>
      <c r="E176" s="41"/>
      <c r="F176" s="41"/>
      <c r="G176" s="222"/>
      <c r="H176" s="41"/>
      <c r="I176" s="41"/>
      <c r="J176" s="41"/>
      <c r="K176" s="223"/>
      <c r="L176" s="41"/>
      <c r="M176" s="196"/>
      <c r="N176" s="196"/>
      <c r="O176" s="196"/>
      <c r="P176" s="196"/>
      <c r="Q176" s="216"/>
      <c r="R176" s="196"/>
      <c r="S176" s="196"/>
      <c r="T176" s="196"/>
      <c r="U176" s="196"/>
      <c r="V176" s="196"/>
      <c r="W176" s="196"/>
      <c r="X176" s="196"/>
      <c r="Y176" s="196"/>
      <c r="Z176" s="196"/>
      <c r="AA176" s="216"/>
      <c r="AB176" s="196"/>
      <c r="AC176" s="196"/>
      <c r="AD176" s="196"/>
      <c r="AE176" s="196"/>
      <c r="AF176" s="196"/>
      <c r="AG176" s="196"/>
      <c r="AH176" s="196"/>
      <c r="AI176" s="196"/>
      <c r="AJ176" s="196"/>
      <c r="AK176" s="41"/>
      <c r="AL176" s="41"/>
      <c r="AM176" s="41"/>
      <c r="AN176" s="41"/>
      <c r="AO176" s="41"/>
      <c r="AP176" s="41"/>
      <c r="AQ176" s="41"/>
      <c r="AR176" s="41"/>
      <c r="AS176" s="41"/>
      <c r="AT176" s="41"/>
      <c r="AU176" s="41"/>
      <c r="AV176" s="41"/>
      <c r="AW176" s="41"/>
      <c r="AX176" s="41"/>
      <c r="AY176" s="41"/>
      <c r="AZ176" s="41"/>
      <c r="BA176" s="41"/>
      <c r="BB176" s="41"/>
      <c r="BC176" s="41"/>
      <c r="BD176" s="41"/>
      <c r="BE176" s="41"/>
      <c r="BF176" s="41"/>
      <c r="BG176" s="41"/>
      <c r="BH176" s="41"/>
      <c r="BI176" s="41"/>
      <c r="BJ176" s="41"/>
    </row>
    <row r="177" spans="1:62" ht="15.75" customHeight="1">
      <c r="A177" s="41"/>
      <c r="B177" s="197"/>
      <c r="C177" s="41"/>
      <c r="D177" s="41"/>
      <c r="E177" s="222"/>
      <c r="F177" s="222"/>
      <c r="G177" s="222"/>
      <c r="H177" s="222"/>
      <c r="I177" s="222"/>
      <c r="J177" s="224"/>
      <c r="K177" s="225"/>
      <c r="L177" s="41"/>
      <c r="M177" s="196"/>
      <c r="N177" s="196"/>
      <c r="O177" s="216"/>
      <c r="P177" s="216"/>
      <c r="Q177" s="216"/>
      <c r="R177" s="216"/>
      <c r="S177" s="216"/>
      <c r="T177" s="216"/>
      <c r="U177" s="216"/>
      <c r="V177" s="196"/>
      <c r="W177" s="196"/>
      <c r="X177" s="196"/>
      <c r="Y177" s="216"/>
      <c r="Z177" s="216"/>
      <c r="AA177" s="216"/>
      <c r="AB177" s="216"/>
      <c r="AC177" s="216"/>
      <c r="AD177" s="216"/>
      <c r="AE177" s="216"/>
      <c r="AF177" s="196"/>
      <c r="AG177" s="196"/>
      <c r="AH177" s="196"/>
      <c r="AI177" s="196"/>
      <c r="AJ177" s="196"/>
      <c r="AK177" s="41"/>
      <c r="AL177" s="41"/>
      <c r="AM177" s="41"/>
      <c r="AN177" s="41"/>
      <c r="AO177" s="41"/>
      <c r="AP177" s="41"/>
      <c r="AQ177" s="41"/>
      <c r="AR177" s="41"/>
      <c r="AS177" s="41"/>
      <c r="AT177" s="41"/>
      <c r="AU177" s="41"/>
      <c r="AV177" s="41"/>
      <c r="AW177" s="41"/>
      <c r="AX177" s="41"/>
      <c r="AY177" s="41"/>
      <c r="AZ177" s="41"/>
      <c r="BA177" s="41"/>
      <c r="BB177" s="41"/>
      <c r="BC177" s="41"/>
      <c r="BD177" s="41"/>
      <c r="BE177" s="41"/>
      <c r="BF177" s="41"/>
      <c r="BG177" s="41"/>
      <c r="BH177" s="41"/>
      <c r="BI177" s="41"/>
      <c r="BJ177" s="41"/>
    </row>
    <row r="178" spans="1:62" ht="15.75" customHeight="1">
      <c r="A178" s="41"/>
      <c r="B178" s="197"/>
      <c r="C178" s="41" t="s">
        <v>219</v>
      </c>
      <c r="D178" s="41"/>
      <c r="E178" s="226">
        <v>0.13</v>
      </c>
      <c r="F178" s="222"/>
      <c r="G178" s="222"/>
      <c r="H178" s="222"/>
      <c r="I178" s="222"/>
      <c r="J178" s="222"/>
      <c r="K178" s="225"/>
      <c r="L178" s="41"/>
      <c r="M178" s="196"/>
      <c r="N178" s="196"/>
      <c r="O178" s="205"/>
      <c r="P178" s="216"/>
      <c r="Q178" s="216"/>
      <c r="R178" s="216"/>
      <c r="S178" s="216"/>
      <c r="T178" s="216"/>
      <c r="U178" s="216"/>
      <c r="V178" s="196"/>
      <c r="W178" s="196"/>
      <c r="X178" s="196"/>
      <c r="Y178" s="205"/>
      <c r="Z178" s="216"/>
      <c r="AA178" s="216"/>
      <c r="AB178" s="216"/>
      <c r="AC178" s="216"/>
      <c r="AD178" s="216"/>
      <c r="AE178" s="216"/>
      <c r="AF178" s="196"/>
      <c r="AG178" s="196"/>
      <c r="AH178" s="196"/>
      <c r="AI178" s="196"/>
      <c r="AJ178" s="196"/>
      <c r="AK178" s="41"/>
      <c r="AL178" s="41"/>
      <c r="AM178" s="41"/>
      <c r="AN178" s="41"/>
      <c r="AO178" s="41"/>
      <c r="AP178" s="41"/>
      <c r="AQ178" s="41"/>
      <c r="AR178" s="41"/>
      <c r="AS178" s="41"/>
      <c r="AT178" s="41"/>
      <c r="AU178" s="41"/>
      <c r="AV178" s="41"/>
      <c r="AW178" s="41"/>
      <c r="AX178" s="41"/>
      <c r="AY178" s="41"/>
      <c r="AZ178" s="41"/>
      <c r="BA178" s="41"/>
      <c r="BB178" s="41"/>
      <c r="BC178" s="41"/>
      <c r="BD178" s="41"/>
      <c r="BE178" s="41"/>
      <c r="BF178" s="41"/>
      <c r="BG178" s="41"/>
      <c r="BH178" s="41"/>
      <c r="BI178" s="41"/>
      <c r="BJ178" s="41"/>
    </row>
    <row r="179" spans="1:62" ht="15.75" customHeight="1">
      <c r="A179" s="41"/>
      <c r="B179" s="197"/>
      <c r="C179" s="41"/>
      <c r="D179" s="41"/>
      <c r="E179" s="222"/>
      <c r="F179" s="222"/>
      <c r="G179" s="222"/>
      <c r="H179" s="222"/>
      <c r="I179" s="222"/>
      <c r="J179" s="222"/>
      <c r="K179" s="225"/>
      <c r="L179" s="41"/>
      <c r="M179" s="196"/>
      <c r="N179" s="196"/>
      <c r="O179" s="216"/>
      <c r="P179" s="216"/>
      <c r="Q179" s="216"/>
      <c r="R179" s="216"/>
      <c r="S179" s="216"/>
      <c r="T179" s="216"/>
      <c r="U179" s="216"/>
      <c r="V179" s="196"/>
      <c r="W179" s="196"/>
      <c r="X179" s="196"/>
      <c r="Y179" s="216"/>
      <c r="Z179" s="216"/>
      <c r="AA179" s="216"/>
      <c r="AB179" s="216"/>
      <c r="AC179" s="216"/>
      <c r="AD179" s="216"/>
      <c r="AE179" s="216"/>
      <c r="AF179" s="196"/>
      <c r="AG179" s="196"/>
      <c r="AH179" s="196"/>
      <c r="AI179" s="196"/>
      <c r="AJ179" s="196"/>
      <c r="AK179" s="41"/>
      <c r="AL179" s="41"/>
      <c r="AM179" s="41"/>
      <c r="AN179" s="41"/>
      <c r="AO179" s="41"/>
      <c r="AP179" s="41"/>
      <c r="AQ179" s="41"/>
      <c r="AR179" s="41"/>
      <c r="AS179" s="41"/>
      <c r="AT179" s="41"/>
      <c r="AU179" s="41"/>
      <c r="AV179" s="41"/>
      <c r="AW179" s="41"/>
      <c r="AX179" s="41"/>
      <c r="AY179" s="41"/>
      <c r="AZ179" s="41"/>
      <c r="BA179" s="41"/>
      <c r="BB179" s="41"/>
      <c r="BC179" s="41"/>
      <c r="BD179" s="41"/>
      <c r="BE179" s="41"/>
      <c r="BF179" s="41"/>
      <c r="BG179" s="41"/>
      <c r="BH179" s="41"/>
      <c r="BI179" s="41"/>
      <c r="BJ179" s="41"/>
    </row>
    <row r="180" spans="1:62" ht="15.75" customHeight="1">
      <c r="A180" s="41"/>
      <c r="B180" s="197"/>
      <c r="C180" s="41" t="s">
        <v>220</v>
      </c>
      <c r="D180" s="41"/>
      <c r="E180" s="203">
        <f>F172/E172</f>
        <v>0.92434466184232278</v>
      </c>
      <c r="F180" s="222"/>
      <c r="G180" s="222"/>
      <c r="H180" s="222"/>
      <c r="I180" s="222"/>
      <c r="J180" s="222"/>
      <c r="K180" s="225"/>
      <c r="L180" s="41"/>
      <c r="M180" s="196"/>
      <c r="N180" s="196"/>
      <c r="O180" s="205"/>
      <c r="P180" s="216"/>
      <c r="Q180" s="216"/>
      <c r="R180" s="216"/>
      <c r="S180" s="216"/>
      <c r="T180" s="216"/>
      <c r="U180" s="216"/>
      <c r="V180" s="196"/>
      <c r="W180" s="196"/>
      <c r="X180" s="196"/>
      <c r="Y180" s="205"/>
      <c r="Z180" s="216"/>
      <c r="AA180" s="216"/>
      <c r="AB180" s="216"/>
      <c r="AC180" s="216"/>
      <c r="AD180" s="216"/>
      <c r="AE180" s="216"/>
      <c r="AF180" s="196"/>
      <c r="AG180" s="196"/>
      <c r="AH180" s="196"/>
      <c r="AI180" s="196"/>
      <c r="AJ180" s="196"/>
      <c r="AK180" s="41"/>
      <c r="AL180" s="41"/>
      <c r="AM180" s="41"/>
      <c r="AN180" s="41"/>
      <c r="AO180" s="41"/>
      <c r="AP180" s="41"/>
      <c r="AQ180" s="41"/>
      <c r="AR180" s="41"/>
      <c r="AS180" s="41"/>
      <c r="AT180" s="41"/>
      <c r="AU180" s="41"/>
      <c r="AV180" s="41"/>
      <c r="AW180" s="41"/>
      <c r="AX180" s="41"/>
      <c r="AY180" s="41"/>
      <c r="AZ180" s="41"/>
      <c r="BA180" s="41"/>
      <c r="BB180" s="41"/>
      <c r="BC180" s="41"/>
      <c r="BD180" s="41"/>
      <c r="BE180" s="41"/>
      <c r="BF180" s="41"/>
      <c r="BG180" s="41"/>
      <c r="BH180" s="41"/>
      <c r="BI180" s="41"/>
      <c r="BJ180" s="41"/>
    </row>
    <row r="181" spans="1:62" ht="15.75" customHeight="1">
      <c r="A181" s="41"/>
      <c r="B181" s="197"/>
      <c r="C181" s="41"/>
      <c r="D181" s="41"/>
      <c r="E181" s="222"/>
      <c r="F181" s="222"/>
      <c r="G181" s="222">
        <f>+G172</f>
        <v>196735.18310117352</v>
      </c>
      <c r="H181" s="222">
        <f>+I172</f>
        <v>390703.39577529341</v>
      </c>
      <c r="I181" s="222"/>
      <c r="J181" s="222"/>
      <c r="K181" s="225"/>
      <c r="L181" s="41"/>
      <c r="M181" s="196"/>
      <c r="N181" s="196"/>
      <c r="O181" s="216"/>
      <c r="P181" s="216"/>
      <c r="Q181" s="216"/>
      <c r="R181" s="216"/>
      <c r="S181" s="216"/>
      <c r="T181" s="216"/>
      <c r="U181" s="216"/>
      <c r="V181" s="196"/>
      <c r="W181" s="196"/>
      <c r="X181" s="196"/>
      <c r="Y181" s="216"/>
      <c r="Z181" s="216"/>
      <c r="AA181" s="216"/>
      <c r="AB181" s="216"/>
      <c r="AC181" s="216"/>
      <c r="AD181" s="216"/>
      <c r="AE181" s="216"/>
      <c r="AF181" s="196"/>
      <c r="AG181" s="196"/>
      <c r="AH181" s="196"/>
      <c r="AI181" s="196"/>
      <c r="AJ181" s="196"/>
      <c r="AK181" s="41"/>
      <c r="AL181" s="41"/>
      <c r="AM181" s="41"/>
      <c r="AN181" s="41"/>
      <c r="AO181" s="41"/>
      <c r="AP181" s="41"/>
      <c r="AQ181" s="41"/>
      <c r="AR181" s="41"/>
      <c r="AS181" s="41"/>
      <c r="AT181" s="41"/>
      <c r="AU181" s="41"/>
      <c r="AV181" s="41"/>
      <c r="AW181" s="41"/>
      <c r="AX181" s="41"/>
      <c r="AY181" s="41"/>
      <c r="AZ181" s="41"/>
      <c r="BA181" s="41"/>
      <c r="BB181" s="41"/>
      <c r="BC181" s="41"/>
      <c r="BD181" s="41"/>
      <c r="BE181" s="41"/>
      <c r="BF181" s="41"/>
      <c r="BG181" s="41"/>
      <c r="BH181" s="41"/>
      <c r="BI181" s="41"/>
      <c r="BJ181" s="41"/>
    </row>
    <row r="182" spans="1:62" ht="15.75" customHeight="1">
      <c r="A182" s="41"/>
      <c r="B182" s="197"/>
      <c r="C182" s="41" t="s">
        <v>221</v>
      </c>
      <c r="D182" s="41"/>
      <c r="E182" s="203">
        <f>G172/I172</f>
        <v>0.5035410114897555</v>
      </c>
      <c r="F182" s="222"/>
      <c r="G182" s="227"/>
      <c r="H182" s="222"/>
      <c r="I182" s="222"/>
      <c r="J182" s="222"/>
      <c r="K182" s="225"/>
      <c r="L182" s="41"/>
      <c r="M182" s="196"/>
      <c r="N182" s="196"/>
      <c r="O182" s="205"/>
      <c r="P182" s="216"/>
      <c r="Q182" s="216"/>
      <c r="R182" s="216"/>
      <c r="S182" s="216"/>
      <c r="T182" s="216"/>
      <c r="U182" s="216"/>
      <c r="V182" s="196"/>
      <c r="W182" s="196"/>
      <c r="X182" s="196"/>
      <c r="Y182" s="205"/>
      <c r="Z182" s="216"/>
      <c r="AA182" s="216"/>
      <c r="AB182" s="216"/>
      <c r="AC182" s="216"/>
      <c r="AD182" s="216"/>
      <c r="AE182" s="216"/>
      <c r="AF182" s="196"/>
      <c r="AG182" s="196"/>
      <c r="AH182" s="196"/>
      <c r="AI182" s="196"/>
      <c r="AJ182" s="196"/>
      <c r="AK182" s="41"/>
      <c r="AL182" s="41"/>
      <c r="AM182" s="41"/>
      <c r="AN182" s="41"/>
      <c r="AO182" s="41"/>
      <c r="AP182" s="41"/>
      <c r="AQ182" s="41"/>
      <c r="AR182" s="41"/>
      <c r="AS182" s="41"/>
      <c r="AT182" s="41"/>
      <c r="AU182" s="41"/>
      <c r="AV182" s="41"/>
      <c r="AW182" s="41"/>
      <c r="AX182" s="41"/>
      <c r="AY182" s="41"/>
      <c r="AZ182" s="41"/>
      <c r="BA182" s="41"/>
      <c r="BB182" s="41"/>
      <c r="BC182" s="41"/>
      <c r="BD182" s="41"/>
      <c r="BE182" s="41"/>
      <c r="BF182" s="41"/>
      <c r="BG182" s="41"/>
      <c r="BH182" s="41"/>
      <c r="BI182" s="41"/>
      <c r="BJ182" s="41"/>
    </row>
    <row r="183" spans="1:62" ht="15.75" customHeight="1">
      <c r="A183" s="41"/>
      <c r="B183" s="228"/>
      <c r="C183" s="229"/>
      <c r="D183" s="229"/>
      <c r="E183" s="230"/>
      <c r="F183" s="230"/>
      <c r="G183" s="231"/>
      <c r="H183" s="230"/>
      <c r="I183" s="230"/>
      <c r="J183" s="230"/>
      <c r="K183" s="232"/>
      <c r="L183" s="41"/>
      <c r="M183" s="196"/>
      <c r="N183" s="196"/>
      <c r="O183" s="216"/>
      <c r="P183" s="216"/>
      <c r="Q183" s="216"/>
      <c r="R183" s="216"/>
      <c r="S183" s="216"/>
      <c r="T183" s="216"/>
      <c r="U183" s="216"/>
      <c r="V183" s="196"/>
      <c r="W183" s="196"/>
      <c r="X183" s="196"/>
      <c r="Y183" s="216"/>
      <c r="Z183" s="216"/>
      <c r="AA183" s="216"/>
      <c r="AB183" s="216"/>
      <c r="AC183" s="216"/>
      <c r="AD183" s="216"/>
      <c r="AE183" s="216"/>
      <c r="AF183" s="196"/>
      <c r="AG183" s="196"/>
      <c r="AH183" s="196"/>
      <c r="AI183" s="196"/>
      <c r="AJ183" s="196"/>
      <c r="AK183" s="41"/>
      <c r="AL183" s="41"/>
      <c r="AM183" s="41"/>
      <c r="AN183" s="41"/>
      <c r="AO183" s="41"/>
      <c r="AP183" s="41"/>
      <c r="AQ183" s="41"/>
      <c r="AR183" s="41"/>
      <c r="AS183" s="41"/>
      <c r="AT183" s="41"/>
      <c r="AU183" s="41"/>
      <c r="AV183" s="41"/>
      <c r="AW183" s="41"/>
      <c r="AX183" s="41"/>
      <c r="AY183" s="41"/>
      <c r="AZ183" s="41"/>
      <c r="BA183" s="41"/>
      <c r="BB183" s="41"/>
      <c r="BC183" s="41"/>
      <c r="BD183" s="41"/>
      <c r="BE183" s="41"/>
      <c r="BF183" s="41"/>
      <c r="BG183" s="41"/>
      <c r="BH183" s="41"/>
      <c r="BI183" s="41"/>
      <c r="BJ183" s="41"/>
    </row>
    <row r="184" spans="1:62" ht="15.75" customHeight="1">
      <c r="A184" s="41"/>
      <c r="B184" s="41"/>
      <c r="C184" s="9"/>
      <c r="D184" s="41"/>
      <c r="E184" s="41"/>
      <c r="F184" s="41"/>
      <c r="G184" s="41"/>
      <c r="H184" s="41"/>
      <c r="I184" s="41"/>
      <c r="J184" s="41"/>
      <c r="K184" s="41"/>
      <c r="L184" s="41"/>
      <c r="M184" s="196"/>
      <c r="N184" s="196"/>
      <c r="O184" s="196"/>
      <c r="P184" s="196"/>
      <c r="Q184" s="196"/>
      <c r="R184" s="196"/>
      <c r="S184" s="196"/>
      <c r="T184" s="196"/>
      <c r="U184" s="196"/>
      <c r="V184" s="196"/>
      <c r="W184" s="196"/>
      <c r="X184" s="196"/>
      <c r="Y184" s="196"/>
      <c r="Z184" s="196"/>
      <c r="AA184" s="196"/>
      <c r="AB184" s="196"/>
      <c r="AC184" s="196"/>
      <c r="AD184" s="196"/>
      <c r="AE184" s="196"/>
      <c r="AF184" s="196"/>
      <c r="AG184" s="196"/>
      <c r="AH184" s="196"/>
      <c r="AI184" s="233"/>
      <c r="AJ184" s="196"/>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row>
    <row r="185" spans="1:62" ht="15.75" customHeight="1">
      <c r="C185" s="9"/>
      <c r="AI185" s="9"/>
    </row>
    <row r="186" spans="1:62" ht="15.75" customHeight="1">
      <c r="C186" s="9"/>
      <c r="AI186" s="9"/>
    </row>
    <row r="187" spans="1:62" ht="15.75" customHeight="1">
      <c r="C187" s="9"/>
      <c r="AI187" s="9"/>
    </row>
    <row r="188" spans="1:62" ht="15.75" customHeight="1">
      <c r="C188" s="9"/>
      <c r="AI188" s="9"/>
    </row>
    <row r="189" spans="1:62" ht="15.75" customHeight="1">
      <c r="C189" s="9"/>
      <c r="AI189" s="9"/>
    </row>
    <row r="190" spans="1:62" ht="15.75" customHeight="1">
      <c r="C190" s="9"/>
      <c r="AI190" s="9"/>
    </row>
    <row r="191" spans="1:62" ht="15.75" customHeight="1">
      <c r="C191" s="9"/>
      <c r="AI191" s="9"/>
    </row>
    <row r="192" spans="1:62" ht="15.75" customHeight="1">
      <c r="C192" s="9"/>
      <c r="AI192" s="9"/>
    </row>
    <row r="193" spans="3:35" ht="15.75" customHeight="1">
      <c r="C193" s="9"/>
      <c r="AI193" s="9"/>
    </row>
    <row r="194" spans="3:35" ht="15.75" customHeight="1">
      <c r="C194" s="9"/>
      <c r="AI194" s="9"/>
    </row>
    <row r="195" spans="3:35" ht="15.75" customHeight="1">
      <c r="C195" s="9"/>
      <c r="AI195" s="9"/>
    </row>
    <row r="196" spans="3:35" ht="15.75" customHeight="1">
      <c r="C196" s="9"/>
      <c r="AI196" s="9"/>
    </row>
    <row r="197" spans="3:35" ht="15.75" customHeight="1">
      <c r="C197" s="9"/>
      <c r="AI197" s="9"/>
    </row>
    <row r="198" spans="3:35" ht="15.75" customHeight="1">
      <c r="C198" s="9"/>
      <c r="AI198" s="9"/>
    </row>
    <row r="199" spans="3:35" ht="15.75" customHeight="1">
      <c r="C199" s="9"/>
      <c r="AI199" s="9"/>
    </row>
    <row r="200" spans="3:35" ht="15.75" customHeight="1">
      <c r="C200" s="9"/>
      <c r="AI200" s="9"/>
    </row>
    <row r="201" spans="3:35" ht="15.75" customHeight="1">
      <c r="C201" s="9"/>
      <c r="AI201" s="9"/>
    </row>
    <row r="202" spans="3:35" ht="15.75" customHeight="1">
      <c r="C202" s="270" t="s">
        <v>5</v>
      </c>
      <c r="D202" s="271"/>
      <c r="E202" s="234"/>
      <c r="F202" s="270" t="s">
        <v>222</v>
      </c>
      <c r="G202" s="271"/>
      <c r="H202" s="271"/>
      <c r="I202" s="271"/>
      <c r="J202" s="234"/>
      <c r="K202" s="272" t="s">
        <v>223</v>
      </c>
      <c r="L202" s="271"/>
      <c r="M202" s="273"/>
      <c r="AI202" s="9"/>
    </row>
    <row r="203" spans="3:35" ht="15.75" customHeight="1">
      <c r="C203" s="235" t="s">
        <v>14</v>
      </c>
      <c r="D203" s="6" t="str">
        <f>+V8</f>
        <v>Presupuesto Horas trabajadas (programador Junior)</v>
      </c>
      <c r="E203" s="236"/>
      <c r="F203" s="235" t="s">
        <v>115</v>
      </c>
      <c r="G203" s="6" t="str">
        <f>+V68</f>
        <v>Real de Horas trabajadas (programador Junior)</v>
      </c>
      <c r="H203" s="6"/>
      <c r="I203" s="6"/>
      <c r="J203" s="236"/>
      <c r="K203" s="237"/>
      <c r="L203" s="6"/>
      <c r="M203" s="236"/>
      <c r="AI203" s="9"/>
    </row>
    <row r="204" spans="3:35" ht="15.75" customHeight="1">
      <c r="C204" s="235" t="s">
        <v>16</v>
      </c>
      <c r="D204" s="6" t="str">
        <f>+M8</f>
        <v>Presupuesto Horas trabajadas (programador Senior)</v>
      </c>
      <c r="E204" s="236"/>
      <c r="F204" s="235" t="s">
        <v>113</v>
      </c>
      <c r="G204" s="6" t="str">
        <f>+M68</f>
        <v>Real de Horas trabajadas (programador Senior)</v>
      </c>
      <c r="H204" s="6"/>
      <c r="I204" s="6"/>
      <c r="J204" s="236"/>
      <c r="K204" s="237"/>
      <c r="L204" s="6"/>
      <c r="M204" s="236"/>
      <c r="AI204" s="9"/>
    </row>
    <row r="205" spans="3:35" ht="15.75" customHeight="1">
      <c r="C205" s="235" t="s">
        <v>12</v>
      </c>
      <c r="D205" s="6" t="str">
        <f>+D8</f>
        <v xml:space="preserve">Presupuesto en Pesos sobre horas trabajadas </v>
      </c>
      <c r="E205" s="236"/>
      <c r="F205" s="235" t="s">
        <v>111</v>
      </c>
      <c r="G205" s="6" t="str">
        <f>+D68</f>
        <v xml:space="preserve">Gasto real Pesos sobre horas trabajadas </v>
      </c>
      <c r="H205" s="6"/>
      <c r="I205" s="6"/>
      <c r="J205" s="236"/>
      <c r="K205" s="237"/>
      <c r="L205" s="6"/>
      <c r="M205" s="236"/>
      <c r="AI205" s="9"/>
    </row>
    <row r="206" spans="3:35" ht="15.75" customHeight="1">
      <c r="C206" s="235" t="s">
        <v>46</v>
      </c>
      <c r="D206" s="6" t="str">
        <f>+D21</f>
        <v>Presupuesto en Insumos (costos )</v>
      </c>
      <c r="E206" s="236"/>
      <c r="F206" s="235" t="s">
        <v>124</v>
      </c>
      <c r="G206" s="6" t="str">
        <f>+D81</f>
        <v>Real gastado en Insumos (costos )</v>
      </c>
      <c r="H206" s="6"/>
      <c r="I206" s="6"/>
      <c r="J206" s="236"/>
      <c r="K206" s="237"/>
      <c r="L206" s="6"/>
      <c r="M206" s="236"/>
      <c r="AI206" s="9"/>
    </row>
    <row r="207" spans="3:35" ht="15.75" customHeight="1">
      <c r="C207" s="235" t="s">
        <v>68</v>
      </c>
      <c r="D207" s="6" t="str">
        <f>+D29</f>
        <v>Presupuesto Total</v>
      </c>
      <c r="E207" s="236"/>
      <c r="F207" s="235" t="s">
        <v>134</v>
      </c>
      <c r="G207" s="6" t="str">
        <f>+D89</f>
        <v>Gastos Reales</v>
      </c>
      <c r="H207" s="6"/>
      <c r="I207" s="6"/>
      <c r="J207" s="236"/>
      <c r="K207" s="235" t="s">
        <v>157</v>
      </c>
      <c r="L207" s="6" t="str">
        <f>+C106</f>
        <v>Diferencial Gastos</v>
      </c>
      <c r="M207" s="236"/>
      <c r="AI207" s="9"/>
    </row>
    <row r="208" spans="3:35" ht="15.75" customHeight="1">
      <c r="C208" s="235" t="s">
        <v>72</v>
      </c>
      <c r="D208" s="6" t="str">
        <f>+V29</f>
        <v>Avance en % específico (Presupuestado)</v>
      </c>
      <c r="E208" s="236"/>
      <c r="F208" s="235" t="s">
        <v>138</v>
      </c>
      <c r="G208" s="6" t="str">
        <f>+V89</f>
        <v>Avance en % específico (Gastado)</v>
      </c>
      <c r="H208" s="6"/>
      <c r="I208" s="6"/>
      <c r="J208" s="236"/>
      <c r="K208" s="235" t="s">
        <v>152</v>
      </c>
      <c r="L208" s="6" t="str">
        <f>+V106</f>
        <v>Diferencial en Avance en % específico</v>
      </c>
      <c r="M208" s="236"/>
      <c r="AI208" s="9"/>
    </row>
    <row r="209" spans="3:35" ht="15.75" customHeight="1">
      <c r="C209" s="235" t="s">
        <v>70</v>
      </c>
      <c r="D209" s="6" t="str">
        <f>+M29</f>
        <v>Avance en % del total (Presupuestado)</v>
      </c>
      <c r="E209" s="236"/>
      <c r="F209" s="235" t="s">
        <v>136</v>
      </c>
      <c r="G209" s="6" t="str">
        <f>+M89</f>
        <v>Avance en % del total (Gastado)</v>
      </c>
      <c r="H209" s="6"/>
      <c r="I209" s="6"/>
      <c r="J209" s="236"/>
      <c r="K209" s="235" t="s">
        <v>150</v>
      </c>
      <c r="L209" s="6" t="str">
        <f>+M106</f>
        <v>Diferencial en Avance % total</v>
      </c>
      <c r="M209" s="236"/>
      <c r="AI209" s="9"/>
    </row>
    <row r="210" spans="3:35" ht="15.75" customHeight="1">
      <c r="C210" s="238"/>
      <c r="D210" s="6"/>
      <c r="E210" s="236"/>
      <c r="F210" s="239"/>
      <c r="G210" s="6"/>
      <c r="H210" s="6"/>
      <c r="I210" s="6"/>
      <c r="J210" s="236"/>
      <c r="K210" s="240"/>
      <c r="L210" s="6"/>
      <c r="M210" s="236"/>
      <c r="AI210" s="9"/>
    </row>
    <row r="211" spans="3:35" ht="15.75" customHeight="1">
      <c r="C211" s="238"/>
      <c r="D211" s="6"/>
      <c r="E211" s="236"/>
      <c r="F211" s="235" t="s">
        <v>96</v>
      </c>
      <c r="G211" s="6" t="str">
        <f>+V48</f>
        <v xml:space="preserve">Control de Avance (específico) </v>
      </c>
      <c r="H211" s="6"/>
      <c r="I211" s="6"/>
      <c r="J211" s="236"/>
      <c r="K211" s="240"/>
      <c r="L211" s="6"/>
      <c r="M211" s="236"/>
      <c r="AI211" s="9"/>
    </row>
    <row r="212" spans="3:35" ht="15.75" customHeight="1">
      <c r="C212" s="238"/>
      <c r="D212" s="6"/>
      <c r="E212" s="236"/>
      <c r="F212" s="235" t="s">
        <v>94</v>
      </c>
      <c r="G212" s="6" t="str">
        <f>+M48</f>
        <v>Control de Avance (total)</v>
      </c>
      <c r="H212" s="6"/>
      <c r="I212" s="6"/>
      <c r="J212" s="236"/>
      <c r="K212" s="240"/>
      <c r="L212" s="6"/>
      <c r="M212" s="236"/>
      <c r="AI212" s="9"/>
    </row>
    <row r="213" spans="3:35" ht="15.75" customHeight="1">
      <c r="C213" s="238"/>
      <c r="D213" s="6"/>
      <c r="E213" s="236"/>
      <c r="F213" s="237"/>
      <c r="G213" s="6"/>
      <c r="H213" s="6"/>
      <c r="I213" s="6"/>
      <c r="J213" s="236"/>
      <c r="K213" s="235" t="s">
        <v>168</v>
      </c>
      <c r="L213" s="6" t="str">
        <f>+C124</f>
        <v>ANÁLISIS SUMARIO</v>
      </c>
      <c r="M213" s="236"/>
      <c r="AI213" s="9"/>
    </row>
    <row r="214" spans="3:35" ht="15.75" customHeight="1">
      <c r="C214" s="238"/>
      <c r="D214" s="6"/>
      <c r="E214" s="236"/>
      <c r="F214" s="237"/>
      <c r="G214" s="6"/>
      <c r="H214" s="6"/>
      <c r="I214" s="6"/>
      <c r="J214" s="236"/>
      <c r="K214" s="235" t="s">
        <v>169</v>
      </c>
      <c r="L214" s="6" t="str">
        <f>+N124</f>
        <v>CIFRAS ACUMULADAS</v>
      </c>
      <c r="M214" s="236"/>
      <c r="AI214" s="9"/>
    </row>
    <row r="215" spans="3:35" ht="15.75" customHeight="1">
      <c r="C215" s="238"/>
      <c r="D215" s="6"/>
      <c r="E215" s="236"/>
      <c r="F215" s="237"/>
      <c r="G215" s="6"/>
      <c r="H215" s="6"/>
      <c r="I215" s="6"/>
      <c r="J215" s="236"/>
      <c r="K215" s="235" t="s">
        <v>204</v>
      </c>
      <c r="L215" s="6" t="str">
        <f>+C155</f>
        <v>Análisis del Proyecto</v>
      </c>
      <c r="M215" s="236"/>
      <c r="AI215" s="9"/>
    </row>
    <row r="216" spans="3:35" ht="15.75" customHeight="1">
      <c r="C216" s="241"/>
      <c r="D216" s="242"/>
      <c r="E216" s="243"/>
      <c r="F216" s="244"/>
      <c r="G216" s="242"/>
      <c r="H216" s="242"/>
      <c r="I216" s="242"/>
      <c r="J216" s="243"/>
      <c r="K216" s="244"/>
      <c r="L216" s="242"/>
      <c r="M216" s="243"/>
      <c r="AI216" s="9"/>
    </row>
    <row r="217" spans="3:35" ht="15.75" customHeight="1">
      <c r="C217" s="9"/>
      <c r="AI217" s="9"/>
    </row>
    <row r="218" spans="3:35" ht="15.75" customHeight="1">
      <c r="C218" s="9"/>
      <c r="AI218" s="9"/>
    </row>
    <row r="219" spans="3:35" ht="15.75" customHeight="1">
      <c r="C219" s="9"/>
      <c r="AI219" s="9"/>
    </row>
    <row r="220" spans="3:35" ht="15.75" customHeight="1">
      <c r="C220" s="9"/>
      <c r="AI220" s="9"/>
    </row>
    <row r="221" spans="3:35" ht="15.75" customHeight="1">
      <c r="C221" s="9"/>
      <c r="AI221" s="9"/>
    </row>
    <row r="222" spans="3:35" ht="15.75" customHeight="1">
      <c r="C222" s="9"/>
      <c r="AI222" s="9"/>
    </row>
    <row r="223" spans="3:35" ht="15.75" customHeight="1">
      <c r="C223" s="9"/>
      <c r="AI223" s="9"/>
    </row>
    <row r="224" spans="3:35" ht="15.75" customHeight="1">
      <c r="C224" s="9"/>
      <c r="AI224" s="9"/>
    </row>
    <row r="225" spans="3:35" ht="15.75" customHeight="1">
      <c r="C225" s="9"/>
      <c r="AI225" s="9"/>
    </row>
    <row r="226" spans="3:35" ht="15.75" customHeight="1">
      <c r="C226" s="9"/>
      <c r="AI226" s="9"/>
    </row>
    <row r="227" spans="3:35" ht="15.75" customHeight="1">
      <c r="C227" s="9"/>
      <c r="AI227" s="9"/>
    </row>
    <row r="228" spans="3:35" ht="15.75" customHeight="1">
      <c r="C228" s="9"/>
      <c r="AI228" s="9"/>
    </row>
    <row r="229" spans="3:35" ht="15.75" customHeight="1">
      <c r="C229" s="9"/>
      <c r="AI229" s="9"/>
    </row>
    <row r="230" spans="3:35" ht="15.75" customHeight="1">
      <c r="C230" s="9"/>
      <c r="AI230" s="9"/>
    </row>
    <row r="231" spans="3:35" ht="15.75" customHeight="1">
      <c r="C231" s="9"/>
      <c r="AI231" s="9"/>
    </row>
    <row r="232" spans="3:35" ht="15.75" customHeight="1">
      <c r="C232" s="9"/>
      <c r="AI232" s="9"/>
    </row>
    <row r="233" spans="3:35" ht="15.75" customHeight="1">
      <c r="C233" s="9"/>
      <c r="AI233" s="9"/>
    </row>
    <row r="234" spans="3:35" ht="15.75" customHeight="1">
      <c r="C234" s="9"/>
      <c r="AI234" s="9"/>
    </row>
    <row r="235" spans="3:35" ht="15.75" customHeight="1">
      <c r="C235" s="9"/>
      <c r="AI235" s="9"/>
    </row>
    <row r="236" spans="3:35" ht="15.75" customHeight="1">
      <c r="C236" s="9"/>
      <c r="AI236" s="9"/>
    </row>
    <row r="237" spans="3:35" ht="15.75" customHeight="1">
      <c r="C237" s="9"/>
      <c r="AI237" s="9"/>
    </row>
    <row r="238" spans="3:35" ht="15.75" customHeight="1">
      <c r="C238" s="9"/>
      <c r="AI238" s="9"/>
    </row>
    <row r="239" spans="3:35" ht="15.75" customHeight="1">
      <c r="C239" s="9"/>
      <c r="AI239" s="9"/>
    </row>
    <row r="240" spans="3:35" ht="15.75" customHeight="1">
      <c r="C240" s="9"/>
      <c r="AI240" s="9"/>
    </row>
    <row r="241" spans="3:35" ht="15.75" customHeight="1">
      <c r="C241" s="9"/>
      <c r="AI241" s="9"/>
    </row>
    <row r="242" spans="3:35" ht="15.75" customHeight="1">
      <c r="C242" s="9"/>
      <c r="AI242" s="9"/>
    </row>
    <row r="243" spans="3:35" ht="15.75" customHeight="1">
      <c r="C243" s="9"/>
      <c r="AI243" s="9"/>
    </row>
    <row r="244" spans="3:35" ht="15.75" customHeight="1">
      <c r="C244" s="9"/>
      <c r="AI244" s="9"/>
    </row>
    <row r="245" spans="3:35" ht="15.75" customHeight="1">
      <c r="C245" s="9"/>
      <c r="AI245" s="9"/>
    </row>
    <row r="246" spans="3:35" ht="15.75" customHeight="1">
      <c r="C246" s="9"/>
      <c r="AI246" s="9"/>
    </row>
    <row r="247" spans="3:35" ht="15.75" customHeight="1">
      <c r="C247" s="9"/>
      <c r="AI247" s="9"/>
    </row>
    <row r="248" spans="3:35" ht="15.75" customHeight="1">
      <c r="C248" s="9"/>
      <c r="AI248" s="9"/>
    </row>
    <row r="249" spans="3:35" ht="15.75" customHeight="1">
      <c r="C249" s="9"/>
      <c r="AI249" s="9"/>
    </row>
    <row r="250" spans="3:35" ht="15.75" customHeight="1">
      <c r="C250" s="9"/>
      <c r="AI250" s="9"/>
    </row>
    <row r="251" spans="3:35" ht="15.75" customHeight="1">
      <c r="C251" s="9"/>
      <c r="AI251" s="9"/>
    </row>
    <row r="252" spans="3:35" ht="15.75" customHeight="1">
      <c r="C252" s="9"/>
      <c r="AI252" s="9"/>
    </row>
    <row r="253" spans="3:35" ht="15.75" customHeight="1">
      <c r="C253" s="9"/>
      <c r="AI253" s="9"/>
    </row>
    <row r="254" spans="3:35" ht="15.75" customHeight="1">
      <c r="C254" s="9"/>
      <c r="AI254" s="9"/>
    </row>
    <row r="255" spans="3:35" ht="15.75" customHeight="1">
      <c r="C255" s="9"/>
      <c r="AI255" s="9"/>
    </row>
    <row r="256" spans="3:35" ht="15.75" customHeight="1">
      <c r="C256" s="9"/>
      <c r="AI256" s="9"/>
    </row>
    <row r="257" spans="3:35" ht="15.75" customHeight="1">
      <c r="C257" s="9"/>
      <c r="AI257" s="9"/>
    </row>
    <row r="258" spans="3:35" ht="15.75" customHeight="1">
      <c r="C258" s="9"/>
      <c r="AI258" s="9"/>
    </row>
    <row r="259" spans="3:35" ht="15.75" customHeight="1">
      <c r="C259" s="9"/>
      <c r="AI259" s="9"/>
    </row>
    <row r="260" spans="3:35" ht="15.75" customHeight="1">
      <c r="C260" s="9"/>
      <c r="AI260" s="9"/>
    </row>
    <row r="261" spans="3:35" ht="15.75" customHeight="1">
      <c r="C261" s="9"/>
      <c r="AI261" s="9"/>
    </row>
    <row r="262" spans="3:35" ht="15.75" customHeight="1">
      <c r="C262" s="9"/>
      <c r="AI262" s="9"/>
    </row>
    <row r="263" spans="3:35" ht="15.75" customHeight="1">
      <c r="C263" s="9"/>
      <c r="AI263" s="9"/>
    </row>
    <row r="264" spans="3:35" ht="15.75" customHeight="1">
      <c r="C264" s="9"/>
      <c r="AI264" s="9"/>
    </row>
    <row r="265" spans="3:35" ht="15.75" customHeight="1">
      <c r="C265" s="9"/>
      <c r="AI265" s="9"/>
    </row>
    <row r="266" spans="3:35" ht="15.75" customHeight="1">
      <c r="C266" s="9"/>
      <c r="AI266" s="9"/>
    </row>
    <row r="267" spans="3:35" ht="15.75" customHeight="1">
      <c r="C267" s="9"/>
      <c r="AI267" s="9"/>
    </row>
    <row r="268" spans="3:35" ht="15.75" customHeight="1">
      <c r="C268" s="9"/>
      <c r="AI268" s="9"/>
    </row>
    <row r="269" spans="3:35" ht="15.75" customHeight="1">
      <c r="C269" s="9"/>
      <c r="AI269" s="9"/>
    </row>
    <row r="270" spans="3:35" ht="15.75" customHeight="1">
      <c r="C270" s="9"/>
      <c r="AI270" s="9"/>
    </row>
    <row r="271" spans="3:35" ht="15.75" customHeight="1">
      <c r="C271" s="9"/>
      <c r="AI271" s="9"/>
    </row>
    <row r="272" spans="3:35" ht="15.75" customHeight="1">
      <c r="C272" s="9"/>
      <c r="AI272" s="9"/>
    </row>
    <row r="273" spans="3:35" ht="15.75" customHeight="1">
      <c r="C273" s="9"/>
      <c r="AI273" s="9"/>
    </row>
    <row r="274" spans="3:35" ht="15.75" customHeight="1">
      <c r="C274" s="9"/>
      <c r="AI274" s="9"/>
    </row>
    <row r="275" spans="3:35" ht="15.75" customHeight="1">
      <c r="C275" s="9"/>
      <c r="AI275" s="9"/>
    </row>
    <row r="276" spans="3:35" ht="15.75" customHeight="1">
      <c r="C276" s="9"/>
      <c r="AI276" s="9"/>
    </row>
    <row r="277" spans="3:35" ht="15.75" customHeight="1">
      <c r="C277" s="9"/>
      <c r="AI277" s="9"/>
    </row>
    <row r="278" spans="3:35" ht="15.75" customHeight="1">
      <c r="C278" s="9"/>
      <c r="AI278" s="9"/>
    </row>
    <row r="279" spans="3:35" ht="15.75" customHeight="1">
      <c r="C279" s="9"/>
      <c r="AI279" s="9"/>
    </row>
    <row r="280" spans="3:35" ht="15.75" customHeight="1">
      <c r="C280" s="9"/>
      <c r="AI280" s="9"/>
    </row>
    <row r="281" spans="3:35" ht="15.75" customHeight="1">
      <c r="C281" s="9"/>
      <c r="AI281" s="9"/>
    </row>
    <row r="282" spans="3:35" ht="15.75" customHeight="1">
      <c r="C282" s="9"/>
      <c r="AI282" s="9"/>
    </row>
    <row r="283" spans="3:35" ht="15.75" customHeight="1">
      <c r="C283" s="9"/>
      <c r="AI283" s="9"/>
    </row>
    <row r="284" spans="3:35" ht="15.75" customHeight="1">
      <c r="C284" s="9"/>
      <c r="AI284" s="9"/>
    </row>
    <row r="285" spans="3:35" ht="15.75" customHeight="1">
      <c r="C285" s="9"/>
      <c r="AI285" s="9"/>
    </row>
    <row r="286" spans="3:35" ht="15.75" customHeight="1">
      <c r="C286" s="9"/>
      <c r="AI286" s="9"/>
    </row>
    <row r="287" spans="3:35" ht="15.75" customHeight="1">
      <c r="C287" s="9"/>
      <c r="AI287" s="9"/>
    </row>
    <row r="288" spans="3:35" ht="15.75" customHeight="1">
      <c r="C288" s="9"/>
      <c r="AI288" s="9"/>
    </row>
    <row r="289" spans="3:35" ht="15.75" customHeight="1">
      <c r="C289" s="9"/>
      <c r="AI289" s="9"/>
    </row>
    <row r="290" spans="3:35" ht="15.75" customHeight="1">
      <c r="C290" s="9"/>
      <c r="AI290" s="9"/>
    </row>
    <row r="291" spans="3:35" ht="15.75" customHeight="1">
      <c r="C291" s="9"/>
      <c r="AI291" s="9"/>
    </row>
    <row r="292" spans="3:35" ht="15.75" customHeight="1">
      <c r="C292" s="9"/>
      <c r="AI292" s="9"/>
    </row>
    <row r="293" spans="3:35" ht="15.75" customHeight="1">
      <c r="C293" s="9"/>
      <c r="AI293" s="9"/>
    </row>
    <row r="294" spans="3:35" ht="15.75" customHeight="1">
      <c r="C294" s="9"/>
      <c r="AI294" s="9"/>
    </row>
    <row r="295" spans="3:35" ht="15.75" customHeight="1">
      <c r="C295" s="9"/>
      <c r="AI295" s="9"/>
    </row>
    <row r="296" spans="3:35" ht="15.75" customHeight="1">
      <c r="C296" s="9"/>
      <c r="AI296" s="9"/>
    </row>
    <row r="297" spans="3:35" ht="15.75" customHeight="1">
      <c r="C297" s="9"/>
      <c r="AI297" s="9"/>
    </row>
    <row r="298" spans="3:35" ht="15.75" customHeight="1">
      <c r="C298" s="9"/>
      <c r="AI298" s="9"/>
    </row>
    <row r="299" spans="3:35" ht="15.75" customHeight="1">
      <c r="C299" s="9"/>
      <c r="AI299" s="9"/>
    </row>
    <row r="300" spans="3:35" ht="15.75" customHeight="1">
      <c r="C300" s="9"/>
      <c r="AI300" s="9"/>
    </row>
    <row r="301" spans="3:35" ht="15.75" customHeight="1">
      <c r="C301" s="9"/>
      <c r="AI301" s="9"/>
    </row>
    <row r="302" spans="3:35" ht="15.75" customHeight="1">
      <c r="C302" s="9"/>
      <c r="AI302" s="9"/>
    </row>
    <row r="303" spans="3:35" ht="15.75" customHeight="1">
      <c r="C303" s="9"/>
      <c r="AI303" s="9"/>
    </row>
    <row r="304" spans="3:35" ht="15.75" customHeight="1">
      <c r="C304" s="9"/>
      <c r="AI304" s="9"/>
    </row>
    <row r="305" spans="3:35" ht="15.75" customHeight="1">
      <c r="C305" s="9"/>
      <c r="AI305" s="9"/>
    </row>
    <row r="306" spans="3:35" ht="15.75" customHeight="1">
      <c r="C306" s="9"/>
      <c r="AI306" s="9"/>
    </row>
    <row r="307" spans="3:35" ht="15.75" customHeight="1">
      <c r="C307" s="9"/>
      <c r="AI307" s="9"/>
    </row>
    <row r="308" spans="3:35" ht="15.75" customHeight="1">
      <c r="C308" s="9"/>
      <c r="AI308" s="9"/>
    </row>
    <row r="309" spans="3:35" ht="15.75" customHeight="1">
      <c r="C309" s="9"/>
      <c r="AI309" s="9"/>
    </row>
    <row r="310" spans="3:35" ht="15.75" customHeight="1">
      <c r="C310" s="9"/>
      <c r="AI310" s="9"/>
    </row>
    <row r="311" spans="3:35" ht="15.75" customHeight="1">
      <c r="C311" s="9"/>
      <c r="AI311" s="9"/>
    </row>
    <row r="312" spans="3:35" ht="15.75" customHeight="1">
      <c r="C312" s="9"/>
      <c r="AI312" s="9"/>
    </row>
    <row r="313" spans="3:35" ht="15.75" customHeight="1">
      <c r="C313" s="9"/>
      <c r="AI313" s="9"/>
    </row>
    <row r="314" spans="3:35" ht="15.75" customHeight="1">
      <c r="C314" s="9"/>
      <c r="AI314" s="9"/>
    </row>
    <row r="315" spans="3:35" ht="15.75" customHeight="1">
      <c r="C315" s="9"/>
      <c r="AI315" s="9"/>
    </row>
    <row r="316" spans="3:35" ht="15.75" customHeight="1">
      <c r="C316" s="9"/>
      <c r="AI316" s="9"/>
    </row>
    <row r="317" spans="3:35" ht="15.75" customHeight="1">
      <c r="C317" s="9"/>
      <c r="AI317" s="9"/>
    </row>
    <row r="318" spans="3:35" ht="15.75" customHeight="1">
      <c r="C318" s="9"/>
      <c r="AI318" s="9"/>
    </row>
    <row r="319" spans="3:35" ht="15.75" customHeight="1">
      <c r="C319" s="9"/>
      <c r="AI319" s="9"/>
    </row>
    <row r="320" spans="3:35" ht="15.75" customHeight="1">
      <c r="C320" s="9"/>
      <c r="AI320" s="9"/>
    </row>
    <row r="321" spans="3:35" ht="15.75" customHeight="1">
      <c r="C321" s="9"/>
      <c r="AI321" s="9"/>
    </row>
    <row r="322" spans="3:35" ht="15.75" customHeight="1">
      <c r="C322" s="9"/>
      <c r="AI322" s="9"/>
    </row>
    <row r="323" spans="3:35" ht="15.75" customHeight="1">
      <c r="C323" s="9"/>
      <c r="AI323" s="9"/>
    </row>
    <row r="324" spans="3:35" ht="15.75" customHeight="1">
      <c r="C324" s="9"/>
      <c r="AI324" s="9"/>
    </row>
    <row r="325" spans="3:35" ht="15.75" customHeight="1">
      <c r="C325" s="9"/>
      <c r="AI325" s="9"/>
    </row>
    <row r="326" spans="3:35" ht="15.75" customHeight="1">
      <c r="C326" s="9"/>
      <c r="AI326" s="9"/>
    </row>
    <row r="327" spans="3:35" ht="15.75" customHeight="1">
      <c r="C327" s="9"/>
      <c r="AI327" s="9"/>
    </row>
    <row r="328" spans="3:35" ht="15.75" customHeight="1">
      <c r="C328" s="9"/>
      <c r="AI328" s="9"/>
    </row>
    <row r="329" spans="3:35" ht="15.75" customHeight="1">
      <c r="C329" s="9"/>
      <c r="AI329" s="9"/>
    </row>
    <row r="330" spans="3:35" ht="15.75" customHeight="1">
      <c r="C330" s="9"/>
      <c r="AI330" s="9"/>
    </row>
    <row r="331" spans="3:35" ht="15.75" customHeight="1">
      <c r="C331" s="9"/>
      <c r="AI331" s="9"/>
    </row>
    <row r="332" spans="3:35" ht="15.75" customHeight="1">
      <c r="C332" s="9"/>
      <c r="AI332" s="9"/>
    </row>
    <row r="333" spans="3:35" ht="15.75" customHeight="1">
      <c r="C333" s="9"/>
      <c r="AI333" s="9"/>
    </row>
    <row r="334" spans="3:35" ht="15.75" customHeight="1">
      <c r="C334" s="9"/>
      <c r="AI334" s="9"/>
    </row>
    <row r="335" spans="3:35" ht="15.75" customHeight="1">
      <c r="C335" s="9"/>
      <c r="AI335" s="9"/>
    </row>
    <row r="336" spans="3:35" ht="15.75" customHeight="1">
      <c r="C336" s="9"/>
      <c r="AI336" s="9"/>
    </row>
    <row r="337" spans="3:35" ht="15.75" customHeight="1">
      <c r="C337" s="9"/>
      <c r="AI337" s="9"/>
    </row>
    <row r="338" spans="3:35" ht="15.75" customHeight="1">
      <c r="C338" s="9"/>
      <c r="AI338" s="9"/>
    </row>
    <row r="339" spans="3:35" ht="15.75" customHeight="1">
      <c r="C339" s="9"/>
      <c r="AI339" s="9"/>
    </row>
    <row r="340" spans="3:35" ht="15.75" customHeight="1">
      <c r="C340" s="9"/>
      <c r="AI340" s="9"/>
    </row>
    <row r="341" spans="3:35" ht="15.75" customHeight="1">
      <c r="C341" s="9"/>
      <c r="AI341" s="9"/>
    </row>
    <row r="342" spans="3:35" ht="15.75" customHeight="1">
      <c r="C342" s="9"/>
      <c r="AI342" s="9"/>
    </row>
    <row r="343" spans="3:35" ht="15.75" customHeight="1">
      <c r="C343" s="9"/>
      <c r="AI343" s="9"/>
    </row>
    <row r="344" spans="3:35" ht="15.75" customHeight="1">
      <c r="C344" s="9"/>
      <c r="AI344" s="9"/>
    </row>
    <row r="345" spans="3:35" ht="15.75" customHeight="1">
      <c r="C345" s="9"/>
      <c r="AI345" s="9"/>
    </row>
    <row r="346" spans="3:35" ht="15.75" customHeight="1">
      <c r="C346" s="9"/>
      <c r="AI346" s="9"/>
    </row>
    <row r="347" spans="3:35" ht="15.75" customHeight="1">
      <c r="C347" s="9"/>
      <c r="AI347" s="9"/>
    </row>
    <row r="348" spans="3:35" ht="15.75" customHeight="1">
      <c r="C348" s="9"/>
      <c r="AI348" s="9"/>
    </row>
    <row r="349" spans="3:35" ht="15.75" customHeight="1">
      <c r="C349" s="9"/>
      <c r="AI349" s="9"/>
    </row>
    <row r="350" spans="3:35" ht="15.75" customHeight="1">
      <c r="C350" s="9"/>
      <c r="AI350" s="9"/>
    </row>
    <row r="351" spans="3:35" ht="15.75" customHeight="1">
      <c r="C351" s="9"/>
      <c r="AI351" s="9"/>
    </row>
    <row r="352" spans="3:35" ht="15.75" customHeight="1">
      <c r="C352" s="9"/>
      <c r="AI352" s="9"/>
    </row>
    <row r="353" spans="3:35" ht="15.75" customHeight="1">
      <c r="C353" s="9"/>
      <c r="AI353" s="9"/>
    </row>
    <row r="354" spans="3:35" ht="15.75" customHeight="1">
      <c r="C354" s="9"/>
      <c r="AI354" s="9"/>
    </row>
    <row r="355" spans="3:35" ht="15.75" customHeight="1">
      <c r="C355" s="9"/>
      <c r="AI355" s="9"/>
    </row>
    <row r="356" spans="3:35" ht="15.75" customHeight="1">
      <c r="C356" s="9"/>
      <c r="AI356" s="9"/>
    </row>
    <row r="357" spans="3:35" ht="15.75" customHeight="1">
      <c r="C357" s="9"/>
      <c r="AI357" s="9"/>
    </row>
    <row r="358" spans="3:35" ht="15.75" customHeight="1">
      <c r="C358" s="9"/>
      <c r="AI358" s="9"/>
    </row>
    <row r="359" spans="3:35" ht="15.75" customHeight="1">
      <c r="C359" s="9"/>
      <c r="AI359" s="9"/>
    </row>
    <row r="360" spans="3:35" ht="15.75" customHeight="1">
      <c r="C360" s="9"/>
      <c r="AI360" s="9"/>
    </row>
    <row r="361" spans="3:35" ht="15.75" customHeight="1">
      <c r="C361" s="9"/>
      <c r="AI361" s="9"/>
    </row>
    <row r="362" spans="3:35" ht="15.75" customHeight="1">
      <c r="C362" s="9"/>
      <c r="AI362" s="9"/>
    </row>
    <row r="363" spans="3:35" ht="15.75" customHeight="1">
      <c r="C363" s="9"/>
      <c r="AI363" s="9"/>
    </row>
    <row r="364" spans="3:35" ht="15.75" customHeight="1">
      <c r="C364" s="9"/>
      <c r="AI364" s="9"/>
    </row>
    <row r="365" spans="3:35" ht="15.75" customHeight="1">
      <c r="C365" s="9"/>
      <c r="AI365" s="9"/>
    </row>
    <row r="366" spans="3:35" ht="15.75" customHeight="1">
      <c r="C366" s="9"/>
      <c r="AI366" s="9"/>
    </row>
    <row r="367" spans="3:35" ht="15.75" customHeight="1">
      <c r="C367" s="9"/>
      <c r="AI367" s="9"/>
    </row>
    <row r="368" spans="3:35" ht="15.75" customHeight="1">
      <c r="C368" s="9"/>
      <c r="AI368" s="9"/>
    </row>
    <row r="369" spans="3:35" ht="15.75" customHeight="1">
      <c r="C369" s="9"/>
      <c r="AI369" s="9"/>
    </row>
    <row r="370" spans="3:35" ht="15.75" customHeight="1">
      <c r="C370" s="9"/>
      <c r="AI370" s="9"/>
    </row>
    <row r="371" spans="3:35" ht="15.75" customHeight="1">
      <c r="C371" s="9"/>
      <c r="AI371" s="9"/>
    </row>
    <row r="372" spans="3:35" ht="15.75" customHeight="1">
      <c r="C372" s="9"/>
      <c r="AI372" s="9"/>
    </row>
    <row r="373" spans="3:35" ht="15.75" customHeight="1">
      <c r="C373" s="9"/>
      <c r="AI373" s="9"/>
    </row>
    <row r="374" spans="3:35" ht="15.75" customHeight="1">
      <c r="C374" s="9"/>
      <c r="AI374" s="9"/>
    </row>
    <row r="375" spans="3:35" ht="15.75" customHeight="1">
      <c r="C375" s="9"/>
      <c r="AI375" s="9"/>
    </row>
    <row r="376" spans="3:35" ht="15.75" customHeight="1">
      <c r="C376" s="9"/>
      <c r="AI376" s="9"/>
    </row>
    <row r="377" spans="3:35" ht="15.75" customHeight="1">
      <c r="C377" s="9"/>
      <c r="AI377" s="9"/>
    </row>
    <row r="378" spans="3:35" ht="15.75" customHeight="1">
      <c r="C378" s="9"/>
      <c r="AI378" s="9"/>
    </row>
    <row r="379" spans="3:35" ht="15.75" customHeight="1">
      <c r="C379" s="9"/>
      <c r="AI379" s="9"/>
    </row>
    <row r="380" spans="3:35" ht="15.75" customHeight="1">
      <c r="C380" s="9"/>
      <c r="AI380" s="9"/>
    </row>
    <row r="381" spans="3:35" ht="15.75" customHeight="1">
      <c r="C381" s="9"/>
      <c r="AI381" s="9"/>
    </row>
    <row r="382" spans="3:35" ht="15.75" customHeight="1">
      <c r="C382" s="9"/>
      <c r="AI382" s="9"/>
    </row>
    <row r="383" spans="3:35" ht="15.75" customHeight="1">
      <c r="C383" s="9"/>
      <c r="AI383" s="9"/>
    </row>
    <row r="384" spans="3:35" ht="15.75" customHeight="1">
      <c r="C384" s="9"/>
      <c r="AI384" s="9"/>
    </row>
    <row r="385" spans="3:35" ht="15.75" customHeight="1">
      <c r="C385" s="9"/>
      <c r="AI385" s="9"/>
    </row>
    <row r="386" spans="3:35" ht="15.75" customHeight="1">
      <c r="C386" s="9"/>
      <c r="AI386" s="9"/>
    </row>
    <row r="387" spans="3:35" ht="15.75" customHeight="1">
      <c r="C387" s="9"/>
      <c r="AI387" s="9"/>
    </row>
    <row r="388" spans="3:35" ht="15.75" customHeight="1">
      <c r="C388" s="9"/>
      <c r="AI388" s="9"/>
    </row>
    <row r="389" spans="3:35" ht="15.75" customHeight="1">
      <c r="C389" s="9"/>
      <c r="AI389" s="9"/>
    </row>
    <row r="390" spans="3:35" ht="15.75" customHeight="1">
      <c r="C390" s="9"/>
      <c r="AI390" s="9"/>
    </row>
    <row r="391" spans="3:35" ht="15.75" customHeight="1">
      <c r="C391" s="9"/>
      <c r="AI391" s="9"/>
    </row>
    <row r="392" spans="3:35" ht="15.75" customHeight="1">
      <c r="C392" s="9"/>
      <c r="AI392" s="9"/>
    </row>
    <row r="393" spans="3:35" ht="15.75" customHeight="1">
      <c r="C393" s="9"/>
      <c r="AI393" s="9"/>
    </row>
    <row r="394" spans="3:35" ht="15.75" customHeight="1">
      <c r="C394" s="9"/>
      <c r="AI394" s="9"/>
    </row>
    <row r="395" spans="3:35" ht="15.75" customHeight="1">
      <c r="C395" s="9"/>
      <c r="AI395" s="9"/>
    </row>
    <row r="396" spans="3:35" ht="15.75" customHeight="1">
      <c r="C396" s="9"/>
      <c r="AI396" s="9"/>
    </row>
    <row r="397" spans="3:35" ht="15.75" customHeight="1">
      <c r="C397" s="9"/>
      <c r="AI397" s="9"/>
    </row>
    <row r="398" spans="3:35" ht="15.75" customHeight="1">
      <c r="C398" s="9"/>
      <c r="AI398" s="9"/>
    </row>
    <row r="399" spans="3:35" ht="15.75" customHeight="1">
      <c r="C399" s="9"/>
      <c r="AI399" s="9"/>
    </row>
    <row r="400" spans="3:35" ht="15.75" customHeight="1">
      <c r="C400" s="9"/>
      <c r="AI400" s="9"/>
    </row>
    <row r="401" spans="3:35" ht="15.75" customHeight="1">
      <c r="C401" s="9"/>
      <c r="AI401" s="9"/>
    </row>
    <row r="402" spans="3:35" ht="15.75" customHeight="1">
      <c r="C402" s="9"/>
      <c r="AI402" s="9"/>
    </row>
    <row r="403" spans="3:35" ht="15.75" customHeight="1">
      <c r="C403" s="9"/>
      <c r="AI403" s="9"/>
    </row>
    <row r="404" spans="3:35" ht="15.75" customHeight="1">
      <c r="C404" s="9"/>
      <c r="AI404" s="9"/>
    </row>
    <row r="405" spans="3:35" ht="15.75" customHeight="1">
      <c r="C405" s="9"/>
      <c r="AI405" s="9"/>
    </row>
    <row r="406" spans="3:35" ht="15.75" customHeight="1">
      <c r="C406" s="9"/>
      <c r="AI406" s="9"/>
    </row>
    <row r="407" spans="3:35" ht="15.75" customHeight="1">
      <c r="C407" s="9"/>
      <c r="AI407" s="9"/>
    </row>
    <row r="408" spans="3:35" ht="15.75" customHeight="1">
      <c r="C408" s="9"/>
      <c r="AI408" s="9"/>
    </row>
    <row r="409" spans="3:35" ht="15.75" customHeight="1">
      <c r="C409" s="9"/>
      <c r="AI409" s="9"/>
    </row>
    <row r="410" spans="3:35" ht="15.75" customHeight="1">
      <c r="C410" s="9"/>
      <c r="AI410" s="9"/>
    </row>
    <row r="411" spans="3:35" ht="15.75" customHeight="1">
      <c r="C411" s="9"/>
      <c r="AI411" s="9"/>
    </row>
    <row r="412" spans="3:35" ht="15.75" customHeight="1">
      <c r="C412" s="9"/>
      <c r="AI412" s="9"/>
    </row>
    <row r="413" spans="3:35" ht="15.75" customHeight="1">
      <c r="C413" s="9"/>
      <c r="AI413" s="9"/>
    </row>
    <row r="414" spans="3:35" ht="15.75" customHeight="1">
      <c r="C414" s="9"/>
      <c r="AI414" s="9"/>
    </row>
    <row r="415" spans="3:35" ht="15.75" customHeight="1">
      <c r="C415" s="9"/>
      <c r="AI415" s="9"/>
    </row>
    <row r="416" spans="3:35"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36">
    <mergeCell ref="M1:M5"/>
    <mergeCell ref="AI6:AL7"/>
    <mergeCell ref="AQ6:AS7"/>
    <mergeCell ref="AW7:BA8"/>
    <mergeCell ref="AR8:AR18"/>
    <mergeCell ref="AL10:AO11"/>
    <mergeCell ref="AR22:AR24"/>
    <mergeCell ref="BE22:BJ25"/>
    <mergeCell ref="BC28:BJ29"/>
    <mergeCell ref="AU31:AX32"/>
    <mergeCell ref="BD31:BG32"/>
    <mergeCell ref="BI31:BJ32"/>
    <mergeCell ref="AR31:AR33"/>
    <mergeCell ref="AZ33:BA36"/>
    <mergeCell ref="BE46:BJ48"/>
    <mergeCell ref="AU49:AX50"/>
    <mergeCell ref="BI91:BJ97"/>
    <mergeCell ref="BI108:BJ114"/>
    <mergeCell ref="BI53:BJ60"/>
    <mergeCell ref="BC62:BJ65"/>
    <mergeCell ref="AZ79:BB81"/>
    <mergeCell ref="AT80:AY83"/>
    <mergeCell ref="AU88:AZ89"/>
    <mergeCell ref="AZ102:BA103"/>
    <mergeCell ref="AQ146:AR147"/>
    <mergeCell ref="AQ150:AR151"/>
    <mergeCell ref="D156:S159"/>
    <mergeCell ref="C202:D202"/>
    <mergeCell ref="F202:I202"/>
    <mergeCell ref="K202:M202"/>
    <mergeCell ref="AR102:AR103"/>
    <mergeCell ref="AJ48:AQ58"/>
    <mergeCell ref="AL70:AO71"/>
    <mergeCell ref="AR83:AR84"/>
    <mergeCell ref="AR86:AR87"/>
    <mergeCell ref="AR91:AR92"/>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S1000"/>
  <sheetViews>
    <sheetView showGridLines="0" workbookViewId="0"/>
  </sheetViews>
  <sheetFormatPr baseColWidth="10" defaultColWidth="11.28515625" defaultRowHeight="15" customHeight="1"/>
  <cols>
    <col min="1" max="1" width="2" customWidth="1"/>
    <col min="2" max="2" width="1.140625" customWidth="1"/>
    <col min="3" max="3" width="3.28515625" customWidth="1"/>
    <col min="4" max="4" width="33.28515625" customWidth="1"/>
    <col min="5" max="10" width="11.140625" customWidth="1"/>
    <col min="11" max="11" width="12.140625" customWidth="1"/>
    <col min="12" max="12" width="4.7109375" customWidth="1"/>
    <col min="13" max="14" width="10.5703125" customWidth="1"/>
    <col min="15" max="15" width="1" customWidth="1"/>
    <col min="16" max="16" width="17" customWidth="1"/>
    <col min="17" max="17" width="1.42578125" customWidth="1"/>
    <col min="18" max="18" width="18" customWidth="1"/>
    <col min="19" max="19" width="1.7109375" customWidth="1"/>
    <col min="20" max="26" width="11.28515625" customWidth="1"/>
  </cols>
  <sheetData>
    <row r="1" spans="2:19" ht="15.75" customHeight="1">
      <c r="C1" s="9"/>
    </row>
    <row r="2" spans="2:19" ht="26">
      <c r="B2" s="7"/>
      <c r="C2" s="7" t="s">
        <v>224</v>
      </c>
    </row>
    <row r="3" spans="2:19" ht="10.5" customHeight="1">
      <c r="C3" s="9"/>
      <c r="D3" s="8"/>
    </row>
    <row r="4" spans="2:19" ht="30.75" customHeight="1">
      <c r="B4" s="11"/>
      <c r="C4" s="12" t="s">
        <v>225</v>
      </c>
      <c r="D4" s="13"/>
      <c r="E4" s="13"/>
      <c r="F4" s="13"/>
      <c r="G4" s="13"/>
      <c r="H4" s="13"/>
      <c r="I4" s="13"/>
      <c r="J4" s="13"/>
      <c r="K4" s="13"/>
      <c r="L4" s="13"/>
      <c r="M4" s="13"/>
      <c r="N4" s="13"/>
      <c r="O4" s="13"/>
      <c r="P4" s="13"/>
      <c r="Q4" s="13"/>
      <c r="R4" s="13"/>
      <c r="S4" s="14"/>
    </row>
    <row r="5" spans="2:19" ht="15.75" customHeight="1">
      <c r="B5" s="18"/>
      <c r="C5" s="9"/>
      <c r="D5" s="6"/>
      <c r="E5" s="6"/>
      <c r="F5" s="6"/>
      <c r="G5" s="6"/>
      <c r="H5" s="6"/>
      <c r="I5" s="6"/>
      <c r="J5" s="6"/>
      <c r="K5" s="6"/>
      <c r="L5" s="6"/>
      <c r="M5" s="6"/>
      <c r="N5" s="6"/>
      <c r="O5" s="6"/>
      <c r="P5" s="245" t="s">
        <v>226</v>
      </c>
      <c r="Q5" s="6"/>
      <c r="R5" s="170" t="s">
        <v>227</v>
      </c>
      <c r="S5" s="19"/>
    </row>
    <row r="6" spans="2:19" ht="24">
      <c r="B6" s="18"/>
      <c r="C6" s="9"/>
      <c r="D6" s="246" t="s">
        <v>228</v>
      </c>
      <c r="E6" s="247"/>
      <c r="F6" s="247"/>
      <c r="G6" s="247"/>
      <c r="H6" s="247"/>
      <c r="I6" s="247"/>
      <c r="J6" s="247"/>
      <c r="K6" s="247"/>
      <c r="L6" s="247"/>
      <c r="M6" s="247"/>
      <c r="N6" s="247"/>
      <c r="O6" s="6"/>
      <c r="P6" s="248" t="s">
        <v>229</v>
      </c>
      <c r="Q6" s="245"/>
      <c r="R6" s="248" t="s">
        <v>230</v>
      </c>
      <c r="S6" s="19"/>
    </row>
    <row r="7" spans="2:19" ht="15.75" customHeight="1">
      <c r="B7" s="18"/>
      <c r="C7" s="249">
        <v>1</v>
      </c>
      <c r="D7" s="25" t="s">
        <v>231</v>
      </c>
      <c r="E7" s="6"/>
      <c r="F7" s="6"/>
      <c r="G7" s="6"/>
      <c r="H7" s="6"/>
      <c r="I7" s="6"/>
      <c r="J7" s="6"/>
      <c r="K7" s="6"/>
      <c r="L7" s="22"/>
      <c r="M7" s="6"/>
      <c r="N7" s="6"/>
      <c r="O7" s="6"/>
      <c r="P7" s="245" t="s">
        <v>232</v>
      </c>
      <c r="Q7" s="245"/>
      <c r="R7" s="304" t="s">
        <v>233</v>
      </c>
      <c r="S7" s="19"/>
    </row>
    <row r="8" spans="2:19" ht="36" customHeight="1">
      <c r="B8" s="18"/>
      <c r="C8" s="249"/>
      <c r="D8" s="305" t="s">
        <v>234</v>
      </c>
      <c r="E8" s="258"/>
      <c r="F8" s="258"/>
      <c r="G8" s="258"/>
      <c r="H8" s="258"/>
      <c r="I8" s="258"/>
      <c r="J8" s="258"/>
      <c r="K8" s="258"/>
      <c r="L8" s="258"/>
      <c r="M8" s="258"/>
      <c r="N8" s="258"/>
      <c r="O8" s="250"/>
      <c r="P8" s="251"/>
      <c r="Q8" s="251"/>
      <c r="R8" s="258"/>
      <c r="S8" s="19"/>
    </row>
    <row r="9" spans="2:19" ht="15.75" customHeight="1">
      <c r="B9" s="18"/>
      <c r="C9" s="9"/>
      <c r="D9" s="6"/>
      <c r="E9" s="6"/>
      <c r="F9" s="6"/>
      <c r="G9" s="6"/>
      <c r="H9" s="6"/>
      <c r="I9" s="6"/>
      <c r="J9" s="6"/>
      <c r="K9" s="6"/>
      <c r="L9" s="6"/>
      <c r="M9" s="6"/>
      <c r="N9" s="6"/>
      <c r="O9" s="6"/>
      <c r="P9" s="6"/>
      <c r="Q9" s="6"/>
      <c r="R9" s="6"/>
      <c r="S9" s="19"/>
    </row>
    <row r="10" spans="2:19" ht="15.75" customHeight="1">
      <c r="B10" s="18"/>
      <c r="C10" s="249">
        <f>+C7+1</f>
        <v>2</v>
      </c>
      <c r="D10" s="25" t="s">
        <v>235</v>
      </c>
      <c r="E10" s="6"/>
      <c r="F10" s="6"/>
      <c r="G10" s="6"/>
      <c r="H10" s="6"/>
      <c r="I10" s="6"/>
      <c r="J10" s="6"/>
      <c r="K10" s="6"/>
      <c r="L10" s="22"/>
      <c r="M10" s="6"/>
      <c r="N10" s="6"/>
      <c r="O10" s="6"/>
      <c r="P10" s="245" t="s">
        <v>232</v>
      </c>
      <c r="Q10" s="6"/>
      <c r="R10" s="303" t="s">
        <v>236</v>
      </c>
      <c r="S10" s="19"/>
    </row>
    <row r="11" spans="2:19" ht="51.75" customHeight="1">
      <c r="B11" s="18"/>
      <c r="C11" s="249"/>
      <c r="D11" s="302" t="s">
        <v>237</v>
      </c>
      <c r="E11" s="258"/>
      <c r="F11" s="258"/>
      <c r="G11" s="258"/>
      <c r="H11" s="258"/>
      <c r="I11" s="258"/>
      <c r="J11" s="258"/>
      <c r="K11" s="258"/>
      <c r="L11" s="258"/>
      <c r="M11" s="258"/>
      <c r="N11" s="258"/>
      <c r="O11" s="252"/>
      <c r="P11" s="253" t="s">
        <v>238</v>
      </c>
      <c r="Q11" s="252"/>
      <c r="R11" s="258"/>
      <c r="S11" s="19"/>
    </row>
    <row r="12" spans="2:19" ht="33" customHeight="1">
      <c r="B12" s="18"/>
      <c r="C12" s="249"/>
      <c r="D12" s="301" t="s">
        <v>239</v>
      </c>
      <c r="E12" s="258"/>
      <c r="F12" s="258"/>
      <c r="G12" s="258"/>
      <c r="H12" s="258"/>
      <c r="I12" s="258"/>
      <c r="J12" s="258"/>
      <c r="K12" s="258"/>
      <c r="L12" s="258"/>
      <c r="M12" s="258"/>
      <c r="N12" s="258"/>
      <c r="O12" s="252"/>
      <c r="P12" s="253"/>
      <c r="Q12" s="252"/>
      <c r="R12" s="254"/>
      <c r="S12" s="19"/>
    </row>
    <row r="13" spans="2:19" ht="36" customHeight="1">
      <c r="B13" s="18"/>
      <c r="C13" s="249"/>
      <c r="D13" s="301" t="s">
        <v>240</v>
      </c>
      <c r="E13" s="258"/>
      <c r="F13" s="258"/>
      <c r="G13" s="258"/>
      <c r="H13" s="258"/>
      <c r="I13" s="258"/>
      <c r="J13" s="258"/>
      <c r="K13" s="258"/>
      <c r="L13" s="258"/>
      <c r="M13" s="258"/>
      <c r="N13" s="258"/>
      <c r="O13" s="252"/>
      <c r="P13" s="252"/>
      <c r="Q13" s="252"/>
      <c r="R13" s="252"/>
      <c r="S13" s="19"/>
    </row>
    <row r="14" spans="2:19" ht="15.75" customHeight="1">
      <c r="B14" s="18"/>
      <c r="C14" s="249"/>
      <c r="D14" s="302" t="s">
        <v>241</v>
      </c>
      <c r="E14" s="258"/>
      <c r="F14" s="258"/>
      <c r="G14" s="258"/>
      <c r="H14" s="258"/>
      <c r="I14" s="258"/>
      <c r="J14" s="258"/>
      <c r="K14" s="258"/>
      <c r="L14" s="258"/>
      <c r="M14" s="258"/>
      <c r="N14" s="258"/>
      <c r="O14" s="252"/>
      <c r="P14" s="252"/>
      <c r="Q14" s="252"/>
      <c r="R14" s="252"/>
      <c r="S14" s="19"/>
    </row>
    <row r="15" spans="2:19" ht="10.5" customHeight="1">
      <c r="B15" s="18"/>
      <c r="C15" s="249"/>
      <c r="D15" s="6"/>
      <c r="E15" s="71"/>
      <c r="F15" s="71"/>
      <c r="G15" s="71"/>
      <c r="H15" s="71"/>
      <c r="I15" s="71"/>
      <c r="J15" s="71"/>
      <c r="K15" s="33"/>
      <c r="L15" s="49"/>
      <c r="M15" s="71"/>
      <c r="N15" s="33"/>
      <c r="O15" s="33"/>
      <c r="P15" s="33"/>
      <c r="Q15" s="33"/>
      <c r="R15" s="33"/>
      <c r="S15" s="19"/>
    </row>
    <row r="16" spans="2:19" ht="15.75" customHeight="1">
      <c r="B16" s="18"/>
      <c r="C16" s="249">
        <f>C10+1</f>
        <v>3</v>
      </c>
      <c r="D16" s="25" t="s">
        <v>242</v>
      </c>
      <c r="E16" s="71"/>
      <c r="F16" s="71"/>
      <c r="G16" s="71"/>
      <c r="H16" s="71"/>
      <c r="I16" s="71"/>
      <c r="J16" s="71"/>
      <c r="K16" s="33"/>
      <c r="L16" s="49"/>
      <c r="M16" s="71"/>
      <c r="N16" s="33"/>
      <c r="O16" s="33"/>
      <c r="P16" s="245" t="s">
        <v>232</v>
      </c>
      <c r="Q16" s="6"/>
      <c r="R16" s="303" t="s">
        <v>243</v>
      </c>
      <c r="S16" s="19"/>
    </row>
    <row r="17" spans="2:19" ht="15.75" customHeight="1">
      <c r="B17" s="18"/>
      <c r="C17" s="249"/>
      <c r="D17" s="25" t="s">
        <v>244</v>
      </c>
      <c r="E17" s="71"/>
      <c r="F17" s="71"/>
      <c r="G17" s="71"/>
      <c r="H17" s="71"/>
      <c r="I17" s="71"/>
      <c r="J17" s="71"/>
      <c r="K17" s="33"/>
      <c r="L17" s="49"/>
      <c r="M17" s="71"/>
      <c r="N17" s="33"/>
      <c r="O17" s="33"/>
      <c r="P17" s="245"/>
      <c r="Q17" s="6"/>
      <c r="R17" s="258"/>
      <c r="S17" s="19"/>
    </row>
    <row r="18" spans="2:19" ht="36.75" customHeight="1">
      <c r="B18" s="18"/>
      <c r="C18" s="249"/>
      <c r="D18" s="302" t="s">
        <v>245</v>
      </c>
      <c r="E18" s="258"/>
      <c r="F18" s="258"/>
      <c r="G18" s="258"/>
      <c r="H18" s="258"/>
      <c r="I18" s="258"/>
      <c r="J18" s="258"/>
      <c r="K18" s="258"/>
      <c r="L18" s="258"/>
      <c r="M18" s="258"/>
      <c r="N18" s="258"/>
      <c r="O18" s="252"/>
      <c r="P18" s="253" t="s">
        <v>238</v>
      </c>
      <c r="Q18" s="252"/>
      <c r="R18" s="258"/>
      <c r="S18" s="19"/>
    </row>
    <row r="19" spans="2:19" ht="15.75" customHeight="1">
      <c r="B19" s="18"/>
      <c r="C19" s="249"/>
      <c r="D19" s="302" t="s">
        <v>246</v>
      </c>
      <c r="E19" s="258"/>
      <c r="F19" s="258"/>
      <c r="G19" s="258"/>
      <c r="H19" s="258"/>
      <c r="I19" s="258"/>
      <c r="J19" s="258"/>
      <c r="K19" s="258"/>
      <c r="L19" s="258"/>
      <c r="M19" s="258"/>
      <c r="N19" s="258"/>
      <c r="O19" s="252"/>
      <c r="P19" s="252"/>
      <c r="Q19" s="252"/>
      <c r="R19" s="252"/>
      <c r="S19" s="19"/>
    </row>
    <row r="20" spans="2:19" ht="15.75" customHeight="1">
      <c r="B20" s="18"/>
      <c r="C20" s="249"/>
      <c r="D20" s="25"/>
      <c r="E20" s="50"/>
      <c r="F20" s="50"/>
      <c r="G20" s="50"/>
      <c r="H20" s="50"/>
      <c r="I20" s="50"/>
      <c r="J20" s="50"/>
      <c r="K20" s="67"/>
      <c r="L20" s="49"/>
      <c r="M20" s="50"/>
      <c r="N20" s="51"/>
      <c r="O20" s="51"/>
      <c r="P20" s="51"/>
      <c r="Q20" s="51"/>
      <c r="R20" s="51"/>
      <c r="S20" s="19"/>
    </row>
    <row r="21" spans="2:19" ht="21">
      <c r="B21" s="18"/>
      <c r="C21" s="249">
        <f>+C16+1</f>
        <v>4</v>
      </c>
      <c r="D21" s="25" t="s">
        <v>247</v>
      </c>
      <c r="E21" s="51"/>
      <c r="F21" s="51"/>
      <c r="G21" s="51"/>
      <c r="H21" s="51"/>
      <c r="I21" s="51"/>
      <c r="J21" s="51"/>
      <c r="K21" s="49"/>
      <c r="L21" s="49"/>
      <c r="M21" s="49"/>
      <c r="N21" s="6"/>
      <c r="O21" s="6"/>
      <c r="P21" s="245" t="s">
        <v>248</v>
      </c>
      <c r="Q21" s="6"/>
      <c r="R21" s="303" t="s">
        <v>243</v>
      </c>
      <c r="S21" s="19"/>
    </row>
    <row r="22" spans="2:19" ht="30">
      <c r="B22" s="18"/>
      <c r="C22" s="249"/>
      <c r="D22" s="6"/>
      <c r="E22" s="6"/>
      <c r="F22" s="6"/>
      <c r="G22" s="6"/>
      <c r="H22" s="6"/>
      <c r="I22" s="6"/>
      <c r="J22" s="6"/>
      <c r="K22" s="6"/>
      <c r="L22" s="6"/>
      <c r="M22" s="6"/>
      <c r="N22" s="6"/>
      <c r="O22" s="6"/>
      <c r="P22" s="255" t="s">
        <v>249</v>
      </c>
      <c r="Q22" s="252"/>
      <c r="R22" s="258"/>
      <c r="S22" s="19"/>
    </row>
    <row r="23" spans="2:19" ht="21">
      <c r="B23" s="18"/>
      <c r="C23" s="249">
        <f>+C21+1</f>
        <v>5</v>
      </c>
      <c r="D23" s="25" t="s">
        <v>250</v>
      </c>
      <c r="E23" s="6"/>
      <c r="F23" s="6"/>
      <c r="G23" s="6"/>
      <c r="H23" s="6"/>
      <c r="I23" s="6"/>
      <c r="J23" s="6"/>
      <c r="K23" s="6"/>
      <c r="L23" s="6"/>
      <c r="M23" s="6"/>
      <c r="N23" s="6"/>
      <c r="O23" s="6"/>
      <c r="P23" s="245" t="s">
        <v>232</v>
      </c>
      <c r="Q23" s="6"/>
      <c r="R23" s="303" t="s">
        <v>251</v>
      </c>
      <c r="S23" s="19"/>
    </row>
    <row r="24" spans="2:19" ht="18.75" customHeight="1">
      <c r="B24" s="18"/>
      <c r="C24" s="249"/>
      <c r="D24" s="302" t="s">
        <v>252</v>
      </c>
      <c r="E24" s="258"/>
      <c r="F24" s="258"/>
      <c r="G24" s="258"/>
      <c r="H24" s="258"/>
      <c r="I24" s="258"/>
      <c r="J24" s="258"/>
      <c r="K24" s="258"/>
      <c r="L24" s="258"/>
      <c r="M24" s="258"/>
      <c r="N24" s="258"/>
      <c r="O24" s="252"/>
      <c r="P24" s="253" t="s">
        <v>238</v>
      </c>
      <c r="Q24" s="252"/>
      <c r="R24" s="258"/>
      <c r="S24" s="19"/>
    </row>
    <row r="25" spans="2:19" ht="19.5" customHeight="1">
      <c r="B25" s="18"/>
      <c r="C25" s="249"/>
      <c r="D25" s="302" t="s">
        <v>253</v>
      </c>
      <c r="E25" s="258"/>
      <c r="F25" s="258"/>
      <c r="G25" s="258"/>
      <c r="H25" s="258"/>
      <c r="I25" s="258"/>
      <c r="J25" s="258"/>
      <c r="K25" s="258"/>
      <c r="L25" s="258"/>
      <c r="M25" s="258"/>
      <c r="N25" s="258"/>
      <c r="O25" s="252"/>
      <c r="P25" s="252"/>
      <c r="Q25" s="252"/>
      <c r="R25" s="252"/>
      <c r="S25" s="19"/>
    </row>
    <row r="26" spans="2:19" ht="15.75" customHeight="1">
      <c r="B26" s="18"/>
      <c r="C26" s="249"/>
      <c r="D26" s="302" t="s">
        <v>254</v>
      </c>
      <c r="E26" s="258"/>
      <c r="F26" s="258"/>
      <c r="G26" s="258"/>
      <c r="H26" s="258"/>
      <c r="I26" s="258"/>
      <c r="J26" s="258"/>
      <c r="K26" s="258"/>
      <c r="L26" s="258"/>
      <c r="M26" s="258"/>
      <c r="N26" s="258"/>
      <c r="O26" s="252"/>
      <c r="P26" s="252"/>
      <c r="Q26" s="252"/>
      <c r="R26" s="252"/>
      <c r="S26" s="19"/>
    </row>
    <row r="27" spans="2:19" ht="15.75" customHeight="1">
      <c r="B27" s="18"/>
      <c r="C27" s="249"/>
      <c r="O27" s="252"/>
      <c r="P27" s="252"/>
      <c r="Q27" s="252"/>
      <c r="R27" s="252"/>
      <c r="S27" s="19"/>
    </row>
    <row r="28" spans="2:19" ht="15.75" customHeight="1">
      <c r="B28" s="18"/>
      <c r="C28" s="249">
        <f>+C23+1</f>
        <v>6</v>
      </c>
      <c r="D28" s="25" t="s">
        <v>255</v>
      </c>
      <c r="E28" s="71"/>
      <c r="F28" s="71"/>
      <c r="G28" s="71"/>
      <c r="H28" s="71"/>
      <c r="I28" s="71"/>
      <c r="J28" s="71"/>
      <c r="K28" s="33"/>
      <c r="L28" s="49"/>
      <c r="M28" s="6"/>
      <c r="N28" s="6"/>
      <c r="O28" s="6"/>
      <c r="P28" s="245" t="s">
        <v>256</v>
      </c>
      <c r="Q28" s="6"/>
      <c r="R28" s="303" t="s">
        <v>257</v>
      </c>
      <c r="S28" s="19"/>
    </row>
    <row r="29" spans="2:19" ht="70.5" customHeight="1">
      <c r="B29" s="18"/>
      <c r="C29" s="249"/>
      <c r="D29" s="302" t="s">
        <v>258</v>
      </c>
      <c r="E29" s="258"/>
      <c r="F29" s="258"/>
      <c r="G29" s="258"/>
      <c r="H29" s="258"/>
      <c r="I29" s="258"/>
      <c r="J29" s="258"/>
      <c r="K29" s="258"/>
      <c r="L29" s="258"/>
      <c r="M29" s="258"/>
      <c r="N29" s="258"/>
      <c r="O29" s="6"/>
      <c r="P29" s="256" t="s">
        <v>259</v>
      </c>
      <c r="Q29" s="6"/>
      <c r="R29" s="258"/>
      <c r="S29" s="19"/>
    </row>
    <row r="30" spans="2:19" ht="15.75" customHeight="1">
      <c r="B30" s="18"/>
      <c r="C30" s="249"/>
      <c r="D30" s="59"/>
      <c r="E30" s="71"/>
      <c r="F30" s="71"/>
      <c r="G30" s="71"/>
      <c r="H30" s="71"/>
      <c r="I30" s="71"/>
      <c r="J30" s="71"/>
      <c r="K30" s="33"/>
      <c r="L30" s="49"/>
      <c r="M30" s="6"/>
      <c r="N30" s="6"/>
      <c r="O30" s="6"/>
      <c r="P30" s="6"/>
      <c r="Q30" s="6"/>
      <c r="R30" s="6"/>
      <c r="S30" s="19"/>
    </row>
    <row r="31" spans="2:19" ht="15.75" customHeight="1">
      <c r="B31" s="105"/>
      <c r="C31" s="106"/>
      <c r="D31" s="107"/>
      <c r="E31" s="108"/>
      <c r="F31" s="108"/>
      <c r="G31" s="108"/>
      <c r="H31" s="108"/>
      <c r="I31" s="108"/>
      <c r="J31" s="108"/>
      <c r="K31" s="108"/>
      <c r="L31" s="108"/>
      <c r="M31" s="108"/>
      <c r="N31" s="108"/>
      <c r="O31" s="108"/>
      <c r="P31" s="108"/>
      <c r="Q31" s="108"/>
      <c r="R31" s="108"/>
      <c r="S31" s="109"/>
    </row>
    <row r="32" spans="2:19" ht="15.75" customHeight="1">
      <c r="C32" s="9"/>
      <c r="D32" s="29"/>
    </row>
    <row r="33" spans="3:3" ht="15.75" customHeight="1">
      <c r="C33" s="9"/>
    </row>
    <row r="34" spans="3:3" ht="15.75" customHeight="1">
      <c r="C34" s="9"/>
    </row>
    <row r="35" spans="3:3" ht="15.75" customHeight="1">
      <c r="C35" s="9"/>
    </row>
    <row r="36" spans="3:3" ht="15.75" customHeight="1">
      <c r="C36" s="9"/>
    </row>
    <row r="37" spans="3:3" ht="15.75" customHeight="1">
      <c r="C37" s="9"/>
    </row>
    <row r="38" spans="3:3" ht="15.75" customHeight="1">
      <c r="C38" s="9"/>
    </row>
    <row r="39" spans="3:3" ht="15.75" customHeight="1">
      <c r="C39" s="9"/>
    </row>
    <row r="40" spans="3:3" ht="15.75" customHeight="1">
      <c r="C40" s="9"/>
    </row>
    <row r="41" spans="3:3" ht="15.75" customHeight="1">
      <c r="C41" s="9"/>
    </row>
    <row r="42" spans="3:3" ht="15.75" customHeight="1">
      <c r="C42" s="9"/>
    </row>
    <row r="43" spans="3:3" ht="15.75" customHeight="1">
      <c r="C43" s="9"/>
    </row>
    <row r="44" spans="3:3" ht="15.75" customHeight="1">
      <c r="C44" s="9"/>
    </row>
    <row r="45" spans="3:3" ht="15.75" customHeight="1">
      <c r="C45" s="9"/>
    </row>
    <row r="46" spans="3:3" ht="15.75" customHeight="1">
      <c r="C46" s="9"/>
    </row>
    <row r="47" spans="3:3" ht="15.75" customHeight="1">
      <c r="C47" s="9"/>
    </row>
    <row r="48" spans="3:3" ht="15.75" customHeight="1">
      <c r="C48" s="9"/>
    </row>
    <row r="49" spans="3:3" ht="15.75" customHeight="1">
      <c r="C49" s="9"/>
    </row>
    <row r="50" spans="3:3" ht="15.75" customHeight="1">
      <c r="C50" s="9"/>
    </row>
    <row r="51" spans="3:3" ht="15.75" customHeight="1">
      <c r="C51" s="9"/>
    </row>
    <row r="52" spans="3:3" ht="15.75" customHeight="1">
      <c r="C52" s="9"/>
    </row>
    <row r="53" spans="3:3" ht="15.75" customHeight="1">
      <c r="C53" s="9"/>
    </row>
    <row r="54" spans="3:3" ht="15.75" customHeight="1">
      <c r="C54" s="9"/>
    </row>
    <row r="55" spans="3:3" ht="15.75" customHeight="1">
      <c r="C55" s="9"/>
    </row>
    <row r="56" spans="3:3" ht="15.75" customHeight="1">
      <c r="C56" s="9"/>
    </row>
    <row r="57" spans="3:3" ht="15.75" customHeight="1">
      <c r="C57" s="9"/>
    </row>
    <row r="58" spans="3:3" ht="15.75" customHeight="1">
      <c r="C58" s="9"/>
    </row>
    <row r="59" spans="3:3" ht="15.75" customHeight="1">
      <c r="C59" s="9"/>
    </row>
    <row r="60" spans="3:3" ht="15.75" customHeight="1">
      <c r="C60" s="9"/>
    </row>
    <row r="61" spans="3:3" ht="15.75" customHeight="1">
      <c r="C61" s="9"/>
    </row>
    <row r="62" spans="3:3" ht="15.75" customHeight="1">
      <c r="C62" s="9"/>
    </row>
    <row r="63" spans="3:3" ht="15.75" customHeight="1">
      <c r="C63" s="9"/>
    </row>
    <row r="64" spans="3:3" ht="15.75" customHeight="1">
      <c r="C64" s="9"/>
    </row>
    <row r="65" spans="3:3" ht="15.75" customHeight="1">
      <c r="C65" s="9"/>
    </row>
    <row r="66" spans="3:3" ht="15.75" customHeight="1">
      <c r="C66" s="9"/>
    </row>
    <row r="67" spans="3:3" ht="15.75" customHeight="1">
      <c r="C67" s="9"/>
    </row>
    <row r="68" spans="3:3" ht="15.75" customHeight="1">
      <c r="C68" s="9"/>
    </row>
    <row r="69" spans="3:3" ht="15.75" customHeight="1">
      <c r="C69" s="9"/>
    </row>
    <row r="70" spans="3:3" ht="15.75" customHeight="1">
      <c r="C70" s="9"/>
    </row>
    <row r="71" spans="3:3" ht="15.75" customHeight="1">
      <c r="C71" s="9"/>
    </row>
    <row r="72" spans="3:3" ht="15.75" customHeight="1">
      <c r="C72" s="9"/>
    </row>
    <row r="73" spans="3:3" ht="15.75" customHeight="1">
      <c r="C73" s="9"/>
    </row>
    <row r="74" spans="3:3" ht="15.75" customHeight="1">
      <c r="C74" s="9"/>
    </row>
    <row r="75" spans="3:3" ht="15.75" customHeight="1">
      <c r="C75" s="9"/>
    </row>
    <row r="76" spans="3:3" ht="15.75" customHeight="1">
      <c r="C76" s="9"/>
    </row>
    <row r="77" spans="3:3" ht="15.75" customHeight="1">
      <c r="C77" s="9"/>
    </row>
    <row r="78" spans="3:3" ht="15.75" customHeight="1">
      <c r="C78" s="9"/>
    </row>
    <row r="79" spans="3:3" ht="15.75" customHeight="1">
      <c r="C79" s="9"/>
    </row>
    <row r="80" spans="3:3" ht="15.75" customHeight="1">
      <c r="C80" s="9"/>
    </row>
    <row r="81" spans="3:3" ht="15.75" customHeight="1">
      <c r="C81" s="9"/>
    </row>
    <row r="82" spans="3:3" ht="15.75" customHeight="1">
      <c r="C82" s="9"/>
    </row>
    <row r="83" spans="3:3" ht="15.75" customHeight="1">
      <c r="C83" s="9"/>
    </row>
    <row r="84" spans="3:3" ht="15.75" customHeight="1">
      <c r="C84" s="9"/>
    </row>
    <row r="85" spans="3:3" ht="15.75" customHeight="1">
      <c r="C85" s="9"/>
    </row>
    <row r="86" spans="3:3" ht="15.75" customHeight="1">
      <c r="C86" s="9"/>
    </row>
    <row r="87" spans="3:3" ht="15.75" customHeight="1">
      <c r="C87" s="9"/>
    </row>
    <row r="88" spans="3:3" ht="15.75" customHeight="1">
      <c r="C88" s="9"/>
    </row>
    <row r="89" spans="3:3" ht="15.75" customHeight="1">
      <c r="C89" s="9"/>
    </row>
    <row r="90" spans="3:3" ht="15.75" customHeight="1">
      <c r="C90" s="9"/>
    </row>
    <row r="91" spans="3:3" ht="15.75" customHeight="1">
      <c r="C91" s="9"/>
    </row>
    <row r="92" spans="3:3" ht="15.75" customHeight="1">
      <c r="C92" s="9"/>
    </row>
    <row r="93" spans="3:3" ht="15.75" customHeight="1">
      <c r="C93" s="9"/>
    </row>
    <row r="94" spans="3:3" ht="15.75" customHeight="1">
      <c r="C94" s="9"/>
    </row>
    <row r="95" spans="3:3" ht="15.75" customHeight="1">
      <c r="C95" s="9"/>
    </row>
    <row r="96" spans="3:3" ht="15.75" customHeight="1">
      <c r="C96" s="9"/>
    </row>
    <row r="97" spans="3:3" ht="15.75" customHeight="1">
      <c r="C97" s="9"/>
    </row>
    <row r="98" spans="3:3" ht="15.75" customHeight="1">
      <c r="C98" s="9"/>
    </row>
    <row r="99" spans="3:3" ht="15.75" customHeight="1">
      <c r="C99" s="9"/>
    </row>
    <row r="100" spans="3:3" ht="15.75" customHeight="1">
      <c r="C100" s="9"/>
    </row>
    <row r="101" spans="3:3" ht="15.75" customHeight="1">
      <c r="C101" s="9"/>
    </row>
    <row r="102" spans="3:3" ht="15.75" customHeight="1">
      <c r="C102" s="9"/>
    </row>
    <row r="103" spans="3:3" ht="15.75" customHeight="1">
      <c r="C103" s="9"/>
    </row>
    <row r="104" spans="3:3" ht="15.75" customHeight="1">
      <c r="C104" s="9"/>
    </row>
    <row r="105" spans="3:3" ht="15.75" customHeight="1">
      <c r="C105" s="9"/>
    </row>
    <row r="106" spans="3:3" ht="15.75" customHeight="1">
      <c r="C106" s="9"/>
    </row>
    <row r="107" spans="3:3" ht="15.75" customHeight="1">
      <c r="C107" s="9"/>
    </row>
    <row r="108" spans="3:3" ht="15.75" customHeight="1">
      <c r="C108" s="9"/>
    </row>
    <row r="109" spans="3:3" ht="15.75" customHeight="1">
      <c r="C109" s="9"/>
    </row>
    <row r="110" spans="3:3" ht="15.75" customHeight="1">
      <c r="C110" s="9"/>
    </row>
    <row r="111" spans="3:3" ht="15.75" customHeight="1">
      <c r="C111" s="9"/>
    </row>
    <row r="112" spans="3:3" ht="15.75" customHeight="1">
      <c r="C112" s="9"/>
    </row>
    <row r="113" spans="3:3" ht="15.75" customHeight="1">
      <c r="C113" s="9"/>
    </row>
    <row r="114" spans="3:3" ht="15.75" customHeight="1">
      <c r="C114" s="9"/>
    </row>
    <row r="115" spans="3:3" ht="15.75" customHeight="1">
      <c r="C115" s="9"/>
    </row>
    <row r="116" spans="3:3" ht="15.75" customHeight="1">
      <c r="C116" s="9"/>
    </row>
    <row r="117" spans="3:3" ht="15.75" customHeight="1">
      <c r="C117" s="9"/>
    </row>
    <row r="118" spans="3:3" ht="15.75" customHeight="1">
      <c r="C118" s="9"/>
    </row>
    <row r="119" spans="3:3" ht="15.75" customHeight="1">
      <c r="C119" s="9"/>
    </row>
    <row r="120" spans="3:3" ht="15.75" customHeight="1">
      <c r="C120" s="9"/>
    </row>
    <row r="121" spans="3:3" ht="15.75" customHeight="1">
      <c r="C121" s="9"/>
    </row>
    <row r="122" spans="3:3" ht="15.75" customHeight="1">
      <c r="C122" s="9"/>
    </row>
    <row r="123" spans="3:3" ht="15.75" customHeight="1">
      <c r="C123" s="9"/>
    </row>
    <row r="124" spans="3:3" ht="15.75" customHeight="1">
      <c r="C124" s="9"/>
    </row>
    <row r="125" spans="3:3" ht="15.75" customHeight="1">
      <c r="C125" s="9"/>
    </row>
    <row r="126" spans="3:3" ht="15.75" customHeight="1">
      <c r="C126" s="9"/>
    </row>
    <row r="127" spans="3:3" ht="15.75" customHeight="1">
      <c r="C127" s="9"/>
    </row>
    <row r="128" spans="3:3" ht="15.75" customHeight="1">
      <c r="C128" s="9"/>
    </row>
    <row r="129" spans="3:3" ht="15.75" customHeight="1">
      <c r="C129" s="9"/>
    </row>
    <row r="130" spans="3:3" ht="15.75" customHeight="1">
      <c r="C130" s="9"/>
    </row>
    <row r="131" spans="3:3" ht="15.75" customHeight="1">
      <c r="C131" s="9"/>
    </row>
    <row r="132" spans="3:3" ht="15.75" customHeight="1">
      <c r="C132" s="9"/>
    </row>
    <row r="133" spans="3:3" ht="15.75" customHeight="1">
      <c r="C133" s="9"/>
    </row>
    <row r="134" spans="3:3" ht="15.75" customHeight="1">
      <c r="C134" s="9"/>
    </row>
    <row r="135" spans="3:3" ht="15.75" customHeight="1">
      <c r="C135" s="9"/>
    </row>
    <row r="136" spans="3:3" ht="15.75" customHeight="1">
      <c r="C136" s="9"/>
    </row>
    <row r="137" spans="3:3" ht="15.75" customHeight="1">
      <c r="C137" s="9"/>
    </row>
    <row r="138" spans="3:3" ht="15.75" customHeight="1">
      <c r="C138" s="9"/>
    </row>
    <row r="139" spans="3:3" ht="15.75" customHeight="1">
      <c r="C139" s="9"/>
    </row>
    <row r="140" spans="3:3" ht="15.75" customHeight="1">
      <c r="C140" s="9"/>
    </row>
    <row r="141" spans="3:3" ht="15.75" customHeight="1">
      <c r="C141" s="9"/>
    </row>
    <row r="142" spans="3:3" ht="15.75" customHeight="1">
      <c r="C142" s="9"/>
    </row>
    <row r="143" spans="3:3" ht="15.75" customHeight="1">
      <c r="C143" s="9"/>
    </row>
    <row r="144" spans="3:3" ht="15.75" customHeight="1">
      <c r="C144" s="9"/>
    </row>
    <row r="145" spans="3:3" ht="15.75" customHeight="1">
      <c r="C145" s="9"/>
    </row>
    <row r="146" spans="3:3" ht="15.75" customHeight="1">
      <c r="C146" s="9"/>
    </row>
    <row r="147" spans="3:3" ht="15.75" customHeight="1">
      <c r="C147" s="9"/>
    </row>
    <row r="148" spans="3:3" ht="15.75" customHeight="1">
      <c r="C148" s="9"/>
    </row>
    <row r="149" spans="3:3" ht="15.75" customHeight="1">
      <c r="C149" s="9"/>
    </row>
    <row r="150" spans="3:3" ht="15.75" customHeight="1">
      <c r="C150" s="9"/>
    </row>
    <row r="151" spans="3:3" ht="15.75" customHeight="1">
      <c r="C151" s="9"/>
    </row>
    <row r="152" spans="3:3" ht="15.75" customHeight="1">
      <c r="C152" s="9"/>
    </row>
    <row r="153" spans="3:3" ht="15.75" customHeight="1">
      <c r="C153" s="9"/>
    </row>
    <row r="154" spans="3:3" ht="15.75" customHeight="1">
      <c r="C154" s="9"/>
    </row>
    <row r="155" spans="3:3" ht="15.75" customHeight="1">
      <c r="C155" s="9"/>
    </row>
    <row r="156" spans="3:3" ht="15.75" customHeight="1">
      <c r="C156" s="9"/>
    </row>
    <row r="157" spans="3:3" ht="15.75" customHeight="1">
      <c r="C157" s="9"/>
    </row>
    <row r="158" spans="3:3" ht="15.75" customHeight="1">
      <c r="C158" s="9"/>
    </row>
    <row r="159" spans="3:3" ht="15.75" customHeight="1">
      <c r="C159" s="9"/>
    </row>
    <row r="160" spans="3:3" ht="15.75" customHeight="1">
      <c r="C160" s="9"/>
    </row>
    <row r="161" spans="3:3" ht="15.75" customHeight="1">
      <c r="C161" s="9"/>
    </row>
    <row r="162" spans="3:3" ht="15.75" customHeight="1">
      <c r="C162" s="9"/>
    </row>
    <row r="163" spans="3:3" ht="15.75" customHeight="1">
      <c r="C163" s="9"/>
    </row>
    <row r="164" spans="3:3" ht="15.75" customHeight="1">
      <c r="C164" s="9"/>
    </row>
    <row r="165" spans="3:3" ht="15.75" customHeight="1">
      <c r="C165" s="9"/>
    </row>
    <row r="166" spans="3:3" ht="15.75" customHeight="1">
      <c r="C166" s="9"/>
    </row>
    <row r="167" spans="3:3" ht="15.75" customHeight="1">
      <c r="C167" s="9"/>
    </row>
    <row r="168" spans="3:3" ht="15.75" customHeight="1">
      <c r="C168" s="9"/>
    </row>
    <row r="169" spans="3:3" ht="15.75" customHeight="1">
      <c r="C169" s="9"/>
    </row>
    <row r="170" spans="3:3" ht="15.75" customHeight="1">
      <c r="C170" s="9"/>
    </row>
    <row r="171" spans="3:3" ht="15.75" customHeight="1">
      <c r="C171" s="9"/>
    </row>
    <row r="172" spans="3:3" ht="15.75" customHeight="1">
      <c r="C172" s="9"/>
    </row>
    <row r="173" spans="3:3" ht="15.75" customHeight="1">
      <c r="C173" s="9"/>
    </row>
    <row r="174" spans="3:3" ht="15.75" customHeight="1">
      <c r="C174" s="9"/>
    </row>
    <row r="175" spans="3:3" ht="15.75" customHeight="1">
      <c r="C175" s="9"/>
    </row>
    <row r="176" spans="3:3" ht="15.75" customHeight="1">
      <c r="C176" s="9"/>
    </row>
    <row r="177" spans="3:3" ht="15.75" customHeight="1">
      <c r="C177" s="9"/>
    </row>
    <row r="178" spans="3:3" ht="15.75" customHeight="1">
      <c r="C178" s="9"/>
    </row>
    <row r="179" spans="3:3" ht="15.75" customHeight="1">
      <c r="C179" s="9"/>
    </row>
    <row r="180" spans="3:3" ht="15.75" customHeight="1">
      <c r="C180" s="9"/>
    </row>
    <row r="181" spans="3:3" ht="15.75" customHeight="1">
      <c r="C181" s="9"/>
    </row>
    <row r="182" spans="3:3" ht="15.75" customHeight="1">
      <c r="C182" s="9"/>
    </row>
    <row r="183" spans="3:3" ht="15.75" customHeight="1">
      <c r="C183" s="9"/>
    </row>
    <row r="184" spans="3:3" ht="15.75" customHeight="1">
      <c r="C184" s="9"/>
    </row>
    <row r="185" spans="3:3" ht="15.75" customHeight="1">
      <c r="C185" s="9"/>
    </row>
    <row r="186" spans="3:3" ht="15.75" customHeight="1">
      <c r="C186" s="9"/>
    </row>
    <row r="187" spans="3:3" ht="15.75" customHeight="1">
      <c r="C187" s="9"/>
    </row>
    <row r="188" spans="3:3" ht="15.75" customHeight="1">
      <c r="C188" s="9"/>
    </row>
    <row r="189" spans="3:3" ht="15.75" customHeight="1">
      <c r="C189" s="9"/>
    </row>
    <row r="190" spans="3:3" ht="15.75" customHeight="1">
      <c r="C190" s="9"/>
    </row>
    <row r="191" spans="3:3" ht="15.75" customHeight="1">
      <c r="C191" s="9"/>
    </row>
    <row r="192" spans="3:3" ht="15.75" customHeight="1">
      <c r="C192" s="9"/>
    </row>
    <row r="193" spans="3:3" ht="15.75" customHeight="1">
      <c r="C193" s="9"/>
    </row>
    <row r="194" spans="3:3" ht="15.75" customHeight="1">
      <c r="C194" s="9"/>
    </row>
    <row r="195" spans="3:3" ht="15.75" customHeight="1">
      <c r="C195" s="9"/>
    </row>
    <row r="196" spans="3:3" ht="15.75" customHeight="1">
      <c r="C196" s="9"/>
    </row>
    <row r="197" spans="3:3" ht="15.75" customHeight="1">
      <c r="C197" s="9"/>
    </row>
    <row r="198" spans="3:3" ht="15.75" customHeight="1">
      <c r="C198" s="9"/>
    </row>
    <row r="199" spans="3:3" ht="15.75" customHeight="1">
      <c r="C199" s="9"/>
    </row>
    <row r="200" spans="3:3" ht="15.75" customHeight="1">
      <c r="C200" s="9"/>
    </row>
    <row r="201" spans="3:3" ht="15.75" customHeight="1">
      <c r="C201" s="9"/>
    </row>
    <row r="202" spans="3:3" ht="15.75" customHeight="1">
      <c r="C202" s="9"/>
    </row>
    <row r="203" spans="3:3" ht="15.75" customHeight="1">
      <c r="C203" s="9"/>
    </row>
    <row r="204" spans="3:3" ht="15.75" customHeight="1">
      <c r="C204" s="9"/>
    </row>
    <row r="205" spans="3:3" ht="15.75" customHeight="1">
      <c r="C205" s="9"/>
    </row>
    <row r="206" spans="3:3" ht="15.75" customHeight="1">
      <c r="C206" s="9"/>
    </row>
    <row r="207" spans="3:3" ht="15.75" customHeight="1">
      <c r="C207" s="9"/>
    </row>
    <row r="208" spans="3:3" ht="15.75" customHeight="1">
      <c r="C208" s="9"/>
    </row>
    <row r="209" spans="3:3" ht="15.75" customHeight="1">
      <c r="C209" s="9"/>
    </row>
    <row r="210" spans="3:3" ht="15.75" customHeight="1">
      <c r="C210" s="9"/>
    </row>
    <row r="211" spans="3:3" ht="15.75" customHeight="1">
      <c r="C211" s="9"/>
    </row>
    <row r="212" spans="3:3" ht="15.75" customHeight="1">
      <c r="C212" s="9"/>
    </row>
    <row r="213" spans="3:3" ht="15.75" customHeight="1">
      <c r="C213" s="9"/>
    </row>
    <row r="214" spans="3:3" ht="15.75" customHeight="1">
      <c r="C214" s="9"/>
    </row>
    <row r="215" spans="3:3" ht="15.75" customHeight="1">
      <c r="C215" s="9"/>
    </row>
    <row r="216" spans="3:3" ht="15.75" customHeight="1">
      <c r="C216" s="9"/>
    </row>
    <row r="217" spans="3:3" ht="15.75" customHeight="1">
      <c r="C217" s="9"/>
    </row>
    <row r="218" spans="3:3" ht="15.75" customHeight="1">
      <c r="C218" s="9"/>
    </row>
    <row r="219" spans="3:3" ht="15.75" customHeight="1">
      <c r="C219" s="9"/>
    </row>
    <row r="220" spans="3:3" ht="15.75" customHeight="1">
      <c r="C220" s="9"/>
    </row>
    <row r="221" spans="3:3" ht="15.75" customHeight="1">
      <c r="C221" s="9"/>
    </row>
    <row r="222" spans="3:3" ht="15.75" customHeight="1">
      <c r="C222" s="9"/>
    </row>
    <row r="223" spans="3:3" ht="15.75" customHeight="1">
      <c r="C223" s="9"/>
    </row>
    <row r="224" spans="3:3" ht="15.75" customHeight="1">
      <c r="C224" s="9"/>
    </row>
    <row r="225" spans="3:3" ht="15.75" customHeight="1">
      <c r="C225" s="9"/>
    </row>
    <row r="226" spans="3:3" ht="15.75" customHeight="1">
      <c r="C226" s="9"/>
    </row>
    <row r="227" spans="3:3" ht="15.75" customHeight="1">
      <c r="C227" s="9"/>
    </row>
    <row r="228" spans="3:3" ht="15.75" customHeight="1">
      <c r="C228" s="9"/>
    </row>
    <row r="229" spans="3:3" ht="15.75" customHeight="1">
      <c r="C229" s="9"/>
    </row>
    <row r="230" spans="3:3" ht="15.75" customHeight="1"/>
    <row r="231" spans="3:3" ht="15.75" customHeight="1"/>
    <row r="232" spans="3:3" ht="15.75" customHeight="1"/>
    <row r="233" spans="3:3" ht="15.75" customHeight="1"/>
    <row r="234" spans="3:3" ht="15.75" customHeight="1"/>
    <row r="235" spans="3:3" ht="15.75" customHeight="1"/>
    <row r="236" spans="3:3" ht="15.75" customHeight="1"/>
    <row r="237" spans="3:3" ht="15.75" customHeight="1"/>
    <row r="238" spans="3:3" ht="15.75" customHeight="1"/>
    <row r="239" spans="3:3" ht="15.75" customHeight="1"/>
    <row r="240" spans="3: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R7:R8"/>
    <mergeCell ref="D8:N8"/>
    <mergeCell ref="R10:R11"/>
    <mergeCell ref="D11:N11"/>
    <mergeCell ref="D12:N12"/>
    <mergeCell ref="D13:N13"/>
    <mergeCell ref="D14:N14"/>
    <mergeCell ref="R23:R24"/>
    <mergeCell ref="R28:R29"/>
    <mergeCell ref="R16:R18"/>
    <mergeCell ref="D18:N18"/>
    <mergeCell ref="D19:N19"/>
    <mergeCell ref="R21:R22"/>
    <mergeCell ref="D24:N24"/>
    <mergeCell ref="D25:N25"/>
    <mergeCell ref="D26:N26"/>
    <mergeCell ref="D29:N2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 DE TRABAJO</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ENRIQUE CARRANZA ESCOBAR</cp:lastModifiedBy>
  <dcterms:created xsi:type="dcterms:W3CDTF">2021-01-20T12:57:55Z</dcterms:created>
  <dcterms:modified xsi:type="dcterms:W3CDTF">2021-07-20T19:55:00Z</dcterms:modified>
</cp:coreProperties>
</file>